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T:\Charge_Setting\2025-2026\Common (NE&amp;YE)\08. Website Material - Internal\"/>
    </mc:Choice>
  </mc:AlternateContent>
  <xr:revisionPtr revIDLastSave="0" documentId="13_ncr:1_{BA270DD3-01A0-4917-A4C7-86ABDD71405A}" xr6:coauthVersionLast="47" xr6:coauthVersionMax="47" xr10:uidLastSave="{00000000-0000-0000-0000-000000000000}"/>
  <workbookProtection lockStructure="1"/>
  <bookViews>
    <workbookView xWindow="2295" yWindow="2295" windowWidth="21600" windowHeight="11325"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X51" i="112" l="1"/>
  <c r="M51" i="112"/>
  <c r="W51" i="112"/>
  <c r="V51" i="112"/>
  <c r="U51" i="112"/>
  <c r="S51" i="112"/>
  <c r="K51" i="112"/>
  <c r="T51" i="112"/>
  <c r="R51" i="112"/>
  <c r="Y51" i="112"/>
  <c r="Q51" i="112"/>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AM36" i="105"/>
  <c r="AM141" i="105" s="1"/>
  <c r="AM174" i="105"/>
  <c r="AI47" i="105"/>
  <c r="K36" i="105"/>
  <c r="AI36" i="105"/>
  <c r="AI141" i="105" s="1"/>
  <c r="AC147" i="105"/>
  <c r="K170" i="105"/>
  <c r="Q170" i="105"/>
  <c r="AG170" i="105"/>
  <c r="M170"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M55" i="112" s="1"/>
  <c r="M65" i="112" s="1"/>
  <c r="L20" i="112"/>
  <c r="K20" i="112"/>
  <c r="A2" i="112"/>
  <c r="A1" i="112"/>
  <c r="C16" i="112" s="1"/>
  <c r="G195" i="85" s="1"/>
  <c r="V55" i="112" l="1"/>
  <c r="V65" i="112" s="1"/>
  <c r="Q55" i="112"/>
  <c r="Q65" i="112" s="1"/>
  <c r="T55" i="112"/>
  <c r="T65" i="112" s="1"/>
  <c r="X55" i="112"/>
  <c r="X65" i="112" s="1"/>
  <c r="K39" i="112"/>
  <c r="K55" i="112"/>
  <c r="K65" i="112" s="1"/>
  <c r="S39" i="112"/>
  <c r="S55" i="112"/>
  <c r="S65" i="112" s="1"/>
  <c r="R39" i="112"/>
  <c r="R55" i="112"/>
  <c r="R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384" i="22" l="1"/>
  <c r="P494" i="22" s="1"/>
  <c r="AC55" i="41" s="1"/>
  <c r="N415" i="22"/>
  <c r="N507" i="22" s="1"/>
  <c r="T57" i="41" s="1"/>
  <c r="M358" i="22"/>
  <c r="N444" i="22"/>
  <c r="N508" i="22" s="1"/>
  <c r="U57" i="41" s="1"/>
  <c r="N357" i="22"/>
  <c r="M354" i="22"/>
  <c r="M487" i="22" s="1"/>
  <c r="Q54" i="41" s="1"/>
  <c r="L473" i="22"/>
  <c r="L509" i="22" s="1"/>
  <c r="P57" i="41" s="1"/>
  <c r="N414" i="22"/>
  <c r="N501" i="22" s="1"/>
  <c r="T56" i="41" s="1"/>
  <c r="T154" i="41" s="1"/>
  <c r="O417" i="22"/>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O519" i="22"/>
  <c r="Y59"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Y160" i="72" l="1"/>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42" i="80" s="1"/>
  <c r="X168" i="80" s="1"/>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V144" i="80"/>
  <c r="V170" i="80" s="1"/>
  <c r="M54" i="53"/>
  <c r="W144" i="80"/>
  <c r="W170" i="80" s="1"/>
  <c r="W142" i="80"/>
  <c r="W168" i="80" s="1"/>
  <c r="X22" i="71"/>
  <c r="X127" i="71" s="1"/>
  <c r="Q21" i="31"/>
  <c r="Q23" i="31" s="1"/>
  <c r="R20" i="31"/>
  <c r="W195" i="71"/>
  <c r="X188" i="71"/>
  <c r="W188" i="71"/>
  <c r="W157" i="71"/>
  <c r="W131" i="71"/>
  <c r="U128" i="71"/>
  <c r="V165" i="71"/>
  <c r="X143" i="80" l="1"/>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N50" i="112" l="1"/>
  <c r="O50" i="112"/>
  <c r="L50" i="112"/>
  <c r="P50" i="112"/>
  <c r="J50" i="112"/>
  <c r="J51" i="112" s="1"/>
  <c r="L49" i="112"/>
  <c r="P49" i="112"/>
  <c r="N49" i="112"/>
  <c r="O49" i="112"/>
  <c r="J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29" i="41" s="1"/>
  <c r="AA48" i="41" s="1"/>
  <c r="AA47" i="65" s="1"/>
  <c r="AA49" i="82" s="1"/>
  <c r="J55" i="112"/>
  <c r="J59" i="112"/>
  <c r="P51" i="112"/>
  <c r="P29" i="41" s="1"/>
  <c r="AB48" i="41" s="1"/>
  <c r="AB47" i="65" s="1"/>
  <c r="AB49" i="82" s="1"/>
  <c r="L51" i="112"/>
  <c r="O59" i="112"/>
  <c r="O55" i="112"/>
  <c r="N51" i="112"/>
  <c r="J29" i="41"/>
  <c r="J48" i="41" s="1"/>
  <c r="J47" i="65" s="1"/>
  <c r="J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O65" i="112" l="1"/>
  <c r="N59" i="112"/>
  <c r="N55" i="112"/>
  <c r="N65" i="112" s="1"/>
  <c r="L59" i="112"/>
  <c r="L55" i="112"/>
  <c r="L65" i="112" s="1"/>
  <c r="L29" i="41"/>
  <c r="M48" i="41" s="1"/>
  <c r="M47" i="65" s="1"/>
  <c r="M49" i="82" s="1"/>
  <c r="P55" i="112"/>
  <c r="P59" i="112"/>
  <c r="N29" i="41"/>
  <c r="T48" i="41" s="1"/>
  <c r="T47" i="65" s="1"/>
  <c r="T49" i="82" s="1"/>
  <c r="J65" i="112"/>
  <c r="X48" i="41"/>
  <c r="X47" i="65" s="1"/>
  <c r="X49" i="82" s="1"/>
  <c r="Y48" i="41"/>
  <c r="Y47" i="65" s="1"/>
  <c r="Y49" i="82" s="1"/>
  <c r="Z48" i="41"/>
  <c r="Z47" i="65" s="1"/>
  <c r="Z49" i="82" s="1"/>
  <c r="W48" i="41"/>
  <c r="W47" i="65" s="1"/>
  <c r="W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O48" i="41" l="1"/>
  <c r="O47" i="65" s="1"/>
  <c r="O49" i="82" s="1"/>
  <c r="H61" i="112"/>
  <c r="H87" i="105" s="1"/>
  <c r="H130" i="105" s="1"/>
  <c r="H57" i="112"/>
  <c r="H86" i="105" s="1"/>
  <c r="H129" i="105" s="1"/>
  <c r="L48" i="41"/>
  <c r="L47" i="65" s="1"/>
  <c r="L49" i="82" s="1"/>
  <c r="N48" i="41"/>
  <c r="N47" i="65" s="1"/>
  <c r="N49" i="82" s="1"/>
  <c r="P48" i="41"/>
  <c r="P47" i="65" s="1"/>
  <c r="P49" i="82" s="1"/>
  <c r="V48" i="41"/>
  <c r="V47" i="65" s="1"/>
  <c r="V49" i="82" s="1"/>
  <c r="P65" i="112"/>
  <c r="H67" i="112" s="1"/>
  <c r="H69" i="112" s="1"/>
  <c r="S48" i="41"/>
  <c r="S47" i="65" s="1"/>
  <c r="S49" i="82" s="1"/>
  <c r="U48" i="41"/>
  <c r="U47" i="65" s="1"/>
  <c r="U49" i="82" s="1"/>
  <c r="R48" i="41"/>
  <c r="R47" i="65" s="1"/>
  <c r="R49" i="82"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W121" i="105" l="1"/>
  <c r="W199" i="105"/>
  <c r="L111" i="105"/>
  <c r="L188" i="105"/>
  <c r="AB120" i="105"/>
  <c r="AB198" i="105"/>
  <c r="L110" i="105"/>
  <c r="L187" i="105"/>
  <c r="L121" i="105"/>
  <c r="L199" i="105"/>
  <c r="L120" i="105"/>
  <c r="L198" i="105"/>
  <c r="R111" i="105"/>
  <c r="R188" i="105"/>
  <c r="R120" i="105"/>
  <c r="R198" i="105"/>
  <c r="AB121" i="105"/>
  <c r="AB199" i="105"/>
  <c r="R121" i="105"/>
  <c r="R199" i="105"/>
  <c r="R110" i="105"/>
  <c r="R187"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W119" i="105" l="1"/>
  <c r="W197" i="105"/>
  <c r="L109" i="105"/>
  <c r="L186" i="105"/>
  <c r="L119" i="105"/>
  <c r="L197" i="105"/>
  <c r="R109" i="105"/>
  <c r="R186" i="105"/>
  <c r="AB119" i="105"/>
  <c r="AB197"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AB118" i="105" l="1"/>
  <c r="AB196" i="105"/>
  <c r="R118" i="105"/>
  <c r="R196" i="105"/>
  <c r="W118" i="105"/>
  <c r="W196" i="105"/>
  <c r="L118" i="105"/>
  <c r="L196" i="105"/>
  <c r="L108" i="105"/>
  <c r="L185" i="105"/>
  <c r="R108" i="105"/>
  <c r="R185"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AB116" i="105"/>
  <c r="AB194" i="105"/>
  <c r="L116" i="105"/>
  <c r="L194" i="105"/>
  <c r="W116" i="105"/>
  <c r="W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L174" i="105" l="1"/>
  <c r="AL172" i="105"/>
  <c r="AK70" i="82" s="1"/>
  <c r="AH174" i="105"/>
  <c r="AH172" i="105"/>
  <c r="AH70" i="82" s="1"/>
  <c r="AN174" i="105"/>
  <c r="AN172" i="105"/>
  <c r="AL70" i="82" s="1"/>
  <c r="AB115" i="105"/>
  <c r="AB193" i="105"/>
  <c r="L115" i="105"/>
  <c r="L193" i="105"/>
  <c r="W115" i="105"/>
  <c r="W193" i="105"/>
  <c r="L105" i="105"/>
  <c r="L182" i="105"/>
  <c r="R115" i="105"/>
  <c r="R193"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172" i="105" s="1"/>
  <c r="L70" i="82"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I148" i="105" l="1"/>
  <c r="AI142" i="105"/>
  <c r="Q148" i="105"/>
  <c r="Q142" i="105"/>
  <c r="AL148" i="105"/>
  <c r="AL142" i="105"/>
  <c r="AN148" i="105"/>
  <c r="AN142" i="105"/>
  <c r="Q174" i="105"/>
  <c r="Q172" i="105"/>
  <c r="Q70" i="82" s="1"/>
  <c r="AB117" i="105"/>
  <c r="AB122" i="105" s="1"/>
  <c r="AB195" i="105"/>
  <c r="AB200" i="105" s="1"/>
  <c r="AH148" i="105"/>
  <c r="AH142" i="105"/>
  <c r="AH147" i="105"/>
  <c r="AH141" i="105"/>
  <c r="L140" i="105"/>
  <c r="L174" i="105"/>
  <c r="L71" i="82" s="1"/>
  <c r="L146" i="105"/>
  <c r="L69" i="82" s="1"/>
  <c r="L107" i="105"/>
  <c r="L112" i="105" s="1"/>
  <c r="L184" i="105"/>
  <c r="L189" i="105" s="1"/>
  <c r="W117" i="105"/>
  <c r="W122" i="105" s="1"/>
  <c r="W195" i="105"/>
  <c r="W200" i="105" s="1"/>
  <c r="L117" i="105"/>
  <c r="L122" i="105" s="1"/>
  <c r="L195" i="105"/>
  <c r="L200" i="105" s="1"/>
  <c r="R117" i="105"/>
  <c r="R195" i="105"/>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AD250" i="41"/>
  <c r="AD268" i="41" s="1"/>
  <c r="AD251" i="41"/>
  <c r="AD269" i="41" s="1"/>
  <c r="AK68" i="82"/>
  <c r="AL207" i="105"/>
  <c r="AK80" i="82" s="1"/>
  <c r="AI68" i="82"/>
  <c r="AI207" i="105"/>
  <c r="AI80" i="82" s="1"/>
  <c r="AL68" i="82"/>
  <c r="AN207" i="105"/>
  <c r="AL80" i="82" s="1"/>
  <c r="AH68" i="82"/>
  <c r="AH206" i="105"/>
  <c r="AH79" i="82" s="1"/>
  <c r="AH207" i="105"/>
  <c r="AH80"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S278" i="41" s="1"/>
  <c r="S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N331" i="41" s="1"/>
  <c r="N333" i="41" s="1"/>
  <c r="N335" i="41" s="1"/>
  <c r="AA274" i="41"/>
  <c r="J270" i="41"/>
  <c r="Q146" i="105"/>
  <c r="Q69" i="82" s="1"/>
  <c r="Q140" i="105"/>
  <c r="Q71" i="82"/>
  <c r="R107" i="105"/>
  <c r="W97" i="105"/>
  <c r="W102" i="105" s="1"/>
  <c r="W172" i="105" s="1"/>
  <c r="W70" i="82" s="1"/>
  <c r="AB97" i="105"/>
  <c r="AB102" i="105" s="1"/>
  <c r="AB172" i="105" s="1"/>
  <c r="AB70" i="82" s="1"/>
  <c r="AG123" i="65"/>
  <c r="AG152" i="65" s="1"/>
  <c r="AG57" i="105" s="1"/>
  <c r="AG97" i="105" s="1"/>
  <c r="AG141" i="65"/>
  <c r="AG170" i="65" s="1"/>
  <c r="AG75" i="105" s="1"/>
  <c r="AG195" i="105" s="1"/>
  <c r="AG132" i="65"/>
  <c r="AG161" i="65" s="1"/>
  <c r="AG66" i="105" s="1"/>
  <c r="AG184" i="105" s="1"/>
  <c r="X278" i="41" l="1"/>
  <c r="X283" i="41" s="1"/>
  <c r="S279" i="41"/>
  <c r="S284" i="41" s="1"/>
  <c r="M299" i="41"/>
  <c r="M301" i="41" s="1"/>
  <c r="M303" i="41" s="1"/>
  <c r="M305" i="41" s="1"/>
  <c r="M392" i="41" s="1"/>
  <c r="Z279" i="41"/>
  <c r="Z284" i="41" s="1"/>
  <c r="W174" i="105"/>
  <c r="W146" i="105"/>
  <c r="W69" i="82" s="1"/>
  <c r="W140" i="105"/>
  <c r="L68" i="82"/>
  <c r="L207" i="105"/>
  <c r="L80" i="82" s="1"/>
  <c r="L206" i="105"/>
  <c r="L79" i="82" s="1"/>
  <c r="AB140" i="105"/>
  <c r="AB146" i="105"/>
  <c r="AB69" i="82" s="1"/>
  <c r="AB174" i="105"/>
  <c r="AB71" i="82" s="1"/>
  <c r="L148" i="105"/>
  <c r="L142" i="105"/>
  <c r="W148" i="105"/>
  <c r="W142" i="105"/>
  <c r="L147" i="105"/>
  <c r="L141" i="105"/>
  <c r="AB148" i="105"/>
  <c r="AB142" i="105"/>
  <c r="Y279" i="41"/>
  <c r="Y284"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AJ354" i="41" s="1"/>
  <c r="AJ356"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M308"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Y331" i="41"/>
  <c r="AA280" i="41"/>
  <c r="AA285" i="41" s="1"/>
  <c r="AA363" i="41" s="1"/>
  <c r="V280" i="41"/>
  <c r="V285" i="41" s="1"/>
  <c r="V363" i="41" s="1"/>
  <c r="Y278" i="41"/>
  <c r="Y283" i="41" s="1"/>
  <c r="Y299"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L399" i="41"/>
  <c r="J275" i="41"/>
  <c r="J280" i="41" s="1"/>
  <c r="J285" i="41" s="1"/>
  <c r="R399" i="41"/>
  <c r="AC331" i="41"/>
  <c r="AC333" i="41" s="1"/>
  <c r="AC335" i="41" s="1"/>
  <c r="U280" i="41"/>
  <c r="U285" i="41" s="1"/>
  <c r="U363" i="41" s="1"/>
  <c r="Z280" i="41"/>
  <c r="Z285" i="41" s="1"/>
  <c r="Z363" i="41" s="1"/>
  <c r="W71" i="82"/>
  <c r="AG107" i="105"/>
  <c r="AG117" i="105"/>
  <c r="K33" i="65"/>
  <c r="K111" i="65" s="1"/>
  <c r="K32" i="65"/>
  <c r="K110" i="65" s="1"/>
  <c r="V331" i="41" l="1"/>
  <c r="AH399" i="41"/>
  <c r="AI399" i="41"/>
  <c r="AB206" i="105"/>
  <c r="AB68" i="82"/>
  <c r="AB207" i="105"/>
  <c r="AB80" i="82" s="1"/>
  <c r="W207" i="105"/>
  <c r="W80" i="82" s="1"/>
  <c r="W206" i="105"/>
  <c r="W68" i="82"/>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I423" i="41"/>
  <c r="AI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R423" i="41"/>
  <c r="R427" i="41" s="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M312" i="41" s="1"/>
  <c r="M385"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V333" i="41" s="1"/>
  <c r="V335" i="41" s="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O342" i="41"/>
  <c r="O341" i="41"/>
  <c r="Z365" i="41"/>
  <c r="Z367" i="41" s="1"/>
  <c r="U365" i="41"/>
  <c r="U367" i="41" s="1"/>
  <c r="U331" i="41"/>
  <c r="S331" i="41"/>
  <c r="AD337" i="41"/>
  <c r="AD301" i="41"/>
  <c r="AD303" i="41" s="1"/>
  <c r="AD305" i="41" s="1"/>
  <c r="V299" i="41"/>
  <c r="O308" i="41"/>
  <c r="T301" i="41"/>
  <c r="T303" i="41" s="1"/>
  <c r="T305" i="41" s="1"/>
  <c r="Y301" i="41"/>
  <c r="Y303" i="41" s="1"/>
  <c r="Y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Z326" i="41" l="1"/>
  <c r="Z328" i="41" s="1"/>
  <c r="W326" i="41"/>
  <c r="W328" i="41" s="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O344" i="41"/>
  <c r="O386"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AG389" i="41" l="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72" i="105" s="1"/>
  <c r="R70" i="82"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l="1"/>
  <c r="K71" i="82" s="1"/>
  <c r="K172" i="105"/>
  <c r="K70" i="82" s="1"/>
  <c r="R116" i="105"/>
  <c r="R122" i="105" s="1"/>
  <c r="R194" i="105"/>
  <c r="R200" i="105" s="1"/>
  <c r="R106" i="105"/>
  <c r="R112" i="105" s="1"/>
  <c r="R183" i="105"/>
  <c r="R189" i="105" s="1"/>
  <c r="R174" i="105"/>
  <c r="R71" i="82" s="1"/>
  <c r="R140" i="105"/>
  <c r="R146" i="105"/>
  <c r="R69" i="82" s="1"/>
  <c r="AG400" i="41"/>
  <c r="M401" i="41"/>
  <c r="M404" i="41" s="1"/>
  <c r="M413" i="41" s="1"/>
  <c r="AG401" i="41"/>
  <c r="M399" i="41"/>
  <c r="M423" i="41" s="1"/>
  <c r="M427" i="41" s="1"/>
  <c r="AF399" i="41"/>
  <c r="AE401" i="41"/>
  <c r="AE404" i="41" s="1"/>
  <c r="AE413" i="41" s="1"/>
  <c r="AF400" i="41"/>
  <c r="AF405" i="41" s="1"/>
  <c r="AF414" i="41" s="1"/>
  <c r="AE399" i="4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AG32" i="65"/>
  <c r="AG110" i="65" s="1"/>
  <c r="K107" i="105"/>
  <c r="K112" i="105" s="1"/>
  <c r="K117" i="105"/>
  <c r="K122" i="105" s="1"/>
  <c r="AJ116" i="105"/>
  <c r="AJ122" i="105" s="1"/>
  <c r="AJ106" i="105"/>
  <c r="AJ112" i="105" s="1"/>
  <c r="AJ96" i="105"/>
  <c r="AJ102" i="105" s="1"/>
  <c r="AG33" i="65"/>
  <c r="AG111" i="65" s="1"/>
  <c r="AG39" i="82" s="1"/>
  <c r="AF423" i="41" l="1"/>
  <c r="AF427" i="41" s="1"/>
  <c r="AG423" i="41"/>
  <c r="AG427" i="41" s="1"/>
  <c r="AE423" i="41"/>
  <c r="AE427" i="41" s="1"/>
  <c r="AJ174" i="105"/>
  <c r="AJ172" i="105"/>
  <c r="AJ70" i="82" s="1"/>
  <c r="R68" i="82"/>
  <c r="R207" i="105"/>
  <c r="R80" i="82" s="1"/>
  <c r="R206" i="105"/>
  <c r="R79" i="82" s="1"/>
  <c r="AJ148" i="105"/>
  <c r="AJ142" i="105"/>
  <c r="K148" i="105"/>
  <c r="K142" i="105"/>
  <c r="K147" i="105"/>
  <c r="K141" i="105"/>
  <c r="R147" i="105"/>
  <c r="R141" i="105"/>
  <c r="R148" i="105"/>
  <c r="R142" i="105"/>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S423" i="41" s="1"/>
  <c r="S427" i="41" s="1"/>
  <c r="AA399" i="41"/>
  <c r="AA400" i="41"/>
  <c r="AA405" i="41" s="1"/>
  <c r="AA414" i="41" s="1"/>
  <c r="AA33" i="65" s="1"/>
  <c r="AA111" i="65" s="1"/>
  <c r="AA39" i="82" s="1"/>
  <c r="V401" i="41"/>
  <c r="V404" i="41" s="1"/>
  <c r="V413" i="41" s="1"/>
  <c r="V32" i="65" s="1"/>
  <c r="V110" i="65" s="1"/>
  <c r="V38" i="82" s="1"/>
  <c r="V399" i="4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A423" i="41" l="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X174" i="105" l="1"/>
  <c r="X71" i="82" s="1"/>
  <c r="X172" i="105"/>
  <c r="X70" i="82" s="1"/>
  <c r="AF174" i="105"/>
  <c r="AF71" i="82" s="1"/>
  <c r="AF172" i="105"/>
  <c r="AF70" i="82" s="1"/>
  <c r="Z174" i="105"/>
  <c r="Z71" i="82" s="1"/>
  <c r="Z172" i="105"/>
  <c r="Z70" i="82" s="1"/>
  <c r="N174" i="105"/>
  <c r="N71" i="82" s="1"/>
  <c r="N172" i="105"/>
  <c r="N70" i="82" s="1"/>
  <c r="V174" i="105"/>
  <c r="V71" i="82" s="1"/>
  <c r="V172" i="105"/>
  <c r="V70" i="82" s="1"/>
  <c r="AA174" i="105"/>
  <c r="AA71" i="82" s="1"/>
  <c r="AA172" i="105"/>
  <c r="AA70" i="82" s="1"/>
  <c r="T115" i="105"/>
  <c r="T102" i="105"/>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72" i="105" s="1"/>
  <c r="J70" i="82" s="1"/>
  <c r="J112" i="105"/>
  <c r="Y55" i="105"/>
  <c r="Y95" i="105" s="1"/>
  <c r="Y73" i="105"/>
  <c r="Y193" i="105" s="1"/>
  <c r="Y200" i="105" s="1"/>
  <c r="AC140" i="105" l="1"/>
  <c r="AC68" i="82" s="1"/>
  <c r="AC172" i="105"/>
  <c r="AC70" i="82" s="1"/>
  <c r="T146" i="105"/>
  <c r="T69" i="82" s="1"/>
  <c r="T172" i="105"/>
  <c r="T70" i="82" s="1"/>
  <c r="T140" i="105"/>
  <c r="T207" i="105" s="1"/>
  <c r="T80" i="82" s="1"/>
  <c r="T174" i="105"/>
  <c r="T71" i="82" s="1"/>
  <c r="J174" i="105"/>
  <c r="J71" i="82" s="1"/>
  <c r="J146" i="105"/>
  <c r="J69" i="82" s="1"/>
  <c r="J141" i="105"/>
  <c r="J147" i="105"/>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AC206" i="105" l="1"/>
  <c r="AC207" i="105"/>
  <c r="AC80" i="82" s="1"/>
  <c r="T68" i="82"/>
  <c r="Y174" i="105"/>
  <c r="Y172" i="105"/>
  <c r="Y70" i="82" s="1"/>
  <c r="U147" i="105"/>
  <c r="AD174" i="105"/>
  <c r="AD71" i="82" s="1"/>
  <c r="AD172" i="105"/>
  <c r="AD70" i="82" s="1"/>
  <c r="T142" i="105"/>
  <c r="T206" i="105"/>
  <c r="T79" i="82" s="1"/>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H136" i="105"/>
  <c r="J80" i="82"/>
  <c r="H211" i="105" l="1" a="1"/>
  <c r="H211" i="105" s="1"/>
  <c r="A4" i="105" s="1"/>
  <c r="J61" i="55"/>
  <c r="H84" i="82" a="1"/>
  <c r="H84" i="82" s="1"/>
  <c r="J62" i="55" s="1"/>
  <c r="J60" i="55" l="1"/>
  <c r="J63" i="55" s="1"/>
  <c r="A4" i="55" s="1"/>
  <c r="A4" i="82"/>
</calcChain>
</file>

<file path=xl/sharedStrings.xml><?xml version="1.0" encoding="utf-8"?>
<sst xmlns="http://schemas.openxmlformats.org/spreadsheetml/2006/main" count="7962" uniqueCount="1178">
  <si>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</si>
  <si>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</si>
  <si>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</si>
  <si>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</si>
  <si>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</si>
  <si>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</si>
  <si>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</si>
  <si>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</si>
  <si>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</si>
  <si>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</si>
  <si>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</si>
  <si>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</si>
  <si>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</si>
  <si>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</si>
  <si>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</si>
  <si>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</si>
  <si>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</si>
  <si>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</si>
  <si>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</si>
  <si>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</si>
  <si>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</si>
  <si>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</si>
  <si>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</si>
  <si>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</si>
  <si>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</si>
  <si>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</si>
  <si>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</si>
  <si>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</si>
  <si>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</si>
  <si>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</si>
  <si>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</si>
  <si>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</si>
  <si>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</si>
  <si>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</si>
  <si>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</si>
  <si>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</si>
  <si>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</si>
  <si>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</si>
  <si>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</si>
  <si>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</si>
  <si>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</si>
  <si>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</si>
  <si>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</si>
  <si>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</si>
  <si>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</si>
  <si>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</si>
  <si>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</si>
  <si>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</si>
  <si>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</si>
  <si>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</si>
  <si>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</si>
  <si>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</si>
  <si>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</si>
  <si>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</si>
  <si>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</si>
  <si>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</si>
  <si>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</si>
  <si>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</si>
  <si>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</si>
  <si>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</si>
  <si>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</si>
  <si>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</si>
  <si>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</si>
  <si>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</si>
  <si>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</si>
  <si>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</si>
  <si>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</si>
  <si>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</si>
  <si>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</si>
  <si>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</si>
  <si>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</si>
  <si>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</si>
  <si>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</si>
  <si>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</si>
  <si>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</si>
  <si>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</si>
  <si>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</si>
  <si>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</si>
  <si>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</si>
  <si>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</si>
  <si>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</si>
  <si>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</si>
  <si>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</si>
  <si>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</si>
  <si>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</si>
  <si>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</si>
  <si>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</si>
  <si>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</si>
  <si>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</si>
  <si>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</si>
  <si>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</si>
  <si>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</si>
  <si>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</si>
  <si>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</si>
  <si>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</si>
  <si>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</si>
  <si>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</si>
  <si>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</si>
  <si>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</si>
  <si>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</si>
  <si>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</si>
  <si>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</si>
  <si>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</si>
  <si>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</si>
  <si>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</si>
  <si>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</si>
  <si>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</si>
  <si>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</si>
  <si>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</si>
  <si>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</si>
  <si>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</si>
  <si>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</si>
  <si>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</si>
  <si>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</si>
  <si>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</si>
  <si>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</si>
  <si>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</si>
  <si>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</si>
  <si>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</si>
  <si>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</si>
  <si>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</si>
  <si>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</si>
  <si>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</si>
  <si>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</si>
  <si>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</si>
  <si>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</si>
  <si>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</si>
  <si>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</si>
  <si>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</si>
  <si>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</si>
  <si>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</si>
  <si>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</si>
  <si>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</si>
  <si>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</si>
  <si>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</si>
  <si>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</si>
  <si>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</si>
  <si>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</si>
  <si>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</si>
  <si>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</si>
  <si>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</si>
  <si>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</si>
  <si>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</si>
  <si>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</si>
  <si>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</si>
  <si>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</si>
  <si>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</si>
  <si>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</si>
  <si>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</si>
  <si>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</si>
  <si>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</si>
  <si>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</si>
  <si>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</si>
  <si>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</si>
  <si>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</si>
  <si>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</si>
  <si>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</si>
  <si>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</si>
  <si>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</si>
  <si>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</si>
  <si>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</si>
  <si>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</si>
  <si>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</si>
  <si>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</si>
  <si>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</si>
  <si>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</si>
  <si>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</si>
  <si>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</si>
  <si>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</si>
  <si>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</si>
  <si>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</si>
  <si>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</si>
  <si>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</si>
  <si>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</si>
  <si>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</si>
  <si>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</si>
  <si>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</si>
  <si>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</si>
  <si>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</si>
  <si>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</si>
  <si>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</si>
  <si>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</si>
  <si>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</si>
  <si>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</si>
  <si>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</si>
  <si>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</si>
  <si>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</si>
  <si>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</si>
  <si>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</si>
  <si>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</si>
  <si>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</si>
  <si>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</si>
  <si>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</si>
  <si>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</si>
  <si>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</si>
  <si>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</si>
  <si>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</si>
  <si>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</si>
  <si>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</si>
  <si>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</si>
  <si>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</si>
  <si>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</si>
  <si>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</si>
  <si>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</si>
  <si>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</si>
  <si>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</si>
  <si>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</si>
  <si>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</si>
  <si>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</si>
  <si>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</si>
  <si>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</si>
  <si>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</si>
  <si>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</si>
  <si>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</si>
  <si>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</si>
  <si>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</si>
  <si>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</si>
  <si>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</si>
  <si>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</si>
  <si>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</si>
  <si>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</si>
  <si>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</si>
  <si>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</si>
  <si>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</si>
  <si>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</si>
  <si>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</si>
  <si>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</si>
  <si>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</si>
  <si>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</si>
  <si>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</si>
  <si>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</si>
  <si>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</si>
  <si>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</si>
  <si>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</si>
  <si>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</si>
  <si>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</si>
  <si>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</si>
  <si>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</si>
  <si>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</si>
  <si>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</si>
  <si>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</si>
  <si>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</si>
  <si>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</si>
  <si>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</si>
  <si>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</si>
  <si>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</si>
  <si>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</si>
  <si>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</si>
  <si>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</si>
  <si>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</si>
  <si>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</si>
  <si>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</si>
  <si>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</si>
  <si>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</si>
  <si>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</si>
  <si>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</si>
  <si>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</si>
  <si>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</si>
  <si>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</si>
  <si>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</si>
  <si>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</si>
  <si>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</si>
  <si>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</si>
  <si>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</si>
  <si>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</si>
  <si>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</si>
  <si>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</si>
  <si>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</si>
  <si>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</si>
  <si>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</si>
  <si>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</si>
  <si>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</si>
  <si>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</si>
  <si>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</si>
  <si>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</si>
  <si>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</si>
  <si>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</si>
  <si>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</si>
  <si>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</si>
  <si>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</si>
  <si>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</si>
  <si>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</si>
  <si>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</si>
  <si>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</si>
  <si>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</si>
  <si>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</si>
  <si>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</si>
  <si>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</si>
  <si>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</si>
  <si>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</si>
  <si>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</si>
  <si>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</si>
  <si>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</si>
  <si>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</si>
  <si>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</si>
  <si>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</si>
  <si>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</si>
  <si>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</si>
  <si>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</si>
  <si>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</si>
  <si>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</si>
  <si>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</si>
  <si>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</si>
  <si>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</si>
  <si>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</si>
  <si>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</si>
  <si>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</si>
  <si>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</si>
  <si>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</si>
  <si>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</si>
  <si>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</si>
  <si>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</si>
  <si>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</si>
  <si>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</si>
  <si>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</si>
  <si>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</si>
  <si>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</si>
  <si>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</si>
  <si>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</si>
  <si>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</si>
  <si>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</si>
  <si>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</si>
  <si>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</si>
  <si>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</si>
  <si>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</si>
  <si>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</si>
  <si>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</si>
  <si>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</si>
  <si>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</si>
  <si>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</si>
  <si>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</si>
  <si>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</si>
  <si>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</si>
  <si>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</si>
  <si>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</si>
  <si>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</si>
  <si>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</si>
  <si>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</si>
  <si>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</si>
  <si>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</si>
  <si>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</si>
  <si>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</si>
  <si>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</si>
  <si>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</si>
  <si>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</si>
  <si>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</si>
  <si>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</si>
  <si>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</si>
  <si>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</si>
  <si>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</si>
  <si>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</si>
  <si>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</si>
  <si>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</si>
  <si>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</si>
  <si>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</si>
  <si>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</si>
  <si>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</si>
  <si>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</si>
  <si>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</si>
  <si>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</si>
  <si>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</si>
  <si>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</si>
  <si>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</si>
  <si>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</si>
  <si>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</si>
  <si>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</si>
  <si>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</si>
  <si>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</si>
  <si>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</si>
  <si>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</si>
  <si>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</si>
  <si>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</si>
  <si>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</si>
  <si>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</si>
  <si>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</si>
  <si>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</si>
  <si>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</si>
  <si>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</si>
  <si>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</si>
  <si>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</si>
  <si>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</si>
  <si>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</si>
  <si>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</si>
  <si>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</si>
  <si>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</si>
  <si>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</si>
  <si>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</si>
  <si>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</si>
  <si>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</si>
  <si>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</si>
  <si>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</si>
  <si>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</si>
  <si>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</si>
  <si>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</si>
  <si>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</si>
  <si>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</si>
  <si>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</si>
  <si>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</si>
  <si>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</si>
  <si>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</si>
  <si>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</si>
  <si>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</si>
  <si>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</si>
  <si>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</si>
  <si>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</si>
  <si>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</si>
  <si>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</si>
  <si>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</si>
  <si>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</si>
  <si>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</si>
  <si>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</si>
  <si>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</si>
  <si>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</si>
  <si>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</si>
  <si>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</si>
  <si>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</si>
  <si>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</si>
  <si>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</si>
  <si>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</si>
  <si>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</si>
  <si>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</si>
  <si>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</si>
  <si>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</si>
  <si>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</si>
  <si>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</si>
  <si>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</si>
  <si>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</si>
  <si>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</si>
  <si>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</si>
  <si>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</si>
  <si>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</si>
  <si>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</si>
  <si>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</si>
  <si>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</si>
  <si>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</si>
  <si>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</si>
  <si>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</si>
  <si>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</si>
  <si>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</si>
  <si>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</si>
  <si>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</si>
  <si>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</si>
  <si>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</si>
  <si>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</si>
  <si>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</si>
  <si>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</si>
  <si>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</si>
  <si>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</si>
  <si>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</si>
  <si>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</si>
  <si>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</si>
  <si>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</si>
  <si>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</si>
  <si>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</si>
  <si>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</si>
  <si>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</si>
  <si>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</si>
  <si>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</si>
  <si>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</si>
  <si>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</si>
  <si>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</si>
  <si>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</si>
  <si>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</si>
  <si>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</si>
  <si>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</si>
  <si>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</si>
  <si>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</si>
  <si>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</si>
  <si>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</si>
  <si>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</si>
  <si>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</si>
  <si>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</si>
  <si>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</si>
  <si>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</si>
  <si>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</si>
  <si>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</si>
  <si>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</si>
  <si>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</si>
  <si>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</si>
  <si>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</si>
  <si>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</si>
  <si>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</si>
  <si>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</si>
  <si>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</si>
  <si>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</si>
  <si>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</si>
  <si>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</si>
  <si>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</si>
  <si>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</si>
  <si>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</si>
  <si>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</si>
  <si>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</si>
  <si>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</si>
  <si>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</si>
  <si>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</si>
  <si>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</si>
  <si>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</si>
  <si>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</si>
  <si>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</si>
  <si>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</si>
  <si>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</si>
  <si>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</si>
  <si>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</si>
  <si>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</si>
  <si>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</si>
  <si>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</si>
  <si>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</si>
  <si>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</si>
  <si>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</si>
  <si>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</si>
  <si>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</si>
  <si>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</si>
  <si>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</si>
  <si>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</si>
  <si>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</si>
  <si>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</si>
  <si>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</si>
  <si>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</si>
  <si>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</si>
  <si>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</si>
  <si>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</si>
  <si>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</si>
  <si>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</si>
  <si>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</si>
  <si>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</si>
  <si>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</si>
  <si>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</si>
  <si>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</si>
  <si>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</si>
  <si>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</si>
  <si>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</si>
  <si>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</si>
  <si>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</si>
  <si>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</si>
  <si>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</si>
  <si>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</si>
  <si>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</si>
  <si>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</si>
  <si>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</si>
  <si>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</si>
  <si>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</si>
  <si>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</si>
  <si>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</si>
  <si>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</si>
  <si>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</si>
  <si>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</si>
  <si>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</si>
  <si>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</si>
  <si>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</si>
  <si>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</si>
  <si>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</si>
  <si>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</si>
  <si>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</si>
  <si>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</si>
  <si>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</si>
  <si>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</si>
  <si>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</si>
  <si>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</si>
  <si>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</si>
  <si>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</si>
  <si>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</si>
  <si>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</si>
  <si>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</si>
  <si>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</si>
  <si>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</si>
  <si>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</si>
  <si>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</si>
  <si>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</si>
  <si>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</si>
  <si>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</si>
  <si>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</si>
  <si>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</si>
  <si>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</si>
  <si>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</si>
  <si>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</si>
  <si>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</si>
  <si>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</si>
  <si>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</si>
  <si>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</si>
  <si>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</si>
  <si>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</si>
  <si>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</si>
  <si>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</si>
  <si>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</si>
  <si>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</si>
  <si>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</si>
  <si>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</si>
  <si>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</si>
  <si>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</si>
  <si>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</si>
  <si>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</si>
  <si>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</si>
  <si>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</si>
  <si>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</si>
  <si>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</si>
  <si>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</si>
  <si>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</si>
  <si>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</si>
  <si>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</si>
  <si>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</si>
  <si>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</si>
  <si>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</si>
  <si>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</si>
  <si>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</si>
  <si>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</si>
  <si>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</si>
  <si>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</si>
  <si>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</si>
  <si>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</si>
  <si>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</si>
  <si>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</si>
  <si>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</si>
  <si>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</si>
  <si>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</si>
  <si>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</si>
  <si>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</si>
  <si>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</si>
  <si>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</si>
  <si>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</si>
  <si>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</si>
  <si>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</si>
  <si>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</si>
  <si>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</si>
  <si>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</si>
  <si>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</si>
  <si>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</si>
  <si>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</si>
  <si>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</si>
  <si>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</si>
  <si>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</si>
  <si>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</si>
  <si>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</si>
  <si>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</si>
  <si>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</si>
  <si>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</si>
  <si>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</si>
  <si>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</si>
  <si>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</si>
  <si>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</si>
  <si>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</si>
  <si>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</si>
  <si>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</si>
  <si>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</si>
  <si>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</si>
  <si>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</si>
  <si>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</si>
  <si>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</si>
  <si>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</si>
  <si>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</si>
  <si>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</si>
  <si>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</si>
  <si>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</si>
  <si>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</si>
  <si>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</si>
  <si>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</si>
  <si>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</si>
  <si>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</si>
  <si>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</si>
  <si>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</si>
  <si>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</si>
  <si>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</si>
  <si>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</si>
  <si>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</si>
  <si>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</si>
  <si>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</si>
  <si>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</si>
  <si>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</si>
  <si>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</si>
  <si>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</si>
  <si>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</si>
  <si>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</si>
  <si>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</si>
  <si>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</si>
  <si>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</si>
  <si>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</si>
  <si>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</si>
  <si>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</si>
  <si>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</si>
  <si>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</si>
  <si>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</si>
  <si>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</si>
  <si>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</si>
  <si>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</si>
  <si>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</si>
  <si>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</si>
  <si>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</si>
  <si>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</si>
  <si>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</si>
  <si>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</si>
  <si>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</si>
  <si>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</si>
  <si>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</si>
  <si>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</si>
  <si>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</si>
  <si>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</si>
  <si>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</si>
  <si>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</si>
  <si>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</si>
  <si>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</si>
  <si>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</si>
  <si>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</si>
  <si>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</si>
  <si>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</si>
  <si>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</si>
  <si>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</si>
  <si>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</si>
  <si>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</si>
  <si>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</si>
  <si>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</si>
  <si>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</si>
  <si>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</si>
  <si>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</si>
  <si>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</si>
  <si>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</si>
  <si>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</si>
  <si>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</si>
  <si>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</si>
  <si>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</si>
  <si>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</si>
  <si>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</si>
  <si>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</si>
  <si>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</si>
  <si>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</si>
  <si>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</si>
  <si>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</si>
  <si>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</si>
  <si>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</si>
  <si>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</si>
  <si>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</si>
  <si>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</si>
  <si>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</si>
  <si>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</si>
  <si>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</si>
  <si>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</si>
  <si>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</si>
  <si>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</si>
  <si>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</si>
  <si>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</si>
  <si>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</si>
  <si>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</si>
  <si>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</si>
  <si>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</si>
  <si>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</si>
  <si>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</si>
  <si>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</si>
  <si>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</si>
  <si>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</si>
  <si>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</si>
  <si>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</si>
  <si>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</si>
  <si>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</si>
  <si>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</si>
  <si>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</si>
  <si>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</si>
  <si>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</si>
  <si>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</si>
  <si>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</si>
  <si>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</si>
  <si>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</si>
  <si>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</si>
  <si>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</si>
  <si>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</si>
  <si>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</si>
  <si>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</si>
  <si>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</si>
  <si>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</si>
  <si>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</si>
  <si>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</si>
  <si>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</si>
  <si>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</si>
  <si>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</si>
  <si>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</si>
  <si>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</si>
  <si>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</si>
  <si>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</si>
  <si>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</si>
  <si>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</si>
  <si>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</si>
  <si>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</si>
  <si>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</si>
  <si>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</si>
  <si>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</si>
  <si>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</si>
  <si>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</si>
  <si>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</si>
  <si>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</si>
  <si>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</si>
  <si>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</si>
  <si>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</si>
  <si>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</si>
  <si>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</si>
  <si>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</si>
  <si>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</si>
  <si>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</si>
  <si>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</si>
  <si>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</si>
  <si>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</si>
  <si>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</si>
  <si>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</si>
  <si>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</si>
  <si>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</si>
  <si>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</si>
  <si>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</si>
  <si>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</si>
  <si>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</si>
  <si>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</si>
  <si>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</si>
  <si>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</si>
  <si>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</si>
  <si>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</si>
  <si>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</si>
  <si>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</si>
  <si>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</si>
  <si>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</si>
  <si>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</si>
  <si>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</si>
  <si>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</si>
  <si>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</si>
  <si>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</si>
  <si>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</si>
  <si>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</si>
  <si>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</si>
  <si>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</si>
  <si>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</si>
  <si>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</si>
  <si>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</si>
  <si>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</si>
  <si>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</si>
  <si>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</si>
  <si>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</si>
  <si>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</si>
  <si>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</si>
  <si>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</si>
  <si>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</si>
  <si>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</si>
  <si>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</si>
  <si>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</si>
  <si>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</si>
  <si>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</si>
  <si>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</si>
  <si>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</si>
  <si>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</si>
  <si>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</si>
  <si>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</si>
  <si>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</si>
  <si>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</si>
  <si>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</si>
  <si>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</si>
  <si>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</si>
  <si>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</si>
  <si>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</si>
  <si>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</si>
  <si>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</si>
  <si>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</si>
  <si>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</si>
  <si>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</si>
  <si>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</si>
  <si>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</si>
  <si>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</si>
  <si>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</si>
  <si>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</si>
  <si>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</si>
  <si>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</si>
  <si>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</si>
  <si>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</si>
  <si>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</si>
  <si>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</si>
  <si>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</si>
  <si>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</si>
  <si>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</si>
  <si>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</si>
  <si>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</si>
  <si>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</si>
  <si>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</si>
  <si>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</si>
  <si>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</si>
  <si>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</si>
  <si>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</si>
  <si>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</si>
  <si>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</si>
  <si>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</si>
  <si>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</si>
  <si>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</si>
  <si>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</si>
  <si>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</si>
  <si>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</si>
  <si>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</si>
  <si>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</si>
  <si>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</si>
  <si>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</si>
  <si>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</si>
  <si>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</si>
  <si>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</si>
  <si>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</si>
  <si>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</si>
  <si>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</si>
  <si>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</si>
  <si>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</si>
  <si>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</si>
  <si>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</si>
  <si>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</si>
  <si>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</si>
  <si>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</si>
  <si>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</si>
  <si>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</si>
  <si>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</si>
  <si>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</si>
  <si>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</si>
  <si>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</si>
  <si>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</si>
  <si>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</si>
  <si>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</si>
  <si>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</si>
  <si>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</si>
  <si>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</si>
  <si>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</si>
  <si>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</si>
  <si>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</si>
  <si>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</si>
  <si>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</si>
  <si>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</si>
  <si>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</si>
  <si>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</si>
  <si>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</si>
  <si>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</si>
  <si>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</si>
  <si>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</si>
  <si>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</si>
  <si>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</si>
  <si>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</si>
  <si>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</si>
  <si>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</si>
  <si>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</si>
  <si>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</si>
  <si>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</si>
  <si>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</si>
  <si>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</si>
  <si>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</si>
  <si>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</si>
  <si>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</si>
  <si>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</si>
  <si>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</si>
  <si>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</si>
  <si>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</si>
  <si>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</si>
  <si>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</si>
  <si>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</si>
  <si>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</si>
  <si>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</si>
  <si>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</si>
  <si>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</si>
  <si>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</si>
  <si>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</si>
  <si>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</si>
  <si>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</si>
  <si>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</si>
  <si>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</si>
  <si>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</si>
  <si>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</si>
  <si>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</si>
  <si>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</si>
  <si>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</si>
  <si>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</si>
  <si>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</si>
  <si>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</si>
  <si>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</si>
  <si>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</si>
  <si>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</si>
  <si>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</si>
  <si>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</si>
  <si>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</si>
  <si>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</si>
  <si>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</si>
  <si>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</si>
  <si>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</si>
  <si>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</si>
  <si>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</si>
  <si>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</si>
  <si>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</si>
  <si>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</si>
  <si>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</si>
  <si>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</si>
  <si>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</si>
  <si>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</si>
  <si>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</si>
  <si>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</si>
  <si>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</si>
  <si>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</si>
  <si>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</si>
  <si>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</si>
  <si>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</si>
  <si>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</si>
  <si>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</si>
  <si>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</si>
  <si>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</si>
  <si>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</si>
  <si>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</si>
  <si>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</si>
  <si>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</si>
  <si>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</si>
  <si>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</si>
  <si>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</si>
  <si>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</si>
  <si>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</si>
  <si>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</si>
  <si>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</si>
  <si>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</si>
  <si>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</si>
  <si>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</si>
  <si>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</si>
  <si>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</si>
  <si>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</si>
  <si>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</si>
  <si>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</si>
  <si>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</si>
  <si>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</si>
  <si>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</si>
  <si>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</si>
  <si>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</si>
  <si>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</si>
  <si>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</si>
  <si>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</si>
  <si>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</si>
  <si>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</si>
  <si>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</si>
  <si>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</si>
  <si>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</si>
  <si>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</si>
  <si>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</si>
  <si>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</si>
  <si>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</si>
  <si>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</si>
  <si>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</si>
  <si>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</si>
  <si>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</si>
  <si>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</si>
  <si>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</si>
  <si>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</si>
  <si>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</si>
  <si>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</si>
  <si>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</si>
  <si>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</si>
  <si>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</si>
  <si>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</si>
  <si>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</si>
  <si>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</si>
  <si>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</si>
  <si>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</si>
  <si>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</si>
  <si>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</si>
  <si>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</si>
  <si>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</si>
  <si>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</si>
  <si>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</si>
  <si>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</si>
  <si>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</si>
  <si>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</si>
  <si>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</si>
  <si>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</si>
  <si>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</si>
  <si>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</si>
  <si>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</si>
  <si>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</si>
  <si>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</si>
  <si>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</si>
  <si>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</si>
  <si>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</si>
  <si>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</si>
  <si>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</si>
  <si>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</si>
  <si>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</si>
  <si>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</si>
  <si>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</si>
  <si>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</si>
  <si>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</si>
  <si>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</si>
  <si>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</si>
  <si>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</si>
  <si>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</si>
  <si>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</si>
  <si>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</si>
  <si>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</si>
  <si>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</si>
  <si>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</si>
  <si>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</si>
  <si>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</si>
  <si>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</si>
  <si>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</si>
  <si>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</si>
  <si>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</si>
  <si>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</si>
  <si>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</si>
  <si>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</si>
  <si>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</si>
  <si>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</si>
  <si>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</si>
  <si>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</si>
  <si>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</si>
  <si>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</si>
  <si>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</si>
  <si>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</si>
  <si>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</si>
  <si>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</si>
  <si>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</si>
  <si>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</si>
  <si>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</si>
  <si>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</si>
  <si>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</si>
  <si>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</si>
  <si>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</si>
  <si>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</si>
  <si>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</si>
  <si>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</si>
  <si>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</si>
  <si>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</si>
  <si>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</si>
  <si>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</si>
  <si>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</si>
  <si>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</si>
  <si>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</si>
  <si>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</si>
  <si>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</si>
  <si>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</si>
  <si>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</si>
  <si>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</si>
  <si>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</si>
  <si>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</si>
  <si>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</si>
  <si>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</si>
  <si>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</si>
  <si>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</si>
  <si>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</si>
  <si>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</si>
  <si>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</si>
  <si>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</si>
  <si>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</si>
  <si>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</si>
  <si>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</si>
  <si>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</si>
  <si>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</si>
  <si>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</si>
  <si>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</si>
  <si>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</si>
  <si>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</si>
  <si>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</si>
  <si>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</si>
  <si>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</si>
  <si>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</si>
  <si>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</si>
  <si>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</si>
  <si>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</si>
  <si>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</si>
  <si>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</si>
  <si>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</si>
  <si>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</si>
  <si>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</si>
  <si>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</si>
  <si>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</si>
  <si>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</si>
  <si>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</si>
  <si>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</si>
  <si>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</si>
  <si>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</si>
  <si>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</si>
  <si>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</si>
  <si>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</si>
  <si>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</si>
  <si>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</si>
  <si>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</si>
  <si>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</si>
  <si>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Domestic Aggregated with Residual</t>
  </si>
  <si>
    <t>Non-Domestic Aggregated No Residual</t>
  </si>
  <si>
    <t>Non-Domestic Aggregated Band 1</t>
  </si>
  <si>
    <t>Non-Domestic Aggregated Band 2</t>
  </si>
  <si>
    <t>Non-Domestic Aggregated Band 3</t>
  </si>
  <si>
    <t>Non-Domestic Aggregated Band 4</t>
  </si>
  <si>
    <t>v0.1</t>
  </si>
  <si>
    <t>Northern Powergrid (Yorkshire)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</si>
</sst>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6">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0" fontId="8" fillId="2" borderId="0" xfId="51" applyAlignment="1" applyProtection="1">
      <alignment horizontal="left" vertical="top" wrapText="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topLeftCell="A2" zoomScale="80" zoomScaleNormal="80" workbookViewId="0">
      <selection activeCell="D4" sqref="D4"/>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1167</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1125</v>
      </c>
    </row>
    <row r="17" spans="2:4" x14ac:dyDescent="0.25">
      <c r="D17" s="4" t="s">
        <v>2</v>
      </c>
    </row>
    <row r="18" spans="2:4" x14ac:dyDescent="0.25">
      <c r="D18" s="3"/>
    </row>
    <row r="19" spans="2:4" ht="15" customHeight="1" x14ac:dyDescent="0.25">
      <c r="B19" s="20" t="s">
        <v>3</v>
      </c>
      <c r="D19" s="420" t="s">
        <v>1168</v>
      </c>
    </row>
    <row r="21" spans="2:4" ht="15" customHeight="1" x14ac:dyDescent="0.25">
      <c r="B21" s="20" t="s">
        <v>4</v>
      </c>
      <c r="D21" s="445" t="s">
        <v>1177</v>
      </c>
    </row>
    <row r="23" spans="2:4" ht="15" customHeight="1" x14ac:dyDescent="0.25">
      <c r="B23" s="20" t="s">
        <v>5</v>
      </c>
      <c r="D23" s="420" t="s">
        <v>1176</v>
      </c>
    </row>
    <row r="25" spans="2:4" ht="30" customHeight="1" x14ac:dyDescent="0.25">
      <c r="B25" s="20" t="s">
        <v>6</v>
      </c>
      <c r="D25" s="420"/>
    </row>
    <row r="26" spans="2:4" ht="15" customHeight="1" x14ac:dyDescent="0.25">
      <c r="B26" s="20"/>
    </row>
    <row r="27" spans="2:4" ht="15" customHeight="1" x14ac:dyDescent="0.25">
      <c r="B27" s="20" t="s">
        <v>7</v>
      </c>
    </row>
    <row r="28" spans="2:4" ht="15" customHeight="1" x14ac:dyDescent="0.25">
      <c r="B28" s="25" t="s">
        <v>8</v>
      </c>
      <c r="C28" s="26"/>
      <c r="D28" s="26" t="s">
        <v>9</v>
      </c>
    </row>
    <row r="29" spans="2:4" x14ac:dyDescent="0.25">
      <c r="B29" s="27"/>
      <c r="C29" s="28"/>
      <c r="D29" s="28" t="s">
        <v>10</v>
      </c>
    </row>
    <row r="30" spans="2:4" x14ac:dyDescent="0.25">
      <c r="B30" s="16" t="s">
        <v>11</v>
      </c>
      <c r="D30" s="3" t="s">
        <v>12</v>
      </c>
    </row>
    <row r="31" spans="2:4" x14ac:dyDescent="0.25">
      <c r="B31" s="421" t="s">
        <v>11</v>
      </c>
      <c r="D31" s="3" t="s">
        <v>13</v>
      </c>
    </row>
    <row r="32" spans="2:4" x14ac:dyDescent="0.25">
      <c r="B32" s="422" t="s">
        <v>11</v>
      </c>
      <c r="D32" s="3" t="s">
        <v>14</v>
      </c>
    </row>
    <row r="33" spans="2:4" x14ac:dyDescent="0.25">
      <c r="B33" s="29" t="s">
        <v>11</v>
      </c>
      <c r="D33" s="3" t="s">
        <v>15</v>
      </c>
    </row>
    <row r="34" spans="2:4" x14ac:dyDescent="0.25">
      <c r="B34" s="30" t="s">
        <v>11</v>
      </c>
      <c r="D34" s="3" t="s">
        <v>16</v>
      </c>
    </row>
    <row r="35" spans="2:4" x14ac:dyDescent="0.25">
      <c r="B35" s="31" t="s">
        <v>11</v>
      </c>
      <c r="D35" s="3" t="s">
        <v>17</v>
      </c>
    </row>
    <row r="36" spans="2:4" x14ac:dyDescent="0.25">
      <c r="B36" s="32" t="s">
        <v>11</v>
      </c>
      <c r="D36" s="3" t="s">
        <v>18</v>
      </c>
    </row>
    <row r="37" spans="2:4" x14ac:dyDescent="0.25">
      <c r="B37" s="33" t="s">
        <v>19</v>
      </c>
      <c r="D37" s="3" t="s">
        <v>20</v>
      </c>
    </row>
    <row r="38" spans="2:4" ht="15" customHeight="1" x14ac:dyDescent="0.25">
      <c r="B38" s="34" t="s">
        <v>19</v>
      </c>
      <c r="D38" s="3" t="s">
        <v>21</v>
      </c>
    </row>
    <row r="39" spans="2:4" ht="15" customHeight="1" x14ac:dyDescent="0.25">
      <c r="B39" s="26" t="s">
        <v>19</v>
      </c>
      <c r="D39" s="3" t="s">
        <v>22</v>
      </c>
    </row>
    <row r="40" spans="2:4" ht="15" customHeight="1" x14ac:dyDescent="0.25">
      <c r="B40" s="35" t="s">
        <v>19</v>
      </c>
      <c r="D40" s="3" t="s">
        <v>23</v>
      </c>
    </row>
    <row r="41" spans="2:4" ht="15" customHeight="1" x14ac:dyDescent="0.25">
      <c r="B41" s="36" t="s">
        <v>19</v>
      </c>
      <c r="D41" s="3" t="s">
        <v>24</v>
      </c>
    </row>
    <row r="42" spans="2:4" ht="15" customHeight="1" x14ac:dyDescent="0.25">
      <c r="B42" s="37" t="s">
        <v>19</v>
      </c>
      <c r="D42" s="3" t="s">
        <v>25</v>
      </c>
    </row>
    <row r="43" spans="2:4" ht="15" customHeight="1" x14ac:dyDescent="0.25">
      <c r="B43" s="38" t="s">
        <v>26</v>
      </c>
      <c r="D43" s="3" t="s">
        <v>27</v>
      </c>
    </row>
    <row r="44" spans="2:4" ht="15" customHeight="1" x14ac:dyDescent="0.25">
      <c r="B44" s="39" t="s">
        <v>26</v>
      </c>
      <c r="D44" s="3" t="s">
        <v>28</v>
      </c>
    </row>
    <row r="45" spans="2:4" ht="15" customHeight="1" x14ac:dyDescent="0.25">
      <c r="B45" s="40" t="s">
        <v>26</v>
      </c>
      <c r="D45" s="3" t="s">
        <v>29</v>
      </c>
    </row>
    <row r="46" spans="2:4" ht="15" customHeight="1" x14ac:dyDescent="0.25">
      <c r="B46" s="41" t="s">
        <v>26</v>
      </c>
      <c r="C46" s="42"/>
      <c r="D46" s="42" t="s">
        <v>30</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Header>&amp;L&amp;"Calibri"&amp;10&amp;KFF0000 Public&amp;1#_x000D_</oddHeader>
    <oddFooter>&amp;L&amp;Z&amp;F_x000D_&amp;1#&amp;"Calibri"&amp;10&amp;KFF0000 Public&amp;C&amp;D&amp;R&amp;P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(Yorkshire) - v0.1</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31</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32</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33</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821</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34</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35</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36</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37</v>
      </c>
      <c r="G19" s="59" t="s">
        <v>38</v>
      </c>
      <c r="H19" s="58" t="s">
        <v>818</v>
      </c>
      <c r="I19" s="59" t="s">
        <v>39</v>
      </c>
      <c r="J19" s="59" t="s">
        <v>40</v>
      </c>
      <c r="K19" s="59" t="s">
        <v>41</v>
      </c>
      <c r="L19" s="59" t="s">
        <v>42</v>
      </c>
    </row>
    <row r="20" spans="1:12" ht="30" x14ac:dyDescent="0.25">
      <c r="A20" s="48"/>
      <c r="B20" s="48"/>
      <c r="C20" s="48"/>
      <c r="D20" s="48"/>
      <c r="E20" s="48"/>
      <c r="F20" s="423">
        <v>43250</v>
      </c>
      <c r="G20" s="420" t="s">
        <v>43</v>
      </c>
      <c r="H20" s="420">
        <v>1</v>
      </c>
      <c r="I20" s="420" t="s">
        <v>44</v>
      </c>
      <c r="J20" s="420" t="s">
        <v>45</v>
      </c>
      <c r="K20" s="420" t="s">
        <v>46</v>
      </c>
      <c r="L20" s="420" t="s">
        <v>47</v>
      </c>
    </row>
    <row r="21" spans="1:12" ht="30" x14ac:dyDescent="0.25">
      <c r="A21" s="48"/>
      <c r="B21" s="48"/>
      <c r="C21" s="48"/>
      <c r="D21" s="48"/>
      <c r="E21" s="48"/>
      <c r="F21" s="423">
        <v>43301</v>
      </c>
      <c r="G21" s="420" t="s">
        <v>43</v>
      </c>
      <c r="H21" s="420">
        <v>2</v>
      </c>
      <c r="I21" s="420" t="s">
        <v>48</v>
      </c>
      <c r="J21" s="420" t="s">
        <v>45</v>
      </c>
      <c r="K21" s="420" t="s">
        <v>46</v>
      </c>
      <c r="L21" s="420" t="s">
        <v>49</v>
      </c>
    </row>
    <row r="22" spans="1:12" ht="45" x14ac:dyDescent="0.25">
      <c r="A22" s="48"/>
      <c r="B22" s="48"/>
      <c r="C22" s="48"/>
      <c r="D22" s="48"/>
      <c r="E22" s="48"/>
      <c r="F22" s="423">
        <v>43389</v>
      </c>
      <c r="G22" s="420" t="s">
        <v>819</v>
      </c>
      <c r="H22" s="420">
        <v>3</v>
      </c>
      <c r="I22" s="424" t="s">
        <v>820</v>
      </c>
      <c r="J22" s="424" t="s">
        <v>45</v>
      </c>
      <c r="K22" s="424" t="s">
        <v>46</v>
      </c>
      <c r="L22" s="424" t="s">
        <v>822</v>
      </c>
    </row>
    <row r="23" spans="1:12" ht="60" x14ac:dyDescent="0.25">
      <c r="A23" s="48"/>
      <c r="B23" s="48"/>
      <c r="C23" s="48"/>
      <c r="D23" s="48"/>
      <c r="E23" s="48"/>
      <c r="F23" s="423">
        <v>43663</v>
      </c>
      <c r="G23" s="420" t="s">
        <v>43</v>
      </c>
      <c r="H23" s="420">
        <v>4</v>
      </c>
      <c r="I23" s="420" t="s">
        <v>851</v>
      </c>
      <c r="J23" s="424" t="s">
        <v>45</v>
      </c>
      <c r="K23" s="424" t="s">
        <v>46</v>
      </c>
      <c r="L23" s="420" t="s">
        <v>852</v>
      </c>
    </row>
    <row r="24" spans="1:12" ht="60" x14ac:dyDescent="0.25">
      <c r="A24" s="48"/>
      <c r="B24" s="48"/>
      <c r="C24" s="48"/>
      <c r="D24" s="48"/>
      <c r="E24" s="48"/>
      <c r="F24" s="423">
        <v>43777</v>
      </c>
      <c r="G24" s="420" t="s">
        <v>819</v>
      </c>
      <c r="H24" s="420">
        <v>5</v>
      </c>
      <c r="I24" s="420" t="s">
        <v>896</v>
      </c>
      <c r="J24" s="420" t="s">
        <v>45</v>
      </c>
      <c r="K24" s="420" t="s">
        <v>46</v>
      </c>
      <c r="L24" s="424" t="s">
        <v>890</v>
      </c>
    </row>
    <row r="25" spans="1:12" ht="90" x14ac:dyDescent="0.25">
      <c r="A25" s="48"/>
      <c r="B25" s="48"/>
      <c r="C25" s="48"/>
      <c r="D25" s="48"/>
      <c r="E25" s="48"/>
      <c r="F25" s="423">
        <v>43860</v>
      </c>
      <c r="G25" s="420" t="s">
        <v>819</v>
      </c>
      <c r="H25" s="420">
        <v>6</v>
      </c>
      <c r="I25" s="420" t="s">
        <v>898</v>
      </c>
      <c r="J25" s="420" t="s">
        <v>45</v>
      </c>
      <c r="K25" s="420" t="s">
        <v>46</v>
      </c>
      <c r="L25" s="424" t="s">
        <v>899</v>
      </c>
    </row>
    <row r="26" spans="1:12" ht="45" x14ac:dyDescent="0.25">
      <c r="A26" s="48"/>
      <c r="B26" s="48"/>
      <c r="C26" s="48"/>
      <c r="D26" s="48"/>
      <c r="E26" s="48"/>
      <c r="F26" s="423">
        <v>43977</v>
      </c>
      <c r="G26" s="420" t="s">
        <v>43</v>
      </c>
      <c r="H26" s="420">
        <v>6</v>
      </c>
      <c r="I26" s="420" t="s">
        <v>1114</v>
      </c>
      <c r="J26" s="420" t="s">
        <v>45</v>
      </c>
      <c r="K26" s="420" t="s">
        <v>46</v>
      </c>
      <c r="L26" s="420" t="s">
        <v>1115</v>
      </c>
    </row>
    <row r="27" spans="1:12" ht="60" x14ac:dyDescent="0.25">
      <c r="A27" s="48"/>
      <c r="B27" s="48"/>
      <c r="C27" s="48"/>
      <c r="D27" s="48"/>
      <c r="E27" s="48"/>
      <c r="F27" s="423">
        <v>44141</v>
      </c>
      <c r="G27" s="420" t="s">
        <v>819</v>
      </c>
      <c r="H27" s="420">
        <v>7</v>
      </c>
      <c r="I27" s="420" t="s">
        <v>1126</v>
      </c>
      <c r="J27" s="420" t="s">
        <v>45</v>
      </c>
      <c r="K27" s="420" t="s">
        <v>46</v>
      </c>
      <c r="L27" s="420" t="s">
        <v>1127</v>
      </c>
    </row>
    <row r="28" spans="1:12" ht="45" x14ac:dyDescent="0.25">
      <c r="A28" s="48"/>
      <c r="B28" s="48"/>
      <c r="C28" s="48"/>
      <c r="D28" s="48"/>
      <c r="E28" s="48"/>
      <c r="F28" s="423">
        <v>44225</v>
      </c>
      <c r="G28" s="420" t="s">
        <v>43</v>
      </c>
      <c r="H28" s="420">
        <v>7</v>
      </c>
      <c r="I28" s="420" t="s">
        <v>1142</v>
      </c>
      <c r="J28" s="420" t="s">
        <v>45</v>
      </c>
      <c r="K28" s="420" t="s">
        <v>46</v>
      </c>
      <c r="L28" s="420" t="s">
        <v>1143</v>
      </c>
    </row>
    <row r="29" spans="1:12" ht="90" x14ac:dyDescent="0.25">
      <c r="A29" s="48"/>
      <c r="B29" s="48"/>
      <c r="C29" s="48"/>
      <c r="D29" s="48"/>
      <c r="E29" s="48"/>
      <c r="F29" s="425">
        <v>44250</v>
      </c>
      <c r="G29" s="420" t="s">
        <v>819</v>
      </c>
      <c r="H29" s="426">
        <v>8</v>
      </c>
      <c r="I29" s="424" t="s">
        <v>1144</v>
      </c>
      <c r="J29" s="420" t="s">
        <v>45</v>
      </c>
      <c r="K29" s="427" t="s">
        <v>46</v>
      </c>
      <c r="L29" s="427" t="s">
        <v>1145</v>
      </c>
    </row>
    <row r="30" spans="1:12" ht="60" x14ac:dyDescent="0.25">
      <c r="A30" s="48"/>
      <c r="B30" s="48"/>
      <c r="C30" s="48"/>
      <c r="D30" s="48"/>
      <c r="E30" s="48"/>
      <c r="F30" s="425">
        <v>44522</v>
      </c>
      <c r="G30" s="420" t="s">
        <v>819</v>
      </c>
      <c r="H30" s="426">
        <v>8</v>
      </c>
      <c r="I30" s="424" t="s">
        <v>1146</v>
      </c>
      <c r="J30" s="420" t="s">
        <v>45</v>
      </c>
      <c r="K30" s="427" t="s">
        <v>46</v>
      </c>
      <c r="L30" s="427" t="s">
        <v>1152</v>
      </c>
    </row>
    <row r="31" spans="1:12" ht="60" x14ac:dyDescent="0.25">
      <c r="A31" s="48"/>
      <c r="B31" s="48"/>
      <c r="C31" s="48"/>
      <c r="D31" s="48"/>
      <c r="E31" s="48"/>
      <c r="F31" s="425">
        <v>44627</v>
      </c>
      <c r="G31" s="420" t="s">
        <v>43</v>
      </c>
      <c r="H31" s="426">
        <v>8</v>
      </c>
      <c r="I31" s="424" t="s">
        <v>1146</v>
      </c>
      <c r="J31" s="420" t="s">
        <v>45</v>
      </c>
      <c r="K31" s="427" t="s">
        <v>46</v>
      </c>
      <c r="L31" s="427" t="s">
        <v>1154</v>
      </c>
    </row>
    <row r="32" spans="1:12" ht="45" x14ac:dyDescent="0.25">
      <c r="A32" s="48"/>
      <c r="B32" s="48"/>
      <c r="C32" s="48"/>
      <c r="D32" s="48"/>
      <c r="E32" s="48"/>
      <c r="F32" s="425">
        <v>44861</v>
      </c>
      <c r="G32" s="420" t="s">
        <v>819</v>
      </c>
      <c r="H32" s="426">
        <v>9</v>
      </c>
      <c r="I32" s="424" t="s">
        <v>1155</v>
      </c>
      <c r="J32" s="420" t="s">
        <v>45</v>
      </c>
      <c r="K32" s="427" t="s">
        <v>46</v>
      </c>
      <c r="L32" s="427" t="s">
        <v>1156</v>
      </c>
    </row>
    <row r="33" spans="1:12" ht="45" x14ac:dyDescent="0.25">
      <c r="A33" s="48"/>
      <c r="B33" s="48"/>
      <c r="C33" s="48"/>
      <c r="D33" s="48"/>
      <c r="E33" s="48"/>
      <c r="F33" s="423">
        <v>45236</v>
      </c>
      <c r="G33" s="420" t="s">
        <v>819</v>
      </c>
      <c r="H33" s="420">
        <v>10</v>
      </c>
      <c r="I33" s="420" t="s">
        <v>1169</v>
      </c>
      <c r="J33" s="420" t="s">
        <v>45</v>
      </c>
      <c r="K33" s="427" t="s">
        <v>46</v>
      </c>
      <c r="L33" s="427" t="s">
        <v>1166</v>
      </c>
    </row>
    <row r="34" spans="1:12" x14ac:dyDescent="0.25">
      <c r="A34" s="48"/>
      <c r="B34" s="48"/>
      <c r="C34" s="48"/>
      <c r="D34" s="48"/>
      <c r="E34" s="48"/>
      <c r="F34" s="423"/>
      <c r="G34" s="420"/>
      <c r="H34" s="420"/>
      <c r="I34" s="420"/>
      <c r="J34" s="420"/>
      <c r="K34" s="420"/>
      <c r="L34" s="420"/>
    </row>
    <row r="36" spans="1:12" x14ac:dyDescent="0.25">
      <c r="B36" s="49" t="s">
        <v>50</v>
      </c>
      <c r="C36" s="49"/>
      <c r="D36" s="49"/>
      <c r="E36" s="49"/>
      <c r="F36" s="49"/>
      <c r="G36" s="50"/>
      <c r="H36" s="50"/>
      <c r="I36" s="50"/>
      <c r="J36" s="50"/>
      <c r="K36" s="50"/>
      <c r="L36" s="49"/>
    </row>
    <row r="38" spans="1:12" x14ac:dyDescent="0.25">
      <c r="E38" s="60" t="s">
        <v>51</v>
      </c>
      <c r="F38" s="61"/>
      <c r="G38" s="62"/>
      <c r="H38" s="62"/>
      <c r="I38" s="62"/>
      <c r="J38" s="62"/>
    </row>
    <row r="39" spans="1:12" x14ac:dyDescent="0.25">
      <c r="F39" s="6" t="s">
        <v>52</v>
      </c>
      <c r="H39" s="428" t="s">
        <v>53</v>
      </c>
      <c r="I39" s="6" t="s">
        <v>54</v>
      </c>
      <c r="J39" s="63">
        <f>'Fixed inputs'!H197</f>
        <v>0</v>
      </c>
    </row>
    <row r="40" spans="1:12" x14ac:dyDescent="0.25">
      <c r="F40" s="6" t="s">
        <v>55</v>
      </c>
      <c r="H40" s="428" t="s">
        <v>56</v>
      </c>
      <c r="I40" s="6" t="s">
        <v>54</v>
      </c>
      <c r="J40" s="63">
        <f>'Inputs by customer type'!H236</f>
        <v>0</v>
      </c>
    </row>
    <row r="41" spans="1:12" x14ac:dyDescent="0.25">
      <c r="F41" s="6" t="s">
        <v>57</v>
      </c>
      <c r="H41" s="428" t="s">
        <v>58</v>
      </c>
      <c r="I41" s="6" t="s">
        <v>54</v>
      </c>
      <c r="J41" s="64">
        <f>'Inputs by network level'!H56</f>
        <v>0</v>
      </c>
    </row>
    <row r="42" spans="1:12" x14ac:dyDescent="0.25">
      <c r="F42" s="6" t="s">
        <v>59</v>
      </c>
      <c r="H42" s="428" t="s">
        <v>60</v>
      </c>
      <c r="I42" s="6" t="s">
        <v>54</v>
      </c>
      <c r="J42" s="63">
        <f>'General inputs'!H115</f>
        <v>0</v>
      </c>
    </row>
    <row r="43" spans="1:12" x14ac:dyDescent="0.25">
      <c r="F43" s="6" t="s">
        <v>61</v>
      </c>
      <c r="H43" s="428" t="s">
        <v>62</v>
      </c>
      <c r="I43" s="6" t="s">
        <v>54</v>
      </c>
      <c r="J43" s="64">
        <f>'Standing charge factors'!H58</f>
        <v>0</v>
      </c>
    </row>
    <row r="44" spans="1:12" x14ac:dyDescent="0.25">
      <c r="F44" s="6" t="s">
        <v>63</v>
      </c>
      <c r="H44" s="428" t="s">
        <v>64</v>
      </c>
      <c r="I44" s="6" t="s">
        <v>54</v>
      </c>
      <c r="J44" s="64">
        <f>'Load &amp; loss characteristics'!H183</f>
        <v>0</v>
      </c>
    </row>
    <row r="45" spans="1:12" x14ac:dyDescent="0.25">
      <c r="F45" s="6" t="s">
        <v>65</v>
      </c>
      <c r="H45" s="428" t="s">
        <v>66</v>
      </c>
      <c r="I45" s="6" t="s">
        <v>54</v>
      </c>
      <c r="J45" s="64">
        <f>'Customer contributions'!H70</f>
        <v>0</v>
      </c>
    </row>
    <row r="46" spans="1:12" x14ac:dyDescent="0.25">
      <c r="F46" s="6" t="s">
        <v>67</v>
      </c>
      <c r="H46" s="428" t="s">
        <v>68</v>
      </c>
      <c r="I46" s="6" t="s">
        <v>54</v>
      </c>
      <c r="J46" s="64">
        <f>'Volume adjustments'!H693</f>
        <v>0</v>
      </c>
    </row>
    <row r="47" spans="1:12" x14ac:dyDescent="0.25">
      <c r="F47" s="6" t="s">
        <v>69</v>
      </c>
      <c r="H47" s="428" t="s">
        <v>70</v>
      </c>
      <c r="I47" s="6" t="s">
        <v>54</v>
      </c>
      <c r="J47" s="64">
        <f>'Pseudo-load coefficients'!H306</f>
        <v>0</v>
      </c>
    </row>
    <row r="48" spans="1:12" x14ac:dyDescent="0.25">
      <c r="F48" s="6" t="s">
        <v>71</v>
      </c>
      <c r="H48" s="428" t="s">
        <v>72</v>
      </c>
      <c r="I48" s="6" t="s">
        <v>54</v>
      </c>
      <c r="J48" s="64">
        <f>'System peak demand'!H281</f>
        <v>0</v>
      </c>
    </row>
    <row r="49" spans="6:10" x14ac:dyDescent="0.25">
      <c r="F49" s="6" t="s">
        <v>73</v>
      </c>
      <c r="H49" s="428" t="s">
        <v>74</v>
      </c>
      <c r="I49" s="6" t="s">
        <v>54</v>
      </c>
      <c r="J49" s="64">
        <f>'Service model assets'!H38</f>
        <v>0</v>
      </c>
    </row>
    <row r="50" spans="6:10" x14ac:dyDescent="0.25">
      <c r="F50" s="6" t="s">
        <v>75</v>
      </c>
      <c r="H50" s="428" t="s">
        <v>76</v>
      </c>
      <c r="I50" s="6" t="s">
        <v>54</v>
      </c>
      <c r="J50" s="64">
        <f>'Unit costs'!H131</f>
        <v>0</v>
      </c>
    </row>
    <row r="51" spans="6:10" x14ac:dyDescent="0.25">
      <c r="F51" s="6" t="s">
        <v>77</v>
      </c>
      <c r="H51" s="428" t="s">
        <v>78</v>
      </c>
      <c r="I51" s="6" t="s">
        <v>54</v>
      </c>
      <c r="J51" s="64">
        <f>'Initial unit rates'!H241</f>
        <v>0</v>
      </c>
    </row>
    <row r="52" spans="6:10" x14ac:dyDescent="0.25">
      <c r="F52" s="6" t="s">
        <v>79</v>
      </c>
      <c r="H52" s="428" t="s">
        <v>80</v>
      </c>
      <c r="I52" s="6" t="s">
        <v>54</v>
      </c>
      <c r="J52" s="64">
        <f>'Service model charges'!H48</f>
        <v>0</v>
      </c>
    </row>
    <row r="53" spans="6:10" x14ac:dyDescent="0.25">
      <c r="F53" s="6" t="s">
        <v>81</v>
      </c>
      <c r="H53" s="428" t="s">
        <v>82</v>
      </c>
      <c r="I53" s="6" t="s">
        <v>54</v>
      </c>
      <c r="J53" s="64">
        <f>'Unit rate charges'!H223</f>
        <v>0</v>
      </c>
    </row>
    <row r="54" spans="6:10" x14ac:dyDescent="0.25">
      <c r="F54" s="6" t="s">
        <v>85</v>
      </c>
      <c r="H54" s="428" t="s">
        <v>84</v>
      </c>
      <c r="I54" s="6" t="s">
        <v>54</v>
      </c>
      <c r="J54" s="64">
        <f>'Capacity charges'!H295</f>
        <v>0</v>
      </c>
    </row>
    <row r="55" spans="6:10" x14ac:dyDescent="0.25">
      <c r="F55" s="6" t="s">
        <v>83</v>
      </c>
      <c r="H55" s="428" t="s">
        <v>86</v>
      </c>
      <c r="I55" s="6" t="s">
        <v>54</v>
      </c>
      <c r="J55" s="64">
        <f>'Reactive power charges'!H254</f>
        <v>0</v>
      </c>
    </row>
    <row r="56" spans="6:10" x14ac:dyDescent="0.25">
      <c r="F56" s="6" t="s">
        <v>87</v>
      </c>
      <c r="H56" s="428" t="s">
        <v>88</v>
      </c>
      <c r="I56" s="6" t="s">
        <v>54</v>
      </c>
      <c r="J56" s="64">
        <f>'Fixed charges'!H165</f>
        <v>0</v>
      </c>
    </row>
    <row r="57" spans="6:10" x14ac:dyDescent="0.25">
      <c r="F57" s="6" t="s">
        <v>1140</v>
      </c>
      <c r="H57" s="428" t="s">
        <v>90</v>
      </c>
      <c r="I57" s="6" t="s">
        <v>54</v>
      </c>
      <c r="J57" s="64">
        <f>'SoLR &amp; bad debt adders'!H71</f>
        <v>0</v>
      </c>
    </row>
    <row r="58" spans="6:10" x14ac:dyDescent="0.25">
      <c r="F58" s="6" t="s">
        <v>89</v>
      </c>
      <c r="H58" s="428" t="s">
        <v>92</v>
      </c>
      <c r="I58" s="6" t="s">
        <v>54</v>
      </c>
      <c r="J58" s="64">
        <f>'Revenue matching'!H433</f>
        <v>0</v>
      </c>
    </row>
    <row r="59" spans="6:10" x14ac:dyDescent="0.25">
      <c r="F59" s="6" t="s">
        <v>91</v>
      </c>
      <c r="H59" s="428" t="s">
        <v>94</v>
      </c>
      <c r="I59" s="6" t="s">
        <v>54</v>
      </c>
      <c r="J59" s="64">
        <f>Rounding!H178</f>
        <v>0</v>
      </c>
    </row>
    <row r="60" spans="6:10" x14ac:dyDescent="0.25">
      <c r="F60" s="6" t="s">
        <v>93</v>
      </c>
      <c r="H60" s="428" t="s">
        <v>880</v>
      </c>
      <c r="I60" s="6" t="s">
        <v>54</v>
      </c>
      <c r="J60" s="63">
        <f>'Net revenue summary'!$H$211</f>
        <v>0</v>
      </c>
    </row>
    <row r="61" spans="6:10" x14ac:dyDescent="0.25">
      <c r="F61" s="6" t="s">
        <v>95</v>
      </c>
      <c r="H61" s="428" t="s">
        <v>96</v>
      </c>
      <c r="I61" s="6" t="s">
        <v>54</v>
      </c>
      <c r="J61" s="64">
        <f>'Tariff summary'!$H$119</f>
        <v>0</v>
      </c>
    </row>
    <row r="62" spans="6:10" x14ac:dyDescent="0.25">
      <c r="F62" s="6" t="s">
        <v>97</v>
      </c>
      <c r="H62" s="428" t="s">
        <v>98</v>
      </c>
      <c r="I62" s="6" t="s">
        <v>54</v>
      </c>
      <c r="J62" s="63">
        <f>'Output to other models'!H84</f>
        <v>0</v>
      </c>
    </row>
    <row r="63" spans="6:10" x14ac:dyDescent="0.25">
      <c r="F63" s="65" t="s">
        <v>99</v>
      </c>
      <c r="G63" s="65"/>
      <c r="H63" s="65"/>
      <c r="I63" s="65" t="s">
        <v>54</v>
      </c>
      <c r="J63" s="66">
        <f>IFERROR(SUM(J39:J62), 1)</f>
        <v>0</v>
      </c>
    </row>
    <row r="65" spans="2:12" x14ac:dyDescent="0.25">
      <c r="B65" s="49" t="s">
        <v>100</v>
      </c>
      <c r="C65" s="49"/>
      <c r="D65" s="49"/>
      <c r="E65" s="49"/>
      <c r="F65" s="49"/>
      <c r="G65" s="50"/>
      <c r="H65" s="50"/>
      <c r="I65" s="50"/>
      <c r="J65" s="50"/>
      <c r="K65" s="50"/>
      <c r="L65" s="49"/>
    </row>
    <row r="67" spans="2:12" x14ac:dyDescent="0.25">
      <c r="F67" s="59" t="s">
        <v>101</v>
      </c>
    </row>
    <row r="68" spans="2:12" x14ac:dyDescent="0.25">
      <c r="F68" s="428" t="s">
        <v>102</v>
      </c>
    </row>
    <row r="69" spans="2:12" x14ac:dyDescent="0.25">
      <c r="F69" s="428" t="s">
        <v>103</v>
      </c>
    </row>
    <row r="70" spans="2:12" x14ac:dyDescent="0.25">
      <c r="F70" s="428" t="s">
        <v>43</v>
      </c>
    </row>
    <row r="71" spans="2:12" ht="30" x14ac:dyDescent="0.25">
      <c r="F71" s="429" t="s">
        <v>819</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104</v>
      </c>
    </row>
    <row r="80" spans="2:12" x14ac:dyDescent="0.25">
      <c r="B80" s="49" t="s">
        <v>105</v>
      </c>
      <c r="C80" s="49"/>
      <c r="D80" s="49"/>
      <c r="E80" s="49"/>
      <c r="F80" s="49"/>
      <c r="G80" s="50"/>
      <c r="H80" s="50"/>
      <c r="I80" s="50"/>
      <c r="J80" s="50"/>
      <c r="K80" s="50"/>
      <c r="L80" s="49"/>
    </row>
  </sheetData>
  <sheetProtection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headerFooter>
    <oddHeader>&amp;L&amp;"Calibri"&amp;10&amp;KFF0000 Public&amp;1#_x000D_</oddHeader>
    <oddFooter>&amp;L_x000D_&amp;1#&amp;"Calibri"&amp;10&amp;KFF0000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Northern Powergrid (Yorkshire) - v0.1</v>
      </c>
    </row>
    <row r="3" spans="1:9" s="5" customFormat="1" x14ac:dyDescent="0.25">
      <c r="A3" s="5" t="str">
        <f>Cover!D2&amp;" - "&amp;Cover!D8&amp;" v"&amp;Cover!D10&amp;" - "&amp;Cover!D19</f>
        <v>CDCM charging model - Release for charge setting v10 - 2025/26</v>
      </c>
    </row>
    <row r="5" spans="1:9" customFormat="1" x14ac:dyDescent="0.25">
      <c r="A5" s="56"/>
      <c r="B5" s="49" t="s">
        <v>106</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105</v>
      </c>
      <c r="B62" s="49"/>
      <c r="C62" s="49"/>
      <c r="D62" s="49"/>
      <c r="E62" s="49"/>
      <c r="F62" s="49"/>
      <c r="G62" s="49"/>
      <c r="H62" s="49"/>
      <c r="I62" s="49"/>
    </row>
  </sheetData>
  <sheetProtection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Header>&amp;L&amp;"Calibri"&amp;10&amp;KFF0000 Public&amp;1#_x000D_</oddHeader>
    <oddFooter>&amp;L&amp;Z&amp;F_x000D_&amp;1#&amp;"Calibri"&amp;10&amp;KFF0000 Public&amp;C&amp;D&amp;R&amp;P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Northern Powergrid (Yorkshire) - v0.1</v>
      </c>
    </row>
    <row r="3" spans="1:7" s="5" customFormat="1" x14ac:dyDescent="0.25">
      <c r="A3" s="5" t="str">
        <f>Cover!D2&amp;" - "&amp;Cover!D8&amp;" v"&amp;Cover!D10&amp;" - "&amp;Cover!D19</f>
        <v>CDCM charging model - Release for charge setting v10 - 2025/26</v>
      </c>
    </row>
    <row r="5" spans="1:7" x14ac:dyDescent="0.25">
      <c r="B5" s="70" t="s">
        <v>9</v>
      </c>
      <c r="C5" s="70"/>
      <c r="D5" s="70"/>
      <c r="E5" s="70"/>
      <c r="F5" s="70"/>
      <c r="G5" s="70"/>
    </row>
    <row r="7" spans="1:7" x14ac:dyDescent="0.25">
      <c r="C7" s="71" t="s">
        <v>107</v>
      </c>
    </row>
    <row r="8" spans="1:7" x14ac:dyDescent="0.25">
      <c r="C8" s="71" t="s">
        <v>108</v>
      </c>
    </row>
    <row r="10" spans="1:7" x14ac:dyDescent="0.25">
      <c r="B10" s="70" t="s">
        <v>109</v>
      </c>
      <c r="C10" s="70"/>
      <c r="D10" s="70"/>
      <c r="E10" s="70"/>
      <c r="F10" s="70"/>
      <c r="G10" s="70"/>
    </row>
    <row r="12" spans="1:7" x14ac:dyDescent="0.25">
      <c r="C12" s="71" t="s">
        <v>110</v>
      </c>
    </row>
    <row r="14" spans="1:7" ht="15.75" thickBot="1" x14ac:dyDescent="0.3">
      <c r="F14" s="72" t="s">
        <v>111</v>
      </c>
      <c r="G14" s="73" t="s">
        <v>112</v>
      </c>
    </row>
    <row r="15" spans="1:7" ht="16.5" thickTop="1" thickBot="1" x14ac:dyDescent="0.3">
      <c r="F15" s="74" t="s">
        <v>113</v>
      </c>
    </row>
    <row r="16" spans="1:7" ht="15.75" thickTop="1" x14ac:dyDescent="0.25">
      <c r="F16" s="74" t="s">
        <v>114</v>
      </c>
      <c r="G16" s="75" t="str">
        <f>'Version control'!$B$5</f>
        <v>Model version</v>
      </c>
    </row>
    <row r="17" spans="6:7" x14ac:dyDescent="0.25">
      <c r="F17" s="76" t="s">
        <v>115</v>
      </c>
      <c r="G17" s="75" t="str">
        <f>'Version control'!$B$17</f>
        <v>Version log</v>
      </c>
    </row>
    <row r="18" spans="6:7" x14ac:dyDescent="0.25">
      <c r="F18" s="76" t="s">
        <v>115</v>
      </c>
      <c r="G18" s="75" t="str">
        <f>'Version control'!$B$36</f>
        <v>Model checks</v>
      </c>
    </row>
    <row r="19" spans="6:7" ht="15.75" thickBot="1" x14ac:dyDescent="0.3">
      <c r="F19" s="76" t="s">
        <v>115</v>
      </c>
      <c r="G19" s="75" t="str">
        <f>'Version control'!$B$65</f>
        <v>Version log lists</v>
      </c>
    </row>
    <row r="20" spans="6:7" ht="16.5" thickTop="1" thickBot="1" x14ac:dyDescent="0.3">
      <c r="F20" s="74" t="s">
        <v>106</v>
      </c>
      <c r="G20" s="75" t="str">
        <f>'Model map'!$B$5</f>
        <v>Model map</v>
      </c>
    </row>
    <row r="21" spans="6:7" ht="16.5" thickTop="1" thickBot="1" x14ac:dyDescent="0.3">
      <c r="F21" s="74" t="s">
        <v>116</v>
      </c>
      <c r="G21" s="75" t="str">
        <f>'Named ranges'!$B$5</f>
        <v>List of named ranges</v>
      </c>
    </row>
    <row r="22" spans="6:7" ht="16.5" thickTop="1" thickBot="1" x14ac:dyDescent="0.3">
      <c r="F22" s="77" t="s">
        <v>52</v>
      </c>
      <c r="G22" s="75" t="str">
        <f>'Fixed inputs'!$B$11</f>
        <v>Fixed inputs</v>
      </c>
    </row>
    <row r="23" spans="6:7" ht="16.5" thickTop="1" thickBot="1" x14ac:dyDescent="0.3">
      <c r="F23" s="77" t="s">
        <v>55</v>
      </c>
      <c r="G23" s="75" t="str">
        <f>'Inputs by customer type'!$B$11</f>
        <v>Inputs by customer type</v>
      </c>
    </row>
    <row r="24" spans="6:7" ht="16.5" thickTop="1" thickBot="1" x14ac:dyDescent="0.3">
      <c r="F24" s="77" t="s">
        <v>57</v>
      </c>
      <c r="G24" s="75" t="str">
        <f>'Inputs by network level'!$B$11</f>
        <v>Inputs by network level</v>
      </c>
    </row>
    <row r="25" spans="6:7" ht="16.5" thickTop="1" thickBot="1" x14ac:dyDescent="0.3">
      <c r="F25" s="77" t="s">
        <v>59</v>
      </c>
      <c r="G25" s="75" t="str">
        <f>'General inputs'!$B$11</f>
        <v>General inputs</v>
      </c>
    </row>
    <row r="26" spans="6:7" ht="16.5" thickTop="1" thickBot="1" x14ac:dyDescent="0.3">
      <c r="F26" s="78" t="s">
        <v>119</v>
      </c>
      <c r="G26" s="75" t="str">
        <f>'Standing charge factors'!$B$17</f>
        <v>Adjustments to standing charges</v>
      </c>
    </row>
    <row r="27" spans="6:7" ht="15.75" thickTop="1" x14ac:dyDescent="0.25">
      <c r="F27" s="78" t="s">
        <v>63</v>
      </c>
      <c r="G27" s="75" t="str">
        <f>'Load &amp; loss characteristics'!$B$13</f>
        <v>Load and loss characteristics</v>
      </c>
    </row>
    <row r="28" spans="6:7" ht="15.75" thickBot="1" x14ac:dyDescent="0.3">
      <c r="F28" s="79" t="s">
        <v>115</v>
      </c>
      <c r="G28" s="75" t="str">
        <f>'Load &amp; loss characteristics'!$B$31</f>
        <v>User loss factor adjustments</v>
      </c>
    </row>
    <row r="29" spans="6:7" ht="16.5" thickTop="1" thickBot="1" x14ac:dyDescent="0.3">
      <c r="F29" s="78" t="s">
        <v>65</v>
      </c>
      <c r="G29" s="75" t="str">
        <f>'Customer contributions'!$B$12</f>
        <v>Customer contributions</v>
      </c>
    </row>
    <row r="30" spans="6:7" ht="15.75" thickTop="1" x14ac:dyDescent="0.25">
      <c r="F30" s="78" t="s">
        <v>67</v>
      </c>
      <c r="G30" s="75" t="str">
        <f>'Volume adjustments'!$B$13</f>
        <v>LDNO discounts</v>
      </c>
    </row>
    <row r="31" spans="6:7" x14ac:dyDescent="0.25">
      <c r="F31" s="79" t="s">
        <v>115</v>
      </c>
      <c r="G31" s="75" t="str">
        <f>'Volume adjustments'!$B$51</f>
        <v>Volume discounting</v>
      </c>
    </row>
    <row r="32" spans="6:7" ht="15.75" thickBot="1" x14ac:dyDescent="0.3">
      <c r="F32" s="79" t="s">
        <v>115</v>
      </c>
      <c r="G32" s="75" t="str">
        <f>'Volume adjustments'!$B$310</f>
        <v>Volume discounting for revenue matching</v>
      </c>
    </row>
    <row r="33" spans="6:7" ht="15.75" thickTop="1" x14ac:dyDescent="0.25">
      <c r="F33" s="78" t="s">
        <v>69</v>
      </c>
      <c r="G33" s="75" t="str">
        <f>'Pseudo-load coefficients'!$B$13</f>
        <v>Step 1: Ratio of coincidence to load factor assuming units evenly spread within time bands, and peak falls in Red period</v>
      </c>
    </row>
    <row r="34" spans="6:7" x14ac:dyDescent="0.25">
      <c r="F34" s="79" t="s">
        <v>115</v>
      </c>
      <c r="G34" s="75" t="str">
        <f>'Pseudo-load coefficients'!$B$56</f>
        <v>Step 2: Calculate correction factor</v>
      </c>
    </row>
    <row r="35" spans="6:7" x14ac:dyDescent="0.25">
      <c r="F35" s="79" t="s">
        <v>115</v>
      </c>
      <c r="G35" s="75" t="str">
        <f>'Pseudo-load coefficients'!$B$95</f>
        <v>Step 3: Ratio of coincidence factor (to network asset peak) to load factor, given peaking probabilities, multiplied by correction factor</v>
      </c>
    </row>
    <row r="36" spans="6:7" ht="15.75" thickBot="1" x14ac:dyDescent="0.3">
      <c r="F36" s="79" t="s">
        <v>115</v>
      </c>
      <c r="G36" s="75" t="str">
        <f>'Pseudo-load coefficients'!$B$261</f>
        <v>Step 4: Results of Step 3</v>
      </c>
    </row>
    <row r="37" spans="6:7" ht="15.75" thickTop="1" x14ac:dyDescent="0.25">
      <c r="F37" s="78" t="s">
        <v>71</v>
      </c>
      <c r="G37" s="75" t="str">
        <f>'System peak demand'!$B$16</f>
        <v>Common inputs for chargeable load calculations</v>
      </c>
    </row>
    <row r="38" spans="6:7" x14ac:dyDescent="0.25">
      <c r="F38" s="79" t="s">
        <v>115</v>
      </c>
      <c r="G38" s="75" t="str">
        <f>'System peak demand'!$B$63</f>
        <v>Load at system peak charged to unit rates</v>
      </c>
    </row>
    <row r="39" spans="6:7" x14ac:dyDescent="0.25">
      <c r="F39" s="79" t="s">
        <v>115</v>
      </c>
      <c r="G39" s="75" t="str">
        <f>'System peak demand'!$B$179</f>
        <v>Load at system peak charged to standing charges</v>
      </c>
    </row>
    <row r="40" spans="6:7" ht="15.75" thickBot="1" x14ac:dyDescent="0.3">
      <c r="F40" s="79" t="s">
        <v>115</v>
      </c>
      <c r="G40" s="75" t="str">
        <f>'System peak demand'!$B$262</f>
        <v>System peak based on chargeable load</v>
      </c>
    </row>
    <row r="41" spans="6:7" ht="16.5" thickTop="1" thickBot="1" x14ac:dyDescent="0.3">
      <c r="F41" s="78" t="s">
        <v>73</v>
      </c>
      <c r="G41" s="75" t="str">
        <f>'Service model assets'!$B$12</f>
        <v>Service model notional asset values</v>
      </c>
    </row>
    <row r="42" spans="6:7" ht="15.75" thickTop="1" x14ac:dyDescent="0.25">
      <c r="F42" s="78" t="s">
        <v>75</v>
      </c>
      <c r="G42" s="75" t="str">
        <f>'Unit costs'!$B$15</f>
        <v>500MW model costs</v>
      </c>
    </row>
    <row r="43" spans="6:7" x14ac:dyDescent="0.25">
      <c r="F43" s="79" t="s">
        <v>115</v>
      </c>
      <c r="G43" s="75" t="str">
        <f>'Unit costs'!$B$58</f>
        <v>Allocation of other costs</v>
      </c>
    </row>
    <row r="44" spans="6:7" ht="15.75" thickBot="1" x14ac:dyDescent="0.3">
      <c r="F44" s="79" t="s">
        <v>115</v>
      </c>
      <c r="G44" s="75" t="str">
        <f>'Unit costs'!$B$102</f>
        <v>Outputs</v>
      </c>
    </row>
    <row r="45" spans="6:7" ht="15.75" thickTop="1" x14ac:dyDescent="0.25">
      <c r="F45" s="78" t="s">
        <v>77</v>
      </c>
      <c r="G45" s="75" t="str">
        <f>'Initial unit rates'!$B$11</f>
        <v>Inputs for yardstick and unit rate calculations</v>
      </c>
    </row>
    <row r="46" spans="6:7" ht="15.75" thickBot="1" x14ac:dyDescent="0.3">
      <c r="F46" s="79" t="s">
        <v>115</v>
      </c>
      <c r="G46" s="75" t="str">
        <f>'Initial unit rates'!$B$116</f>
        <v>Calculation of yardstick &amp; unit rate charges</v>
      </c>
    </row>
    <row r="47" spans="6:7" ht="15.75" thickTop="1" x14ac:dyDescent="0.25">
      <c r="F47" s="78" t="s">
        <v>79</v>
      </c>
      <c r="G47" s="75" t="str">
        <f>'Service model charges'!$B$13</f>
        <v>Inputs to service model charge calculation</v>
      </c>
    </row>
    <row r="48" spans="6:7" ht="15.75" thickBot="1" x14ac:dyDescent="0.3">
      <c r="F48" s="79" t="s">
        <v>115</v>
      </c>
      <c r="G48" s="75" t="str">
        <f>'Service model charges'!$B$29</f>
        <v>Allocation of service model costs</v>
      </c>
    </row>
    <row r="49" spans="6:7" ht="15.75" thickTop="1" x14ac:dyDescent="0.25">
      <c r="F49" s="78" t="s">
        <v>81</v>
      </c>
      <c r="G49" s="75" t="str">
        <f>'Unit rate charges'!$B$15</f>
        <v>Inputs to unit rate charge calculations</v>
      </c>
    </row>
    <row r="50" spans="6:7" ht="15.75" thickBot="1" x14ac:dyDescent="0.3">
      <c r="F50" s="79" t="s">
        <v>115</v>
      </c>
      <c r="G50" s="75" t="str">
        <f>'Unit rate charges'!$B$122</f>
        <v>Application of standing charges to unit rates</v>
      </c>
    </row>
    <row r="51" spans="6:7" ht="15.75" thickTop="1" x14ac:dyDescent="0.25">
      <c r="F51" s="78" t="s">
        <v>85</v>
      </c>
      <c r="G51" s="75" t="str">
        <f>'Capacity charges'!$B$17</f>
        <v>Inputs to capacity charge calculations</v>
      </c>
    </row>
    <row r="52" spans="6:7" x14ac:dyDescent="0.25">
      <c r="F52" s="79" t="s">
        <v>115</v>
      </c>
      <c r="G52" s="75" t="str">
        <f>'Capacity charges'!$B$125</f>
        <v>Calculation of capacity charges</v>
      </c>
    </row>
    <row r="53" spans="6:7" ht="15.75" thickBot="1" x14ac:dyDescent="0.3">
      <c r="F53" s="79" t="s">
        <v>115</v>
      </c>
      <c r="G53" s="75" t="str">
        <f>'Capacity charges'!$B$249</f>
        <v>Capacity charges (and elements allocated to fixed charges)</v>
      </c>
    </row>
    <row r="54" spans="6:7" ht="15.75" thickTop="1" x14ac:dyDescent="0.25">
      <c r="F54" s="78" t="s">
        <v>83</v>
      </c>
      <c r="G54" s="75" t="str">
        <f>'Reactive power charges'!$B$13</f>
        <v>Inputs to reactive power charge calculations</v>
      </c>
    </row>
    <row r="55" spans="6:7" x14ac:dyDescent="0.25">
      <c r="F55" s="79" t="s">
        <v>115</v>
      </c>
      <c r="G55" s="75" t="str">
        <f>'Reactive power charges'!$B$150</f>
        <v>Calculation of yardstick charges for generation</v>
      </c>
    </row>
    <row r="56" spans="6:7" ht="15.75" thickBot="1" x14ac:dyDescent="0.3">
      <c r="F56" s="79" t="s">
        <v>115</v>
      </c>
      <c r="G56" s="75" t="str">
        <f>'Reactive power charges'!$B$185</f>
        <v>Calculation of reactive power charges</v>
      </c>
    </row>
    <row r="57" spans="6:7" ht="15.75" thickTop="1" x14ac:dyDescent="0.25">
      <c r="F57" s="78" t="s">
        <v>87</v>
      </c>
      <c r="G57" s="75" t="str">
        <f>'Fixed charges'!$B$14</f>
        <v>Inputs to fixed charge calculations</v>
      </c>
    </row>
    <row r="58" spans="6:7" ht="15.75" thickBot="1" x14ac:dyDescent="0.3">
      <c r="F58" s="79" t="s">
        <v>115</v>
      </c>
      <c r="G58" s="75" t="str">
        <f>'Fixed charges'!$B$65</f>
        <v>Calculation of fixed charges</v>
      </c>
    </row>
    <row r="59" spans="6:7" ht="16.5" thickTop="1" thickBot="1" x14ac:dyDescent="0.3">
      <c r="F59" s="78" t="s">
        <v>1140</v>
      </c>
      <c r="G59" s="75" t="str">
        <f>'SoLR &amp; bad debt adders'!$B$12</f>
        <v>Fixed tariff adjustments</v>
      </c>
    </row>
    <row r="60" spans="6:7" ht="15.75" thickTop="1" x14ac:dyDescent="0.25">
      <c r="F60" s="78" t="s">
        <v>89</v>
      </c>
      <c r="G60" s="75" t="str">
        <f>'Revenue matching'!$B$13</f>
        <v>Pre-matching net revenue calculations</v>
      </c>
    </row>
    <row r="61" spans="6:7" x14ac:dyDescent="0.25">
      <c r="F61" s="79" t="s">
        <v>115</v>
      </c>
      <c r="G61" s="75" t="str">
        <f>'Revenue matching'!$B$87</f>
        <v>Residual charge calculation</v>
      </c>
    </row>
    <row r="62" spans="6:7" x14ac:dyDescent="0.25">
      <c r="F62" s="79" t="s">
        <v>115</v>
      </c>
      <c r="G62" s="75" t="str">
        <f>'Revenue matching'!$B$210</f>
        <v>Adjustments for negative fixed charges</v>
      </c>
    </row>
    <row r="63" spans="6:7" ht="15.75" thickBot="1" x14ac:dyDescent="0.3">
      <c r="F63" s="79" t="s">
        <v>115</v>
      </c>
      <c r="G63" s="75" t="str">
        <f>'Revenue matching'!$B$408</f>
        <v>Final adders</v>
      </c>
    </row>
    <row r="64" spans="6:7" ht="15.75" thickTop="1" x14ac:dyDescent="0.25">
      <c r="F64" s="78" t="s">
        <v>91</v>
      </c>
      <c r="G64" s="75" t="str">
        <f>Rounding!$B$12</f>
        <v>Inputs</v>
      </c>
    </row>
    <row r="65" spans="2:7" ht="15.75" thickBot="1" x14ac:dyDescent="0.3">
      <c r="F65" s="79" t="s">
        <v>115</v>
      </c>
      <c r="G65" s="75" t="str">
        <f>Rounding!$B$103</f>
        <v>Rounding of tariff forecast</v>
      </c>
    </row>
    <row r="66" spans="2:7" ht="15.75" thickTop="1" x14ac:dyDescent="0.25">
      <c r="F66" s="78" t="s">
        <v>93</v>
      </c>
      <c r="G66" s="75" t="str">
        <f>'Net revenue summary'!$B$11</f>
        <v>Inputs to net revenue summary calculation</v>
      </c>
    </row>
    <row r="67" spans="2:7" x14ac:dyDescent="0.25">
      <c r="F67" s="79" t="s">
        <v>115</v>
      </c>
      <c r="G67" s="75" t="str">
        <f>'Net revenue summary'!$B$90</f>
        <v>Typical bills</v>
      </c>
    </row>
    <row r="68" spans="2:7" x14ac:dyDescent="0.25">
      <c r="F68" s="79" t="s">
        <v>115</v>
      </c>
      <c r="G68" s="75" t="str">
        <f>'Net revenue summary'!$B$150</f>
        <v>Comparison with previous year</v>
      </c>
    </row>
    <row r="69" spans="2:7" ht="15.75" thickBot="1" x14ac:dyDescent="0.3">
      <c r="F69" s="79" t="s">
        <v>115</v>
      </c>
      <c r="G69" s="75" t="str">
        <f>'Net revenue summary'!$B$176</f>
        <v>LDNO margins</v>
      </c>
    </row>
    <row r="70" spans="2:7" ht="16.5" thickTop="1" thickBot="1" x14ac:dyDescent="0.3">
      <c r="F70" s="80" t="s">
        <v>95</v>
      </c>
      <c r="G70" s="75" t="str">
        <f>'Tariff summary'!$B$11</f>
        <v>Tariff summary</v>
      </c>
    </row>
    <row r="71" spans="2:7" ht="15.75" thickTop="1" x14ac:dyDescent="0.25">
      <c r="F71" s="80" t="s">
        <v>97</v>
      </c>
      <c r="G71" s="75" t="str">
        <f>'Output to other models'!$B$12</f>
        <v>Outputs for PCDM</v>
      </c>
    </row>
    <row r="72" spans="2:7" x14ac:dyDescent="0.25">
      <c r="F72" s="81" t="s">
        <v>115</v>
      </c>
      <c r="G72" s="75" t="str">
        <f>'Output to other models'!$B$31</f>
        <v>Outputs for EDCM</v>
      </c>
    </row>
    <row r="73" spans="2:7" x14ac:dyDescent="0.25">
      <c r="F73" s="81" t="s">
        <v>115</v>
      </c>
      <c r="G73" s="75" t="str">
        <f>'Output to other models'!$B$61</f>
        <v>Outputs for users' internal use</v>
      </c>
    </row>
    <row r="75" spans="2:7" x14ac:dyDescent="0.25">
      <c r="B75" s="70" t="s">
        <v>117</v>
      </c>
      <c r="C75" s="70"/>
      <c r="D75" s="70"/>
      <c r="E75" s="70"/>
      <c r="F75" s="70"/>
      <c r="G75" s="70"/>
    </row>
    <row r="77" spans="2:7" x14ac:dyDescent="0.25">
      <c r="C77" s="71" t="s">
        <v>118</v>
      </c>
    </row>
    <row r="79" spans="2:7" ht="15.75" thickBot="1" x14ac:dyDescent="0.3">
      <c r="F79" s="72" t="s">
        <v>111</v>
      </c>
      <c r="G79" s="73" t="s">
        <v>112</v>
      </c>
    </row>
    <row r="80" spans="2:7" ht="15.75" thickTop="1" x14ac:dyDescent="0.25">
      <c r="F80" s="77" t="s">
        <v>52</v>
      </c>
      <c r="G80" s="75" t="str">
        <f ca="1">'Fixed inputs'!$C$13</f>
        <v>Input 101-A: Conversions and time</v>
      </c>
    </row>
    <row r="81" spans="6:7" x14ac:dyDescent="0.25">
      <c r="F81" s="82" t="s">
        <v>115</v>
      </c>
      <c r="G81" s="75" t="str">
        <f ca="1">'Fixed inputs'!$C$20</f>
        <v>Input 101-B: Input 101-B: Rounding</v>
      </c>
    </row>
    <row r="82" spans="6:7" x14ac:dyDescent="0.25">
      <c r="F82" s="82" t="s">
        <v>115</v>
      </c>
      <c r="G82" s="75" t="str">
        <f ca="1">'Fixed inputs'!$C$33</f>
        <v>Input 101-C: Financial and general assumptions</v>
      </c>
    </row>
    <row r="83" spans="6:7" x14ac:dyDescent="0.25">
      <c r="F83" s="82" t="s">
        <v>115</v>
      </c>
      <c r="G83" s="75" t="str">
        <f ca="1">'Fixed inputs'!$C$43</f>
        <v>Input 101-D: Mappings</v>
      </c>
    </row>
    <row r="84" spans="6:7" x14ac:dyDescent="0.25">
      <c r="F84" s="82" t="s">
        <v>115</v>
      </c>
      <c r="G84" s="75" t="str">
        <f ca="1">'Fixed inputs'!$C$84</f>
        <v>Input 101-E: Standing charge factors</v>
      </c>
    </row>
    <row r="85" spans="6:7" x14ac:dyDescent="0.25">
      <c r="F85" s="82" t="s">
        <v>115</v>
      </c>
      <c r="G85" s="75" t="str">
        <f ca="1">'Fixed inputs'!$C$99</f>
        <v>Input 101-F: Flags</v>
      </c>
    </row>
    <row r="86" spans="6:7" x14ac:dyDescent="0.25">
      <c r="F86" s="82" t="s">
        <v>115</v>
      </c>
      <c r="G86" s="75" t="str">
        <f ca="1">'Fixed inputs'!$C$141</f>
        <v>Input 101-G: Identifiers for customer groupings</v>
      </c>
    </row>
    <row r="87" spans="6:7" x14ac:dyDescent="0.25">
      <c r="F87" s="82" t="s">
        <v>115</v>
      </c>
      <c r="G87" s="75" t="str">
        <f ca="1">'Fixed inputs'!$C$151</f>
        <v>Input 101-H: Decimal places for error checks</v>
      </c>
    </row>
    <row r="88" spans="6:7" x14ac:dyDescent="0.25">
      <c r="F88" s="82" t="s">
        <v>115</v>
      </c>
      <c r="G88" s="75" t="str">
        <f ca="1">'Fixed inputs'!$C$155</f>
        <v>Input 101-I: Map of applicable MPANs</v>
      </c>
    </row>
    <row r="89" spans="6:7" ht="15.75" thickBot="1" x14ac:dyDescent="0.3">
      <c r="F89" s="82" t="s">
        <v>115</v>
      </c>
      <c r="G89" s="75" t="str">
        <f ca="1">'Fixed inputs'!$C$162</f>
        <v>Input 101-J: Revenue matching inputs</v>
      </c>
    </row>
    <row r="90" spans="6:7" ht="15.75" thickTop="1" x14ac:dyDescent="0.25">
      <c r="F90" s="77" t="s">
        <v>55</v>
      </c>
      <c r="G90" s="75" t="str">
        <f ca="1">'Inputs by customer type'!$C$13</f>
        <v>Input 102-A: Load characteristics</v>
      </c>
    </row>
    <row r="91" spans="6:7" x14ac:dyDescent="0.25">
      <c r="F91" s="82" t="s">
        <v>115</v>
      </c>
      <c r="G91" s="75" t="str">
        <f ca="1">'Inputs by customer type'!$C$18</f>
        <v>Input 102-B: Volume forecasts for the charging year</v>
      </c>
    </row>
    <row r="92" spans="6:7" x14ac:dyDescent="0.25">
      <c r="F92" s="82" t="s">
        <v>115</v>
      </c>
      <c r="G92" s="75" t="str">
        <f ca="1">'Inputs by customer type'!$C$163</f>
        <v>Input 102-C: Non-Domestic Aggregated (Related MPAN) distribution by bands</v>
      </c>
    </row>
    <row r="93" spans="6:7" x14ac:dyDescent="0.25">
      <c r="F93" s="82" t="s">
        <v>115</v>
      </c>
      <c r="G93" s="75" t="str">
        <f ca="1">'Inputs by customer type'!$C$183</f>
        <v>Input 102-D: Service model asset values</v>
      </c>
    </row>
    <row r="94" spans="6:7" x14ac:dyDescent="0.25">
      <c r="F94" s="82" t="s">
        <v>115</v>
      </c>
      <c r="G94" s="75" t="str">
        <f ca="1">'Inputs by customer type'!$C$192</f>
        <v>Input 102-E: Previous year all-the-way tariff forecast</v>
      </c>
    </row>
    <row r="95" spans="6:7" ht="15.75" thickBot="1" x14ac:dyDescent="0.3">
      <c r="F95" s="82" t="s">
        <v>115</v>
      </c>
      <c r="G95" s="75" t="str">
        <f ca="1">'Inputs by customer type'!$C$206</f>
        <v>Input 102-F: Previous year net revenue (if known)</v>
      </c>
    </row>
    <row r="96" spans="6:7" ht="15.75" thickTop="1" x14ac:dyDescent="0.25">
      <c r="F96" s="77" t="s">
        <v>57</v>
      </c>
      <c r="G96" s="75" t="str">
        <f ca="1">'Inputs by network level'!$C$13</f>
        <v>Input 103-A: Network and load inputs</v>
      </c>
    </row>
    <row r="97" spans="6:7" x14ac:dyDescent="0.25">
      <c r="F97" s="82" t="s">
        <v>115</v>
      </c>
      <c r="G97" s="75" t="str">
        <f ca="1">'Inputs by network level'!$C$23</f>
        <v>Input 103-B: Customer contributions under current connection charging policy</v>
      </c>
    </row>
    <row r="98" spans="6:7" x14ac:dyDescent="0.25">
      <c r="F98" s="82" t="s">
        <v>115</v>
      </c>
      <c r="G98" s="75" t="str">
        <f ca="1">'Inputs by network level'!$C$31</f>
        <v>Input 103-C: DRM asset costs</v>
      </c>
    </row>
    <row r="99" spans="6:7" ht="15.75" thickBot="1" x14ac:dyDescent="0.3">
      <c r="F99" s="82" t="s">
        <v>115</v>
      </c>
      <c r="G99" s="75" t="str">
        <f ca="1">'Inputs by network level'!$C$35</f>
        <v>Input 103-D: Peaking probabilities by network level</v>
      </c>
    </row>
    <row r="100" spans="6:7" ht="15.75" thickTop="1" x14ac:dyDescent="0.25">
      <c r="F100" s="77" t="s">
        <v>59</v>
      </c>
      <c r="G100" s="75" t="str">
        <f ca="1">'General inputs'!$C$13</f>
        <v>Input 104-A: Inputs by distribution timeband</v>
      </c>
    </row>
    <row r="101" spans="6:7" x14ac:dyDescent="0.25">
      <c r="F101" s="82" t="s">
        <v>115</v>
      </c>
      <c r="G101" s="75" t="str">
        <f ca="1">'General inputs'!$C$25</f>
        <v>Input 104-B: LDNO discount inputs</v>
      </c>
    </row>
    <row r="102" spans="6:7" x14ac:dyDescent="0.25">
      <c r="F102" s="82" t="s">
        <v>115</v>
      </c>
      <c r="G102" s="75" t="str">
        <f ca="1">'General inputs'!$C$35</f>
        <v>Input 104-C: CDCM target revenue</v>
      </c>
    </row>
    <row r="103" spans="6:7" x14ac:dyDescent="0.25">
      <c r="F103" s="82" t="s">
        <v>115</v>
      </c>
      <c r="G103" s="75" t="str">
        <f ca="1">'General inputs'!$C$90</f>
        <v>Input 104-D: Financial and general assumptions</v>
      </c>
    </row>
    <row r="104" spans="6:7" x14ac:dyDescent="0.25">
      <c r="F104" s="82" t="s">
        <v>115</v>
      </c>
      <c r="G104" s="75" t="str">
        <f ca="1">'General inputs'!$C$96</f>
        <v>Input 104-E: Transmission exit charges</v>
      </c>
    </row>
    <row r="105" spans="6:7" ht="15.75" thickBot="1" x14ac:dyDescent="0.3">
      <c r="F105" s="82" t="s">
        <v>115</v>
      </c>
      <c r="G105" s="75" t="str">
        <f ca="1">'General inputs'!$C$100</f>
        <v>Input 104-F: Other expenditure</v>
      </c>
    </row>
    <row r="106" spans="6:7" ht="16.5" thickTop="1" thickBot="1" x14ac:dyDescent="0.3">
      <c r="F106" s="78" t="s">
        <v>119</v>
      </c>
      <c r="G106" s="75" t="str">
        <f ca="1">'Standing charge factors'!$C$19</f>
        <v>Section 101-A: Adjustments to standing charges</v>
      </c>
    </row>
    <row r="107" spans="6:7" ht="15.75" thickTop="1" x14ac:dyDescent="0.25">
      <c r="F107" s="78" t="s">
        <v>63</v>
      </c>
      <c r="G107" s="75" t="str">
        <f ca="1">'Load &amp; loss characteristics'!$C$17</f>
        <v>Section 102-A: Load characteristics</v>
      </c>
    </row>
    <row r="108" spans="6:7" x14ac:dyDescent="0.25">
      <c r="F108" s="79" t="s">
        <v>115</v>
      </c>
      <c r="G108" s="75" t="str">
        <f ca="1">'Load &amp; loss characteristics'!$C$25</f>
        <v>Section 102-B: Loss adjustment factors</v>
      </c>
    </row>
    <row r="109" spans="6:7" x14ac:dyDescent="0.25">
      <c r="F109" s="79" t="s">
        <v>115</v>
      </c>
      <c r="G109" s="75" t="str">
        <f ca="1">'Load &amp; loss characteristics'!$C$35</f>
        <v>Section 102-C: Proportion of relevant load going through 132kV/HV direct transformation</v>
      </c>
    </row>
    <row r="110" spans="6:7" x14ac:dyDescent="0.25">
      <c r="F110" s="79" t="s">
        <v>115</v>
      </c>
      <c r="G110" s="75" t="str">
        <f ca="1">'Load &amp; loss characteristics'!$C$40</f>
        <v>Section 102-D: Network use factors</v>
      </c>
    </row>
    <row r="111" spans="6:7" ht="15.75" thickBot="1" x14ac:dyDescent="0.3">
      <c r="F111" s="79" t="s">
        <v>115</v>
      </c>
      <c r="G111" s="75" t="str">
        <f ca="1">'Load &amp; loss characteristics'!$C$121</f>
        <v>Section 102-E: User loss factors</v>
      </c>
    </row>
    <row r="112" spans="6:7" ht="15.75" thickTop="1" x14ac:dyDescent="0.25">
      <c r="F112" s="78" t="s">
        <v>65</v>
      </c>
      <c r="G112" s="75" t="str">
        <f ca="1">'Customer contributions'!$C$16</f>
        <v>Section 103-A: Network use factors</v>
      </c>
    </row>
    <row r="113" spans="6:7" ht="15.75" thickBot="1" x14ac:dyDescent="0.3">
      <c r="F113" s="79" t="s">
        <v>115</v>
      </c>
      <c r="G113" s="75" t="str">
        <f ca="1">'Customer contributions'!$C$38</f>
        <v>Section 103-B: Customer contributions</v>
      </c>
    </row>
    <row r="114" spans="6:7" ht="15.75" thickTop="1" x14ac:dyDescent="0.25">
      <c r="F114" s="78" t="s">
        <v>67</v>
      </c>
      <c r="G114" s="75" t="str">
        <f ca="1">'Volume adjustments'!$C$15</f>
        <v>Section 104-A: LDNO discounts</v>
      </c>
    </row>
    <row r="115" spans="6:7" x14ac:dyDescent="0.25">
      <c r="F115" s="79" t="s">
        <v>115</v>
      </c>
      <c r="G115" s="75" t="str">
        <f ca="1">'Volume adjustments'!$C$53</f>
        <v>Section 104-B: Aggregation of volumes</v>
      </c>
    </row>
    <row r="116" spans="6:7" x14ac:dyDescent="0.25">
      <c r="F116" s="79" t="s">
        <v>115</v>
      </c>
      <c r="G116" s="75" t="str">
        <f ca="1">'Volume adjustments'!$C$225</f>
        <v>Section 104-C: Volume discounting</v>
      </c>
    </row>
    <row r="117" spans="6:7" x14ac:dyDescent="0.25">
      <c r="F117" s="79" t="s">
        <v>115</v>
      </c>
      <c r="G117" s="75" t="str">
        <f ca="1">'Volume adjustments'!$C$332</f>
        <v>Section 104-D: No residual volume discounting</v>
      </c>
    </row>
    <row r="118" spans="6:7" x14ac:dyDescent="0.25">
      <c r="F118" s="79" t="s">
        <v>115</v>
      </c>
      <c r="G118" s="75" t="str">
        <f ca="1">'Volume adjustments'!$C$361</f>
        <v>Section 104-E: Residual band 1 volume discounting</v>
      </c>
    </row>
    <row r="119" spans="6:7" x14ac:dyDescent="0.25">
      <c r="F119" s="79" t="s">
        <v>115</v>
      </c>
      <c r="G119" s="75" t="str">
        <f ca="1">'Volume adjustments'!$C$390</f>
        <v>Section 104-F: Residual band 2 volume discounting</v>
      </c>
    </row>
    <row r="120" spans="6:7" x14ac:dyDescent="0.25">
      <c r="F120" s="79" t="s">
        <v>115</v>
      </c>
      <c r="G120" s="75" t="str">
        <f ca="1">'Volume adjustments'!$C$419</f>
        <v>Section 104-G: Residual band 3 volume discounting</v>
      </c>
    </row>
    <row r="121" spans="6:7" x14ac:dyDescent="0.25">
      <c r="F121" s="79" t="s">
        <v>115</v>
      </c>
      <c r="G121" s="75" t="str">
        <f ca="1">'Volume adjustments'!$C$448</f>
        <v>Section 104-H: Residual band 4 volume discounting</v>
      </c>
    </row>
    <row r="122" spans="6:7" x14ac:dyDescent="0.25">
      <c r="F122" s="79" t="s">
        <v>115</v>
      </c>
      <c r="G122" s="75" t="str">
        <f ca="1">'Volume adjustments'!$C$477</f>
        <v>Section 104-I: Discounted volumes by residual band</v>
      </c>
    </row>
    <row r="123" spans="6:7" x14ac:dyDescent="0.25">
      <c r="F123" s="79" t="s">
        <v>115</v>
      </c>
      <c r="G123" s="75" t="str">
        <f ca="1">'Volume adjustments'!$C$523</f>
        <v>Section 104-J: Volumes by residual band</v>
      </c>
    </row>
    <row r="124" spans="6:7" ht="15.75" thickBot="1" x14ac:dyDescent="0.3">
      <c r="F124" s="79" t="s">
        <v>115</v>
      </c>
      <c r="G124" s="75" t="str">
        <f ca="1">'Volume adjustments'!$C$657</f>
        <v>Section 104-K: Non-domestic aggregated (related MPAN) distribution across bands</v>
      </c>
    </row>
    <row r="125" spans="6:7" ht="15.75" thickTop="1" x14ac:dyDescent="0.25">
      <c r="F125" s="78" t="s">
        <v>69</v>
      </c>
      <c r="G125" s="75" t="str">
        <f ca="1">'Pseudo-load coefficients'!$C$18</f>
        <v>Section 105-A: Flags and hours in timebands</v>
      </c>
    </row>
    <row r="126" spans="6:7" x14ac:dyDescent="0.25">
      <c r="F126" s="79" t="s">
        <v>115</v>
      </c>
      <c r="G126" s="75" t="str">
        <f ca="1">'Pseudo-load coefficients'!$C$28</f>
        <v>Section 105-B: Average load by timeband</v>
      </c>
    </row>
    <row r="127" spans="6:7" x14ac:dyDescent="0.25">
      <c r="F127" s="79" t="s">
        <v>115</v>
      </c>
      <c r="G127" s="75" t="str">
        <f ca="1">'Pseudo-load coefficients'!$C$36</f>
        <v>Section 105-C: Aggregated groups for pseudo-load coefficients</v>
      </c>
    </row>
    <row r="128" spans="6:7" x14ac:dyDescent="0.25">
      <c r="F128" s="79" t="s">
        <v>115</v>
      </c>
      <c r="G128" s="75" t="str">
        <f ca="1">'Pseudo-load coefficients'!$C$52</f>
        <v>Section 105-D: Ratio of coincidence to load factor assuming units evenly spread within time bands, and peak falls in Red period</v>
      </c>
    </row>
    <row r="129" spans="6:7" x14ac:dyDescent="0.25">
      <c r="F129" s="79" t="s">
        <v>115</v>
      </c>
      <c r="G129" s="75" t="str">
        <f ca="1">'Pseudo-load coefficients'!$C$60</f>
        <v>Section 105-E: Load characteristics for all customers</v>
      </c>
    </row>
    <row r="130" spans="6:7" x14ac:dyDescent="0.25">
      <c r="F130" s="79" t="s">
        <v>115</v>
      </c>
      <c r="G130" s="75" t="str">
        <f ca="1">'Pseudo-load coefficients'!$C$65</f>
        <v>Section 105-F: Aggregated load characteristics for grouped customers</v>
      </c>
    </row>
    <row r="131" spans="6:7" x14ac:dyDescent="0.25">
      <c r="F131" s="79" t="s">
        <v>115</v>
      </c>
      <c r="G131" s="75" t="str">
        <f ca="1">'Pseudo-load coefficients'!$C$87</f>
        <v>Section 105-G: Calculation of correction factor</v>
      </c>
    </row>
    <row r="132" spans="6:7" x14ac:dyDescent="0.25">
      <c r="F132" s="79" t="s">
        <v>115</v>
      </c>
      <c r="G132" s="75" t="str">
        <f ca="1">'Pseudo-load coefficients'!$C$100</f>
        <v>Section 105-H: Peaking probabilities, by network level</v>
      </c>
    </row>
    <row r="133" spans="6:7" x14ac:dyDescent="0.25">
      <c r="F133" s="79" t="s">
        <v>115</v>
      </c>
      <c r="G133" s="75" t="str">
        <f ca="1">'Pseudo-load coefficients'!$C$174</f>
        <v>Section 105-I: Peaking probabilities, by network level and customer type</v>
      </c>
    </row>
    <row r="134" spans="6:7" x14ac:dyDescent="0.25">
      <c r="F134" s="79" t="s">
        <v>115</v>
      </c>
      <c r="G134" s="75" t="str">
        <f ca="1">'Pseudo-load coefficients'!$C$221</f>
        <v>Section 105-J: Ratio of coincidence factor to load factor, based on uniform distribution in timebands and peaking probabilities</v>
      </c>
    </row>
    <row r="135" spans="6:7" x14ac:dyDescent="0.25">
      <c r="F135" s="79" t="s">
        <v>115</v>
      </c>
      <c r="G135" s="75" t="str">
        <f ca="1">'Pseudo-load coefficients'!$C$265</f>
        <v>Section 105-K: Load coefficient</v>
      </c>
    </row>
    <row r="136" spans="6:7" ht="15.75" thickBot="1" x14ac:dyDescent="0.3">
      <c r="F136" s="79" t="s">
        <v>115</v>
      </c>
      <c r="G136" s="75" t="str">
        <f ca="1">'Pseudo-load coefficients'!$C$269</f>
        <v>Section 105-L: Pseudo load coefficients, by unit rate</v>
      </c>
    </row>
    <row r="137" spans="6:7" ht="15.75" thickTop="1" x14ac:dyDescent="0.25">
      <c r="F137" s="78" t="s">
        <v>71</v>
      </c>
      <c r="G137" s="75" t="str">
        <f ca="1">'System peak demand'!$C$18</f>
        <v>Section 106-A: Common inputs for chargeable load calculations</v>
      </c>
    </row>
    <row r="138" spans="6:7" x14ac:dyDescent="0.25">
      <c r="F138" s="79" t="s">
        <v>115</v>
      </c>
      <c r="G138" s="75" t="str">
        <f ca="1">'System peak demand'!$C$67</f>
        <v>Section 106-B: System peak load, by unit rate</v>
      </c>
    </row>
    <row r="139" spans="6:7" x14ac:dyDescent="0.25">
      <c r="F139" s="79" t="s">
        <v>115</v>
      </c>
      <c r="G139" s="75" t="str">
        <f ca="1">'System peak demand'!$C$138</f>
        <v>Section 106-C: System peak load, all unit rates</v>
      </c>
    </row>
    <row r="140" spans="6:7" x14ac:dyDescent="0.25">
      <c r="F140" s="79" t="s">
        <v>115</v>
      </c>
      <c r="G140" s="75" t="str">
        <f ca="1">'System peak demand'!$C$164</f>
        <v>Section 106-D: Unit rate contributions to chargeable peak load</v>
      </c>
    </row>
    <row r="141" spans="6:7" x14ac:dyDescent="0.25">
      <c r="F141" s="79" t="s">
        <v>115</v>
      </c>
      <c r="G141" s="75" t="str">
        <f ca="1">'System peak demand'!$C$184</f>
        <v>Section 106-E: Adjustment of import and exceeded capacity</v>
      </c>
    </row>
    <row r="142" spans="6:7" x14ac:dyDescent="0.25">
      <c r="F142" s="79" t="s">
        <v>115</v>
      </c>
      <c r="G142" s="75" t="str">
        <f ca="1">'System peak demand'!$C$194</f>
        <v>Section 106-F: Calculation of LV circuit diversity factor</v>
      </c>
    </row>
    <row r="143" spans="6:7" x14ac:dyDescent="0.25">
      <c r="F143" s="79" t="s">
        <v>115</v>
      </c>
      <c r="G143" s="75" t="str">
        <f ca="1">'System peak demand'!$C$236</f>
        <v>Section 106-G: Import/exceeded capacity contribution to system peak</v>
      </c>
    </row>
    <row r="144" spans="6:7" x14ac:dyDescent="0.25">
      <c r="F144" s="79" t="s">
        <v>115</v>
      </c>
      <c r="G144" s="75" t="str">
        <f ca="1">'System peak demand'!$C$249</f>
        <v>Section 106-H: Estimated capacity contribution to system peak</v>
      </c>
    </row>
    <row r="145" spans="6:7" ht="15.75" thickBot="1" x14ac:dyDescent="0.3">
      <c r="F145" s="79" t="s">
        <v>115</v>
      </c>
      <c r="G145" s="75" t="str">
        <f ca="1">'System peak demand'!$C$266</f>
        <v>Section 106-I: System peak based on chargeable load</v>
      </c>
    </row>
    <row r="146" spans="6:7" ht="16.5" thickTop="1" thickBot="1" x14ac:dyDescent="0.3">
      <c r="F146" s="78" t="s">
        <v>73</v>
      </c>
      <c r="G146" s="75" t="str">
        <f ca="1">'Service model assets'!$C$14</f>
        <v>Section 107-A: Service model notional asset values</v>
      </c>
    </row>
    <row r="147" spans="6:7" ht="15.75" thickTop="1" x14ac:dyDescent="0.25">
      <c r="F147" s="78" t="s">
        <v>75</v>
      </c>
      <c r="G147" s="75" t="str">
        <f ca="1">'Unit costs'!$C$19</f>
        <v>Section 108-A: Financial data</v>
      </c>
    </row>
    <row r="148" spans="6:7" x14ac:dyDescent="0.25">
      <c r="F148" s="79" t="s">
        <v>115</v>
      </c>
      <c r="G148" s="75" t="str">
        <f ca="1">'Unit costs'!$C$27</f>
        <v>Section 108-B: Diversity and loss adjustment factors</v>
      </c>
    </row>
    <row r="149" spans="6:7" x14ac:dyDescent="0.25">
      <c r="F149" s="79" t="s">
        <v>115</v>
      </c>
      <c r="G149" s="75" t="str">
        <f ca="1">'Unit costs'!$C$35</f>
        <v>Section 108-C: Maximum demand</v>
      </c>
    </row>
    <row r="150" spans="6:7" x14ac:dyDescent="0.25">
      <c r="F150" s="79" t="s">
        <v>115</v>
      </c>
      <c r="G150" s="75" t="str">
        <f ca="1">'Unit costs'!$C$42</f>
        <v>Section 108-D: Rerouting matrix</v>
      </c>
    </row>
    <row r="151" spans="6:7" x14ac:dyDescent="0.25">
      <c r="F151" s="79" t="s">
        <v>115</v>
      </c>
      <c r="G151" s="75" t="str">
        <f ca="1">'Unit costs'!$C$50</f>
        <v>Section 108-E: Annuitised cost of assets</v>
      </c>
    </row>
    <row r="152" spans="6:7" x14ac:dyDescent="0.25">
      <c r="F152" s="79" t="s">
        <v>115</v>
      </c>
      <c r="G152" s="75" t="str">
        <f ca="1">'Unit costs'!$C$62</f>
        <v>Section 108-F: System simultaneous peak load based on charegable units</v>
      </c>
    </row>
    <row r="153" spans="6:7" x14ac:dyDescent="0.25">
      <c r="F153" s="79" t="s">
        <v>115</v>
      </c>
      <c r="G153" s="75" t="str">
        <f ca="1">'Unit costs'!$C$69</f>
        <v>Section 108-G: Notional asset values, by network level</v>
      </c>
    </row>
    <row r="154" spans="6:7" x14ac:dyDescent="0.25">
      <c r="F154" s="79" t="s">
        <v>115</v>
      </c>
      <c r="G154" s="75" t="str">
        <f ca="1">'Unit costs'!$C$80</f>
        <v>Section 108-H: Other operating costs</v>
      </c>
    </row>
    <row r="155" spans="6:7" x14ac:dyDescent="0.25">
      <c r="F155" s="79" t="s">
        <v>115</v>
      </c>
      <c r="G155" s="75" t="str">
        <f ca="1">'Unit costs'!$C$92</f>
        <v>Section 108-I: Other operating costs by network level</v>
      </c>
    </row>
    <row r="156" spans="6:7" x14ac:dyDescent="0.25">
      <c r="F156" s="79" t="s">
        <v>115</v>
      </c>
      <c r="G156" s="75" t="str">
        <f ca="1">'Unit costs'!$C$104</f>
        <v>Section 108-J: Notional asset values by network level</v>
      </c>
    </row>
    <row r="157" spans="6:7" x14ac:dyDescent="0.25">
      <c r="F157" s="79" t="s">
        <v>115</v>
      </c>
      <c r="G157" s="75" t="str">
        <f ca="1">'Unit costs'!$C$110</f>
        <v>Section 108-K: Unit costs</v>
      </c>
    </row>
    <row r="158" spans="6:7" ht="15.75" thickBot="1" x14ac:dyDescent="0.3">
      <c r="F158" s="79" t="s">
        <v>115</v>
      </c>
      <c r="G158" s="75" t="str">
        <f ca="1">'Unit costs'!$C$117</f>
        <v>Section 108-L: Values used for allocating costs to service models</v>
      </c>
    </row>
    <row r="159" spans="6:7" ht="15.75" thickTop="1" x14ac:dyDescent="0.25">
      <c r="F159" s="78" t="s">
        <v>77</v>
      </c>
      <c r="G159" s="75" t="str">
        <f ca="1">'Initial unit rates'!$C$13</f>
        <v>Section 109-A: Inputs for yardstick and unit rate calculations</v>
      </c>
    </row>
    <row r="160" spans="6:7" x14ac:dyDescent="0.25">
      <c r="F160" s="79" t="s">
        <v>115</v>
      </c>
      <c r="G160" s="75" t="str">
        <f ca="1">'Initial unit rates'!$C$118</f>
        <v>Section 109-B: Yardstick charges</v>
      </c>
    </row>
    <row r="161" spans="6:7" x14ac:dyDescent="0.25">
      <c r="F161" s="79" t="s">
        <v>115</v>
      </c>
      <c r="G161" s="75" t="str">
        <f ca="1">'Initial unit rates'!$C$146</f>
        <v>Section 109-C: Unit rate 1</v>
      </c>
    </row>
    <row r="162" spans="6:7" x14ac:dyDescent="0.25">
      <c r="F162" s="79" t="s">
        <v>115</v>
      </c>
      <c r="G162" s="75" t="str">
        <f ca="1">'Initial unit rates'!$C$175</f>
        <v>Section 109-D: Unit rate 2</v>
      </c>
    </row>
    <row r="163" spans="6:7" ht="15.75" thickBot="1" x14ac:dyDescent="0.3">
      <c r="F163" s="79" t="s">
        <v>115</v>
      </c>
      <c r="G163" s="75" t="str">
        <f ca="1">'Initial unit rates'!$C$204</f>
        <v>Section 109-E: Unit rate 3</v>
      </c>
    </row>
    <row r="164" spans="6:7" ht="15.75" thickTop="1" x14ac:dyDescent="0.25">
      <c r="F164" s="78" t="s">
        <v>79</v>
      </c>
      <c r="G164" s="75" t="str">
        <f ca="1">'Service model charges'!$C$17</f>
        <v>Section 110-A: Inputs to service model charge calculation</v>
      </c>
    </row>
    <row r="165" spans="6:7" x14ac:dyDescent="0.25">
      <c r="F165" s="79" t="s">
        <v>115</v>
      </c>
      <c r="G165" s="75" t="str">
        <f ca="1">'Service model charges'!$C$33</f>
        <v>Section 110-B: Calculation of other operating expenditure per £ of notional asset value</v>
      </c>
    </row>
    <row r="166" spans="6:7" ht="15.75" thickBot="1" x14ac:dyDescent="0.3">
      <c r="F166" s="79" t="s">
        <v>115</v>
      </c>
      <c r="G166" s="75" t="str">
        <f ca="1">'Service model charges'!$C$37</f>
        <v>Section 110-C: Calculation of service model charges</v>
      </c>
    </row>
    <row r="167" spans="6:7" ht="15.75" thickTop="1" x14ac:dyDescent="0.25">
      <c r="F167" s="78" t="s">
        <v>81</v>
      </c>
      <c r="G167" s="75" t="str">
        <f ca="1">'Unit rate charges'!$C$19</f>
        <v>Section 111-A: Initial unit rate 1</v>
      </c>
    </row>
    <row r="168" spans="6:7" x14ac:dyDescent="0.25">
      <c r="F168" s="79" t="s">
        <v>115</v>
      </c>
      <c r="G168" s="75" t="str">
        <f ca="1">'Unit rate charges'!$C$49</f>
        <v>Section 111-B: Initial unit rate 2</v>
      </c>
    </row>
    <row r="169" spans="6:7" x14ac:dyDescent="0.25">
      <c r="F169" s="79" t="s">
        <v>115</v>
      </c>
      <c r="G169" s="75" t="str">
        <f ca="1">'Unit rate charges'!$C$79</f>
        <v>Section 111-C: Initial unit rate 3</v>
      </c>
    </row>
    <row r="170" spans="6:7" x14ac:dyDescent="0.25">
      <c r="F170" s="79" t="s">
        <v>115</v>
      </c>
      <c r="G170" s="75" t="str">
        <f ca="1">'Unit rate charges'!$C$109</f>
        <v>Section 111-D: Standing charge factors</v>
      </c>
    </row>
    <row r="171" spans="6:7" x14ac:dyDescent="0.25">
      <c r="F171" s="79" t="s">
        <v>115</v>
      </c>
      <c r="G171" s="75" t="str">
        <f ca="1">'Unit rate charges'!$C$124</f>
        <v>Section 111-E: Contributions to unit rate 1 p/kWh by network level (taking account of standing charges)</v>
      </c>
    </row>
    <row r="172" spans="6:7" x14ac:dyDescent="0.25">
      <c r="F172" s="79" t="s">
        <v>115</v>
      </c>
      <c r="G172" s="75" t="str">
        <f ca="1">'Unit rate charges'!$C$154</f>
        <v>Section 111-F: Contributions to unit rate 2 p/kWh by network level (taking account of standing charges)</v>
      </c>
    </row>
    <row r="173" spans="6:7" x14ac:dyDescent="0.25">
      <c r="F173" s="79" t="s">
        <v>115</v>
      </c>
      <c r="G173" s="75" t="str">
        <f ca="1">'Unit rate charges'!$C$184</f>
        <v>Section 111-G: Contributions to unit rate 3 p/kWh by network level (taking account of standing charges)</v>
      </c>
    </row>
    <row r="174" spans="6:7" ht="15.75" thickBot="1" x14ac:dyDescent="0.3">
      <c r="F174" s="79" t="s">
        <v>115</v>
      </c>
      <c r="G174" s="75" t="str">
        <f ca="1">'Unit rate charges'!$C$214</f>
        <v>Section 111-H: Unit rates, post application of standing charges</v>
      </c>
    </row>
    <row r="175" spans="6:7" ht="15.75" thickTop="1" x14ac:dyDescent="0.25">
      <c r="F175" s="78" t="s">
        <v>85</v>
      </c>
      <c r="G175" s="75" t="str">
        <f ca="1">'Capacity charges'!$C$19</f>
        <v>Section 112-A: Inputs to capacity charge calculations</v>
      </c>
    </row>
    <row r="176" spans="6:7" x14ac:dyDescent="0.25">
      <c r="F176" s="79" t="s">
        <v>115</v>
      </c>
      <c r="G176" s="75" t="str">
        <f ca="1">'Capacity charges'!$C$129</f>
        <v>Section 112-B: Capacity-based charge elements (to be split between capacity &amp; fixed charges)</v>
      </c>
    </row>
    <row r="177" spans="6:7" x14ac:dyDescent="0.25">
      <c r="F177" s="79" t="s">
        <v>115</v>
      </c>
      <c r="G177" s="75" t="str">
        <f ca="1">'Capacity charges'!$C$159</f>
        <v>Section 112-C: Exceeded capacity-based charge elements</v>
      </c>
    </row>
    <row r="178" spans="6:7" x14ac:dyDescent="0.25">
      <c r="F178" s="79" t="s">
        <v>115</v>
      </c>
      <c r="G178" s="75" t="str">
        <f ca="1">'Capacity charges'!$C$189</f>
        <v>Section 112-D: Capacity charges for eligible customers, by network level</v>
      </c>
    </row>
    <row r="179" spans="6:7" x14ac:dyDescent="0.25">
      <c r="F179" s="79" t="s">
        <v>115</v>
      </c>
      <c r="G179" s="75" t="str">
        <f ca="1">'Capacity charges'!$C$219</f>
        <v>Section 112-E: Exceeded capacity charges for eligible customers, by network level</v>
      </c>
    </row>
    <row r="180" spans="6:7" x14ac:dyDescent="0.25">
      <c r="F180" s="79" t="s">
        <v>115</v>
      </c>
      <c r="G180" s="75" t="str">
        <f ca="1">'Capacity charges'!$C$254</f>
        <v>Section 112-F: Capacity and exceeded capacity charges</v>
      </c>
    </row>
    <row r="181" spans="6:7" ht="15.75" thickBot="1" x14ac:dyDescent="0.3">
      <c r="F181" s="79" t="s">
        <v>115</v>
      </c>
      <c r="G181" s="75" t="str">
        <f ca="1">'Capacity charges'!$C$259</f>
        <v>Section 112-G: Capacity elements allocated to fixed charges</v>
      </c>
    </row>
    <row r="182" spans="6:7" ht="15.75" thickTop="1" x14ac:dyDescent="0.25">
      <c r="F182" s="78" t="s">
        <v>83</v>
      </c>
      <c r="G182" s="75" t="str">
        <f ca="1">'Reactive power charges'!$C$17</f>
        <v>Section 113-A: Inputs to reactive power charge calculations</v>
      </c>
    </row>
    <row r="183" spans="6:7" x14ac:dyDescent="0.25">
      <c r="F183" s="79" t="s">
        <v>115</v>
      </c>
      <c r="G183" s="75" t="str">
        <f ca="1">'Reactive power charges'!$C$120</f>
        <v>Section 113-B: Yardstick charge (demand)</v>
      </c>
    </row>
    <row r="184" spans="6:7" x14ac:dyDescent="0.25">
      <c r="F184" s="79" t="s">
        <v>115</v>
      </c>
      <c r="G184" s="75" t="str">
        <f ca="1">'Reactive power charges'!$C$155</f>
        <v>Section 113-C: Yardstick charge used for generation</v>
      </c>
    </row>
    <row r="185" spans="6:7" x14ac:dyDescent="0.25">
      <c r="F185" s="79" t="s">
        <v>115</v>
      </c>
      <c r="G185" s="75" t="str">
        <f ca="1">'Reactive power charges'!$C$190</f>
        <v>Section 113-D: Reactive power charges, all customer categories</v>
      </c>
    </row>
    <row r="186" spans="6:7" ht="15.75" thickBot="1" x14ac:dyDescent="0.3">
      <c r="F186" s="79" t="s">
        <v>115</v>
      </c>
      <c r="G186" s="75" t="str">
        <f ca="1">'Reactive power charges'!$C$220</f>
        <v>Section 113-E: Reactive power charges for applicable customers</v>
      </c>
    </row>
    <row r="187" spans="6:7" ht="15.75" thickTop="1" x14ac:dyDescent="0.25">
      <c r="F187" s="78" t="s">
        <v>87</v>
      </c>
      <c r="G187" s="75" t="str">
        <f ca="1">'Fixed charges'!$C$16</f>
        <v>Section 114-A: Volumes (discounted MPANs &amp; maximum load)</v>
      </c>
    </row>
    <row r="188" spans="6:7" x14ac:dyDescent="0.25">
      <c r="F188" s="79" t="s">
        <v>115</v>
      </c>
      <c r="G188" s="75" t="str">
        <f ca="1">'Fixed charges'!$C$22</f>
        <v>Section 114-B: Capacity elements allocated to fixed charges</v>
      </c>
    </row>
    <row r="189" spans="6:7" x14ac:dyDescent="0.25">
      <c r="F189" s="79" t="s">
        <v>115</v>
      </c>
      <c r="G189" s="75" t="str">
        <f ca="1">'Fixed charges'!$C$52</f>
        <v>Section 114-C: Service model costs allocated to fixed charges</v>
      </c>
    </row>
    <row r="190" spans="6:7" x14ac:dyDescent="0.25">
      <c r="F190" s="79" t="s">
        <v>115</v>
      </c>
      <c r="G190" s="75" t="str">
        <f ca="1">'Fixed charges'!$C$58</f>
        <v>Section 114-D: Flags</v>
      </c>
    </row>
    <row r="191" spans="6:7" x14ac:dyDescent="0.25">
      <c r="F191" s="79" t="s">
        <v>115</v>
      </c>
      <c r="G191" s="75" t="str">
        <f ca="1">'Fixed charges'!$C$67</f>
        <v>Section 114-E: Revenue allocated to fixed charges</v>
      </c>
    </row>
    <row r="192" spans="6:7" x14ac:dyDescent="0.25">
      <c r="F192" s="79" t="s">
        <v>115</v>
      </c>
      <c r="G192" s="75" t="str">
        <f ca="1">'Fixed charges'!$C$97</f>
        <v>Section 114-F: Revenue allocated to fixed charges, by aggregation group</v>
      </c>
    </row>
    <row r="193" spans="6:7" x14ac:dyDescent="0.25">
      <c r="F193" s="79" t="s">
        <v>115</v>
      </c>
      <c r="G193" s="75" t="str">
        <f ca="1">'Fixed charges'!$C$127</f>
        <v>Section 114-G: Fixed charges, by network level</v>
      </c>
    </row>
    <row r="194" spans="6:7" ht="15.75" thickBot="1" x14ac:dyDescent="0.3">
      <c r="F194" s="79" t="s">
        <v>115</v>
      </c>
      <c r="G194" s="75" t="str">
        <f ca="1">'Fixed charges'!$C$159</f>
        <v>Section 114-H: Aggregated fixed charges</v>
      </c>
    </row>
    <row r="195" spans="6:7" ht="15.75" thickTop="1" x14ac:dyDescent="0.25">
      <c r="F195" s="78" t="s">
        <v>1140</v>
      </c>
      <c r="G195" s="75" t="str">
        <f ca="1">'SoLR &amp; bad debt adders'!$C$16</f>
        <v>Section 115-A: Inputs for fixed tariff adjustments</v>
      </c>
    </row>
    <row r="196" spans="6:7" x14ac:dyDescent="0.25">
      <c r="F196" s="79" t="s">
        <v>115</v>
      </c>
      <c r="G196" s="75" t="str">
        <f ca="1">'SoLR &amp; bad debt adders'!$C$35</f>
        <v>Section 115-B: Calculation of fixed tariff adjustments</v>
      </c>
    </row>
    <row r="197" spans="6:7" ht="15.75" thickBot="1" x14ac:dyDescent="0.3">
      <c r="F197" s="79" t="s">
        <v>115</v>
      </c>
      <c r="G197" s="75" t="str">
        <f ca="1">'SoLR &amp; bad debt adders'!$C$53</f>
        <v>Section 115-C: Calculation of fixed charge adder revenue</v>
      </c>
    </row>
    <row r="198" spans="6:7" ht="15.75" thickTop="1" x14ac:dyDescent="0.25">
      <c r="F198" s="78" t="s">
        <v>89</v>
      </c>
      <c r="G198" s="75" t="str">
        <f ca="1">'Revenue matching'!$C$15</f>
        <v>Section 116-A: Inputs to revenue matching</v>
      </c>
    </row>
    <row r="199" spans="6:7" x14ac:dyDescent="0.25">
      <c r="F199" s="79" t="s">
        <v>115</v>
      </c>
      <c r="G199" s="75" t="str">
        <f ca="1">'Revenue matching'!$C$70</f>
        <v>Section 116-B: Net revenue before matching</v>
      </c>
    </row>
    <row r="200" spans="6:7" x14ac:dyDescent="0.25">
      <c r="F200" s="79" t="s">
        <v>115</v>
      </c>
      <c r="G200" s="75" t="str">
        <f ca="1">'Revenue matching'!$C$89</f>
        <v>Section 116-C: Grouping of residual bands where a band has insufficient customers</v>
      </c>
    </row>
    <row r="201" spans="6:7" x14ac:dyDescent="0.25">
      <c r="F201" s="79" t="s">
        <v>115</v>
      </c>
      <c r="G201" s="75" t="str">
        <f ca="1">'Revenue matching'!$C$152</f>
        <v>Section 116-D: Calculating MPANs for matching</v>
      </c>
    </row>
    <row r="202" spans="6:7" x14ac:dyDescent="0.25">
      <c r="F202" s="79" t="s">
        <v>115</v>
      </c>
      <c r="G202" s="75" t="str">
        <f ca="1">'Revenue matching'!$C$160</f>
        <v>Section 116-E: Calculating unit volumes for matching</v>
      </c>
    </row>
    <row r="203" spans="6:7" x14ac:dyDescent="0.25">
      <c r="F203" s="79" t="s">
        <v>115</v>
      </c>
      <c r="G203" s="75" t="str">
        <f ca="1">'Revenue matching'!$C$177</f>
        <v>Section 116-F: Allocating revenue to tariffs</v>
      </c>
    </row>
    <row r="204" spans="6:7" x14ac:dyDescent="0.25">
      <c r="F204" s="79" t="s">
        <v>115</v>
      </c>
      <c r="G204" s="75" t="str">
        <f ca="1">'Revenue matching'!$C$193</f>
        <v>Section 116-G: Calculating the residual fixed charge</v>
      </c>
    </row>
    <row r="205" spans="6:7" x14ac:dyDescent="0.25">
      <c r="F205" s="79" t="s">
        <v>115</v>
      </c>
      <c r="G205" s="75" t="str">
        <f ca="1">'Revenue matching'!$C$201</f>
        <v>Section 116-H: Calculating the initial residual unit rate</v>
      </c>
    </row>
    <row r="206" spans="6:7" x14ac:dyDescent="0.25">
      <c r="F206" s="79" t="s">
        <v>115</v>
      </c>
      <c r="G206" s="75" t="str">
        <f ca="1">'Revenue matching'!$C$214</f>
        <v>Section 116-I: Floor on negative residual fixed charges</v>
      </c>
    </row>
    <row r="207" spans="6:7" x14ac:dyDescent="0.25">
      <c r="F207" s="79" t="s">
        <v>115</v>
      </c>
      <c r="G207" s="75" t="str">
        <f ca="1">'Revenue matching'!$C$233</f>
        <v>Section 116-J: Ranking unit rate volumes and tariffs</v>
      </c>
    </row>
    <row r="208" spans="6:7" x14ac:dyDescent="0.25">
      <c r="F208" s="79" t="s">
        <v>115</v>
      </c>
      <c r="G208" s="75" t="str">
        <f ca="1">'Revenue matching'!$C$287</f>
        <v>Section 116-K: Revenue matching for three timebands</v>
      </c>
    </row>
    <row r="209" spans="6:7" x14ac:dyDescent="0.25">
      <c r="F209" s="79" t="s">
        <v>115</v>
      </c>
      <c r="G209" s="75" t="str">
        <f ca="1">'Revenue matching'!$C$314</f>
        <v>Section 116-L: Revenue matching for two timebands</v>
      </c>
    </row>
    <row r="210" spans="6:7" x14ac:dyDescent="0.25">
      <c r="F210" s="79" t="s">
        <v>115</v>
      </c>
      <c r="G210" s="75" t="str">
        <f ca="1">'Revenue matching'!$C$346</f>
        <v>Section 116-M: Revenue matching for one timeband</v>
      </c>
    </row>
    <row r="211" spans="6:7" x14ac:dyDescent="0.25">
      <c r="F211" s="79" t="s">
        <v>115</v>
      </c>
      <c r="G211" s="75" t="str">
        <f ca="1">'Revenue matching'!$C$378</f>
        <v>Section 116-N: Revenue matching adders by timeband</v>
      </c>
    </row>
    <row r="212" spans="6:7" ht="15.75" thickBot="1" x14ac:dyDescent="0.3">
      <c r="F212" s="79" t="s">
        <v>115</v>
      </c>
      <c r="G212" s="75" t="str">
        <f ca="1">'Revenue matching'!$C$410</f>
        <v>Section 116-O: Final adders</v>
      </c>
    </row>
    <row r="213" spans="6:7" ht="15.75" thickTop="1" x14ac:dyDescent="0.25">
      <c r="F213" s="78" t="s">
        <v>91</v>
      </c>
      <c r="G213" s="75" t="str">
        <f ca="1">Rounding!$C$16</f>
        <v>Section 117-A: Pre-match, pre-rounding tariff forecast</v>
      </c>
    </row>
    <row r="214" spans="6:7" x14ac:dyDescent="0.25">
      <c r="F214" s="79" t="s">
        <v>115</v>
      </c>
      <c r="G214" s="75" t="str">
        <f ca="1">Rounding!$C$28</f>
        <v>Section 117-B: Adders for revenue matching</v>
      </c>
    </row>
    <row r="215" spans="6:7" x14ac:dyDescent="0.25">
      <c r="F215" s="79" t="s">
        <v>115</v>
      </c>
      <c r="G215" s="75" t="str">
        <f ca="1">Rounding!$C$40</f>
        <v>Section 117-C: Adder to fixed charge for allocated pass-through costs</v>
      </c>
    </row>
    <row r="216" spans="6:7" x14ac:dyDescent="0.25">
      <c r="F216" s="79" t="s">
        <v>115</v>
      </c>
      <c r="G216" s="75" t="str">
        <f ca="1">Rounding!$C$52</f>
        <v>Section 117-D: LDNO discounts</v>
      </c>
    </row>
    <row r="217" spans="6:7" x14ac:dyDescent="0.25">
      <c r="F217" s="79" t="s">
        <v>115</v>
      </c>
      <c r="G217" s="75" t="str">
        <f ca="1">Rounding!$C$92</f>
        <v>Section 117-E: Decimal places for rounding</v>
      </c>
    </row>
    <row r="218" spans="6:7" x14ac:dyDescent="0.25">
      <c r="F218" s="79" t="s">
        <v>115</v>
      </c>
      <c r="G218" s="75" t="str">
        <f ca="1">Rounding!$C$107</f>
        <v>Section 117-F: Tariff forecast, post-revenue matching</v>
      </c>
    </row>
    <row r="219" spans="6:7" x14ac:dyDescent="0.25">
      <c r="F219" s="79" t="s">
        <v>115</v>
      </c>
      <c r="G219" s="75" t="str">
        <f ca="1">Rounding!$C$118</f>
        <v>Section 117-G: Tariff forecast, post-adders &amp; discounting</v>
      </c>
    </row>
    <row r="220" spans="6:7" ht="15.75" thickBot="1" x14ac:dyDescent="0.3">
      <c r="F220" s="79" t="s">
        <v>115</v>
      </c>
      <c r="G220" s="75" t="str">
        <f ca="1">Rounding!$C$147</f>
        <v>Section 117-H: Tariff forecast, post-rounding</v>
      </c>
    </row>
    <row r="221" spans="6:7" ht="15.75" thickTop="1" x14ac:dyDescent="0.25">
      <c r="F221" s="78" t="s">
        <v>93</v>
      </c>
      <c r="G221" s="75" t="str">
        <f ca="1">'Net revenue summary'!$C$13</f>
        <v>Section 118-A: Volume forecasts</v>
      </c>
    </row>
    <row r="222" spans="6:7" x14ac:dyDescent="0.25">
      <c r="F222" s="79" t="s">
        <v>115</v>
      </c>
      <c r="G222" s="75" t="str">
        <f ca="1">'Net revenue summary'!$C$52</f>
        <v>Section 118-B: Tariff forecast</v>
      </c>
    </row>
    <row r="223" spans="6:7" x14ac:dyDescent="0.25">
      <c r="F223" s="79" t="s">
        <v>115</v>
      </c>
      <c r="G223" s="75" t="str">
        <f ca="1">'Net revenue summary'!$C$81</f>
        <v>Section 118-C: Net revenue components</v>
      </c>
    </row>
    <row r="224" spans="6:7" x14ac:dyDescent="0.25">
      <c r="F224" s="79" t="s">
        <v>115</v>
      </c>
      <c r="G224" s="75" t="str">
        <f ca="1">'Net revenue summary'!$C$92</f>
        <v>Section 118-D: Net revenue by tariff</v>
      </c>
    </row>
    <row r="225" spans="2:7" x14ac:dyDescent="0.25">
      <c r="F225" s="79" t="s">
        <v>115</v>
      </c>
      <c r="G225" s="75" t="str">
        <f ca="1">'Net revenue summary'!$C$124</f>
        <v>Section 118-E: Net revenue summary (for information only)</v>
      </c>
    </row>
    <row r="226" spans="2:7" x14ac:dyDescent="0.25">
      <c r="F226" s="79" t="s">
        <v>115</v>
      </c>
      <c r="G226" s="75" t="str">
        <f ca="1">'Net revenue summary'!$C$138</f>
        <v>Section 118-F: Typical bills</v>
      </c>
    </row>
    <row r="227" spans="2:7" x14ac:dyDescent="0.25">
      <c r="F227" s="79" t="s">
        <v>115</v>
      </c>
      <c r="G227" s="75" t="str">
        <f ca="1">'Net revenue summary'!$C$144</f>
        <v>Section 118-G: Average bill per kWh</v>
      </c>
    </row>
    <row r="228" spans="2:7" x14ac:dyDescent="0.25">
      <c r="F228" s="79" t="s">
        <v>115</v>
      </c>
      <c r="G228" s="75" t="str">
        <f ca="1">'Net revenue summary'!$C$152</f>
        <v>Section 118-H: Previous year all the way tariff forecast</v>
      </c>
    </row>
    <row r="229" spans="2:7" x14ac:dyDescent="0.25">
      <c r="F229" s="79" t="s">
        <v>115</v>
      </c>
      <c r="G229" s="75" t="str">
        <f ca="1">'Net revenue summary'!$C$163</f>
        <v>Section 118-I: Previous year net revenue from all the way tariff forecast</v>
      </c>
    </row>
    <row r="230" spans="2:7" x14ac:dyDescent="0.25">
      <c r="F230" s="79" t="s">
        <v>115</v>
      </c>
      <c r="G230" s="75" t="str">
        <f ca="1">'Net revenue summary'!$C$178</f>
        <v>Section 118-J: LDNO typical bills using all-the-way volumes</v>
      </c>
    </row>
    <row r="231" spans="2:7" ht="15.75" thickBot="1" x14ac:dyDescent="0.3">
      <c r="F231" s="79" t="s">
        <v>115</v>
      </c>
      <c r="G231" s="75" t="str">
        <f ca="1">'Net revenue summary'!$C$202</f>
        <v>Section 118-K: LDNO margins</v>
      </c>
    </row>
    <row r="232" spans="2:7" ht="16.5" thickTop="1" thickBot="1" x14ac:dyDescent="0.3">
      <c r="F232" s="80" t="s">
        <v>95</v>
      </c>
      <c r="G232" s="75" t="str">
        <f>'Tariff summary'!$C$13</f>
        <v>Output 101-A: Tariffs for 2025/26</v>
      </c>
    </row>
    <row r="233" spans="2:7" ht="15.75" thickTop="1" x14ac:dyDescent="0.25">
      <c r="F233" s="80" t="s">
        <v>97</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115</v>
      </c>
      <c r="G235" s="75" t="str">
        <f ca="1">'Output to other models'!$C$33</f>
        <v>Output 102-C: CDCM end user tariff forecast</v>
      </c>
    </row>
    <row r="236" spans="2:7" x14ac:dyDescent="0.25">
      <c r="F236" s="81" t="s">
        <v>115</v>
      </c>
      <c r="G236" s="75" t="str">
        <f ca="1">'Output to other models'!$C$51</f>
        <v>Output 102-D: CDCM non-tariff outputs to EDCM</v>
      </c>
    </row>
    <row r="237" spans="2:7" x14ac:dyDescent="0.25">
      <c r="F237" s="81" t="s">
        <v>115</v>
      </c>
      <c r="G237" s="75" t="str">
        <f ca="1">'Output to other models'!$C$63</f>
        <v>Output 102-E: Outputs for DNOs' internal use</v>
      </c>
    </row>
    <row r="238" spans="2:7" x14ac:dyDescent="0.25">
      <c r="F238" s="81" t="s">
        <v>115</v>
      </c>
      <c r="G238" s="75" t="str">
        <f ca="1">'Output to other models'!$C$73</f>
        <v>Output 102-F: Outputs for IDNOs' internal use</v>
      </c>
    </row>
    <row r="240" spans="2:7" x14ac:dyDescent="0.25">
      <c r="B240" s="70" t="s">
        <v>105</v>
      </c>
      <c r="C240" s="70"/>
      <c r="D240" s="70"/>
      <c r="E240" s="70"/>
      <c r="F240" s="70"/>
      <c r="G240" s="70"/>
    </row>
  </sheetData>
  <sheetProtection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headerFooter>
    <oddHeader>&amp;L&amp;"Calibri"&amp;10&amp;KFF0000 Public&amp;1#_x000D_</oddHeader>
    <oddFooter>&amp;L_x000D_&amp;1#&amp;"Calibri"&amp;10&amp;KFF0000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Northern Powergrid (Yorkshire) - v0.1</v>
      </c>
    </row>
    <row r="3" spans="1:8" s="5" customFormat="1" x14ac:dyDescent="0.25">
      <c r="A3" s="5" t="str">
        <f>Cover!D2&amp;" - "&amp;Cover!D8&amp;" v"&amp;Cover!D10&amp;" - "&amp;Cover!D19</f>
        <v>CDCM charging model - Release for charge setting v10 - 2025/26</v>
      </c>
    </row>
    <row r="5" spans="1:8" x14ac:dyDescent="0.25">
      <c r="B5" s="49" t="s">
        <v>120</v>
      </c>
      <c r="C5" s="49"/>
      <c r="D5" s="49"/>
      <c r="E5" s="49"/>
      <c r="F5" s="50"/>
      <c r="G5" s="50"/>
      <c r="H5" s="50"/>
    </row>
    <row r="6" spans="1:8" x14ac:dyDescent="0.25">
      <c r="B6" s="48"/>
      <c r="C6" s="48"/>
      <c r="D6" s="48"/>
      <c r="E6" s="48"/>
      <c r="F6" s="51"/>
      <c r="G6" s="48"/>
      <c r="H6" s="48"/>
    </row>
    <row r="7" spans="1:8" x14ac:dyDescent="0.25">
      <c r="F7" s="75" t="s">
        <v>121</v>
      </c>
      <c r="G7" t="s">
        <v>122</v>
      </c>
      <c r="H7" t="s">
        <v>113</v>
      </c>
    </row>
    <row r="8" spans="1:8" x14ac:dyDescent="0.25">
      <c r="F8" s="75" t="s">
        <v>123</v>
      </c>
      <c r="G8" t="s">
        <v>124</v>
      </c>
      <c r="H8" t="s">
        <v>52</v>
      </c>
    </row>
    <row r="9" spans="1:8" x14ac:dyDescent="0.25">
      <c r="F9" s="75" t="s">
        <v>125</v>
      </c>
      <c r="G9" t="s">
        <v>126</v>
      </c>
      <c r="H9" t="s">
        <v>59</v>
      </c>
    </row>
    <row r="10" spans="1:8" x14ac:dyDescent="0.25">
      <c r="F10" s="75" t="s">
        <v>127</v>
      </c>
      <c r="G10" t="s">
        <v>128</v>
      </c>
      <c r="H10" t="s">
        <v>113</v>
      </c>
    </row>
    <row r="11" spans="1:8" x14ac:dyDescent="0.25">
      <c r="F11" s="75" t="s">
        <v>129</v>
      </c>
      <c r="G11" t="s">
        <v>130</v>
      </c>
      <c r="H11" t="s">
        <v>52</v>
      </c>
    </row>
    <row r="12" spans="1:8" x14ac:dyDescent="0.25">
      <c r="F12" s="75" t="s">
        <v>131</v>
      </c>
      <c r="G12" t="s">
        <v>132</v>
      </c>
      <c r="H12" t="s">
        <v>59</v>
      </c>
    </row>
    <row r="13" spans="1:8" x14ac:dyDescent="0.25">
      <c r="F13" s="75" t="s">
        <v>133</v>
      </c>
      <c r="G13" t="s">
        <v>134</v>
      </c>
      <c r="H13" t="s">
        <v>52</v>
      </c>
    </row>
    <row r="14" spans="1:8" x14ac:dyDescent="0.25">
      <c r="F14" s="75" t="s">
        <v>135</v>
      </c>
      <c r="G14" t="s">
        <v>136</v>
      </c>
      <c r="H14" t="s">
        <v>52</v>
      </c>
    </row>
    <row r="15" spans="1:8" x14ac:dyDescent="0.25">
      <c r="F15" s="75" t="s">
        <v>137</v>
      </c>
      <c r="G15" t="s">
        <v>138</v>
      </c>
      <c r="H15" t="s">
        <v>52</v>
      </c>
    </row>
    <row r="16" spans="1:8" x14ac:dyDescent="0.25">
      <c r="F16" s="75" t="s">
        <v>139</v>
      </c>
      <c r="G16" t="s">
        <v>140</v>
      </c>
      <c r="H16" t="s">
        <v>52</v>
      </c>
    </row>
    <row r="17" spans="2:8" x14ac:dyDescent="0.25">
      <c r="F17" s="75"/>
    </row>
    <row r="18" spans="2:8" x14ac:dyDescent="0.25">
      <c r="B18" s="49" t="s">
        <v>105</v>
      </c>
      <c r="C18" s="49"/>
      <c r="D18" s="49"/>
      <c r="E18" s="49"/>
      <c r="F18" s="50"/>
      <c r="G18" s="50"/>
      <c r="H18" s="50"/>
    </row>
  </sheetData>
  <sheetProtection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headerFooter>
    <oddHeader>&amp;L&amp;"Calibri"&amp;10&amp;KFF0000 Public&amp;1#_x000D_</oddHeader>
    <oddFooter>&amp;L_x000D_&amp;1#&amp;"Calibri"&amp;10&amp;KFF0000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145</v>
      </c>
    </row>
    <row r="11" spans="1:43" x14ac:dyDescent="0.25">
      <c r="B11" s="70" t="s">
        <v>52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130</v>
      </c>
      <c r="G15" t="s">
        <v>146</v>
      </c>
      <c r="H15" s="7">
        <v>24</v>
      </c>
    </row>
    <row r="16" spans="1:43" x14ac:dyDescent="0.25">
      <c r="E16" s="89" t="s">
        <v>147</v>
      </c>
      <c r="G16" t="s">
        <v>148</v>
      </c>
      <c r="H16" s="7">
        <v>10</v>
      </c>
    </row>
    <row r="17" spans="3:43" x14ac:dyDescent="0.25">
      <c r="E17" s="89" t="s">
        <v>149</v>
      </c>
      <c r="G17" t="s">
        <v>148</v>
      </c>
      <c r="H17" s="7">
        <v>100</v>
      </c>
    </row>
    <row r="18" spans="3:43" x14ac:dyDescent="0.25">
      <c r="E18" s="89" t="s">
        <v>150</v>
      </c>
      <c r="G18" t="s">
        <v>148</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151</v>
      </c>
    </row>
    <row r="23" spans="3:43" x14ac:dyDescent="0.25">
      <c r="E23" s="60"/>
    </row>
    <row r="24" spans="3:43" x14ac:dyDescent="0.25">
      <c r="E24" s="60" t="s">
        <v>152</v>
      </c>
      <c r="F24" s="71"/>
      <c r="I24" t="s">
        <v>153</v>
      </c>
      <c r="AQ24" t="s">
        <v>154</v>
      </c>
    </row>
    <row r="25" spans="3:43" x14ac:dyDescent="0.25">
      <c r="F25" s="90" t="s">
        <v>155</v>
      </c>
      <c r="G25" s="90" t="s">
        <v>148</v>
      </c>
      <c r="H25" s="8">
        <v>3</v>
      </c>
    </row>
    <row r="26" spans="3:43" x14ac:dyDescent="0.25">
      <c r="F26" t="s">
        <v>156</v>
      </c>
      <c r="G26" t="s">
        <v>148</v>
      </c>
      <c r="H26" s="7">
        <v>3</v>
      </c>
    </row>
    <row r="27" spans="3:43" x14ac:dyDescent="0.25">
      <c r="F27" t="s">
        <v>157</v>
      </c>
      <c r="G27" t="s">
        <v>148</v>
      </c>
      <c r="H27" s="7">
        <v>3</v>
      </c>
    </row>
    <row r="28" spans="3:43" x14ac:dyDescent="0.25">
      <c r="F28" t="s">
        <v>158</v>
      </c>
      <c r="G28" t="s">
        <v>148</v>
      </c>
      <c r="H28" s="7">
        <v>2</v>
      </c>
    </row>
    <row r="29" spans="3:43" x14ac:dyDescent="0.25">
      <c r="F29" t="s">
        <v>159</v>
      </c>
      <c r="G29" t="s">
        <v>148</v>
      </c>
      <c r="H29" s="7">
        <v>2</v>
      </c>
    </row>
    <row r="30" spans="3:43" x14ac:dyDescent="0.25">
      <c r="F30" t="s">
        <v>160</v>
      </c>
      <c r="G30" t="s">
        <v>148</v>
      </c>
      <c r="H30" s="7">
        <v>2</v>
      </c>
    </row>
    <row r="31" spans="3:43" x14ac:dyDescent="0.25">
      <c r="F31" s="91" t="s">
        <v>161</v>
      </c>
      <c r="G31" s="91" t="s">
        <v>148</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162</v>
      </c>
      <c r="G35" t="s">
        <v>163</v>
      </c>
      <c r="H35" s="7">
        <v>40</v>
      </c>
      <c r="I35" t="s">
        <v>153</v>
      </c>
      <c r="AQ35" s="3" t="s">
        <v>164</v>
      </c>
    </row>
    <row r="37" spans="3:43" x14ac:dyDescent="0.25">
      <c r="E37" s="89" t="s">
        <v>165</v>
      </c>
      <c r="G37" t="s">
        <v>166</v>
      </c>
      <c r="H37" s="7">
        <v>0.95</v>
      </c>
      <c r="I37" t="s">
        <v>153</v>
      </c>
      <c r="AQ37" t="s">
        <v>167</v>
      </c>
    </row>
    <row r="39" spans="3:43" x14ac:dyDescent="0.25">
      <c r="E39" s="89" t="s">
        <v>168</v>
      </c>
      <c r="G39" t="s">
        <v>166</v>
      </c>
      <c r="H39" s="10">
        <v>0.6</v>
      </c>
      <c r="I39" t="s">
        <v>153</v>
      </c>
      <c r="AQ39" s="3" t="s">
        <v>169</v>
      </c>
    </row>
    <row r="41" spans="3:43" x14ac:dyDescent="0.25">
      <c r="E41" s="89" t="s">
        <v>170</v>
      </c>
      <c r="G41" s="89" t="s">
        <v>171</v>
      </c>
      <c r="H41" s="7">
        <v>500</v>
      </c>
      <c r="I41" t="s">
        <v>153</v>
      </c>
      <c r="AQ41" s="92" t="s">
        <v>172</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173</v>
      </c>
    </row>
    <row r="46" spans="3:43" x14ac:dyDescent="0.25">
      <c r="F46" s="93" t="s">
        <v>174</v>
      </c>
      <c r="G46" s="90" t="s">
        <v>175</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176</v>
      </c>
      <c r="G47" t="s">
        <v>175</v>
      </c>
      <c r="J47" s="7">
        <v>1</v>
      </c>
      <c r="K47" s="7">
        <v>1</v>
      </c>
      <c r="L47" s="7">
        <v>1</v>
      </c>
      <c r="M47" s="7">
        <v>1</v>
      </c>
      <c r="N47" s="7">
        <v>1</v>
      </c>
      <c r="O47" s="7">
        <v>0</v>
      </c>
      <c r="P47" s="7">
        <v>0</v>
      </c>
      <c r="Q47" s="7">
        <v>1</v>
      </c>
      <c r="R47" s="95"/>
      <c r="S47" s="95"/>
      <c r="T47" s="95"/>
      <c r="U47" s="95"/>
      <c r="V47" s="95"/>
      <c r="W47" s="95"/>
      <c r="X47" s="95"/>
      <c r="Y47" s="95"/>
    </row>
    <row r="48" spans="3:43" x14ac:dyDescent="0.25">
      <c r="F48" s="89" t="s">
        <v>177</v>
      </c>
      <c r="G48" t="s">
        <v>175</v>
      </c>
      <c r="J48" s="7">
        <v>0</v>
      </c>
      <c r="K48" s="7">
        <v>0</v>
      </c>
      <c r="L48" s="7">
        <v>0</v>
      </c>
      <c r="M48" s="7">
        <v>0</v>
      </c>
      <c r="N48" s="7">
        <v>0</v>
      </c>
      <c r="O48" s="7">
        <v>1</v>
      </c>
      <c r="P48" s="7">
        <v>0</v>
      </c>
      <c r="Q48" s="7">
        <v>0</v>
      </c>
      <c r="R48" s="95"/>
      <c r="S48" s="95"/>
      <c r="T48" s="95"/>
      <c r="U48" s="95"/>
      <c r="V48" s="95"/>
      <c r="W48" s="95"/>
      <c r="X48" s="95"/>
      <c r="Y48" s="95"/>
    </row>
    <row r="49" spans="5:43" x14ac:dyDescent="0.25">
      <c r="F49" s="96" t="s">
        <v>178</v>
      </c>
      <c r="G49" s="91" t="s">
        <v>175</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179</v>
      </c>
      <c r="I51" t="s">
        <v>153</v>
      </c>
      <c r="AQ51" s="3" t="s">
        <v>180</v>
      </c>
    </row>
    <row r="52" spans="5:43" x14ac:dyDescent="0.25">
      <c r="E52" s="71" t="s">
        <v>181</v>
      </c>
    </row>
    <row r="53" spans="5:43" x14ac:dyDescent="0.25">
      <c r="F53" s="93" t="s">
        <v>182</v>
      </c>
      <c r="G53" s="90" t="s">
        <v>175</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183</v>
      </c>
      <c r="G54" t="s">
        <v>175</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184</v>
      </c>
      <c r="G55" t="s">
        <v>175</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185</v>
      </c>
      <c r="G56" s="91" t="s">
        <v>175</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186</v>
      </c>
    </row>
    <row r="59" spans="5:43" x14ac:dyDescent="0.25">
      <c r="E59" s="71" t="s">
        <v>187</v>
      </c>
    </row>
    <row r="60" spans="5:43" x14ac:dyDescent="0.25">
      <c r="F60" s="90" t="s">
        <v>188</v>
      </c>
      <c r="G60" s="90" t="s">
        <v>189</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190</v>
      </c>
      <c r="G61" t="s">
        <v>189</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191</v>
      </c>
      <c r="G62" t="s">
        <v>189</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192</v>
      </c>
      <c r="G63" t="s">
        <v>189</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193</v>
      </c>
      <c r="G64" t="s">
        <v>189</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194</v>
      </c>
      <c r="G65" t="s">
        <v>189</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195</v>
      </c>
      <c r="G66" t="s">
        <v>189</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196</v>
      </c>
      <c r="G67" t="s">
        <v>189</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197</v>
      </c>
      <c r="G68" t="s">
        <v>189</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198</v>
      </c>
      <c r="G69" s="91" t="s">
        <v>189</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199</v>
      </c>
      <c r="I71" t="s">
        <v>153</v>
      </c>
      <c r="AQ71" s="3" t="s">
        <v>200</v>
      </c>
    </row>
    <row r="72" spans="5:43" x14ac:dyDescent="0.25">
      <c r="E72" s="71" t="s">
        <v>201</v>
      </c>
    </row>
    <row r="73" spans="5:43" x14ac:dyDescent="0.25">
      <c r="E73" s="71"/>
      <c r="F73" s="90" t="s">
        <v>188</v>
      </c>
      <c r="G73" s="90" t="s">
        <v>189</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190</v>
      </c>
      <c r="G74" t="s">
        <v>189</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191</v>
      </c>
      <c r="G75" t="s">
        <v>189</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192</v>
      </c>
      <c r="G76" t="s">
        <v>189</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193</v>
      </c>
      <c r="G77" t="s">
        <v>189</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194</v>
      </c>
      <c r="G78" t="s">
        <v>189</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195</v>
      </c>
      <c r="G79" t="s">
        <v>189</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196</v>
      </c>
      <c r="G80" t="s">
        <v>189</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197</v>
      </c>
      <c r="G81" t="s">
        <v>189</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198</v>
      </c>
      <c r="G82" s="91" t="s">
        <v>189</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119</v>
      </c>
      <c r="F86" s="60"/>
      <c r="I86" t="s">
        <v>153</v>
      </c>
      <c r="AQ86" t="s">
        <v>202</v>
      </c>
    </row>
    <row r="87" spans="3:43" x14ac:dyDescent="0.25">
      <c r="E87" s="71" t="s">
        <v>857</v>
      </c>
      <c r="F87" s="71"/>
    </row>
    <row r="88" spans="3:43" x14ac:dyDescent="0.25">
      <c r="E88" s="71"/>
      <c r="F88" s="90" t="s">
        <v>188</v>
      </c>
      <c r="G88" s="90" t="s">
        <v>166</v>
      </c>
      <c r="H88" s="90"/>
      <c r="I88" s="90"/>
      <c r="J88" s="94"/>
      <c r="K88" s="94"/>
      <c r="L88" s="94"/>
      <c r="M88" s="94"/>
      <c r="N88" s="94"/>
      <c r="O88" s="94"/>
      <c r="P88" s="94"/>
      <c r="Q88" s="94"/>
      <c r="R88" s="94"/>
      <c r="S88" s="94"/>
      <c r="T88" s="94"/>
      <c r="U88" s="94"/>
      <c r="V88" s="94"/>
      <c r="W88" s="94"/>
      <c r="X88" s="94"/>
      <c r="Y88" s="94"/>
    </row>
    <row r="89" spans="3:43" x14ac:dyDescent="0.25">
      <c r="E89" s="71"/>
      <c r="F89" t="s">
        <v>190</v>
      </c>
      <c r="G89" t="s">
        <v>166</v>
      </c>
      <c r="J89" s="95"/>
      <c r="K89" s="95"/>
      <c r="L89" s="95"/>
      <c r="M89" s="95"/>
      <c r="N89" s="95"/>
      <c r="O89" s="95"/>
      <c r="P89" s="95"/>
      <c r="Q89" s="95"/>
      <c r="R89" s="95"/>
      <c r="S89" s="95"/>
      <c r="T89" s="95"/>
      <c r="U89" s="95"/>
      <c r="V89" s="95"/>
      <c r="W89" s="95"/>
      <c r="X89" s="95"/>
      <c r="Y89" s="95"/>
    </row>
    <row r="90" spans="3:43" x14ac:dyDescent="0.25">
      <c r="E90" s="71"/>
      <c r="F90" t="s">
        <v>191</v>
      </c>
      <c r="G90" t="s">
        <v>166</v>
      </c>
      <c r="J90" s="98"/>
      <c r="K90" s="98"/>
      <c r="L90" s="98"/>
      <c r="M90" s="98"/>
      <c r="N90" s="98"/>
      <c r="O90" s="98"/>
      <c r="P90" s="98"/>
      <c r="Q90" s="98"/>
      <c r="R90" s="95"/>
      <c r="S90" s="95"/>
      <c r="T90" s="95"/>
      <c r="U90" s="95"/>
      <c r="V90" s="95"/>
      <c r="W90" s="95"/>
      <c r="X90" s="95"/>
      <c r="Y90" s="95"/>
    </row>
    <row r="91" spans="3:43" x14ac:dyDescent="0.25">
      <c r="E91" s="71"/>
      <c r="F91" t="s">
        <v>192</v>
      </c>
      <c r="G91" t="s">
        <v>166</v>
      </c>
      <c r="J91" s="98"/>
      <c r="K91" s="98"/>
      <c r="L91" s="98"/>
      <c r="M91" s="98"/>
      <c r="N91" s="98"/>
      <c r="O91" s="98"/>
      <c r="P91" s="98"/>
      <c r="Q91" s="98"/>
      <c r="R91" s="95"/>
      <c r="S91" s="95"/>
      <c r="T91" s="95"/>
      <c r="U91" s="95"/>
      <c r="V91" s="95"/>
      <c r="W91" s="95"/>
      <c r="X91" s="95"/>
      <c r="Y91" s="95"/>
    </row>
    <row r="92" spans="3:43" x14ac:dyDescent="0.25">
      <c r="E92" s="71"/>
      <c r="F92" t="s">
        <v>193</v>
      </c>
      <c r="G92" t="s">
        <v>166</v>
      </c>
      <c r="J92" s="98"/>
      <c r="K92" s="98"/>
      <c r="L92" s="98"/>
      <c r="M92" s="98"/>
      <c r="N92" s="98"/>
      <c r="O92" s="98"/>
      <c r="P92" s="10">
        <v>0.2</v>
      </c>
      <c r="Q92" s="98"/>
      <c r="R92" s="95"/>
      <c r="S92" s="95"/>
      <c r="T92" s="95"/>
      <c r="U92" s="95"/>
      <c r="V92" s="95"/>
      <c r="W92" s="95"/>
      <c r="X92" s="95"/>
      <c r="Y92" s="95"/>
    </row>
    <row r="93" spans="3:43" x14ac:dyDescent="0.25">
      <c r="E93" s="71"/>
      <c r="F93" t="s">
        <v>194</v>
      </c>
      <c r="G93" t="s">
        <v>166</v>
      </c>
      <c r="J93" s="98"/>
      <c r="K93" s="98"/>
      <c r="L93" s="98"/>
      <c r="M93" s="98"/>
      <c r="N93" s="98"/>
      <c r="O93" s="98"/>
      <c r="P93" s="10">
        <v>1</v>
      </c>
      <c r="Q93" s="98"/>
      <c r="R93" s="95"/>
      <c r="S93" s="95"/>
      <c r="T93" s="95"/>
      <c r="U93" s="95"/>
      <c r="V93" s="95"/>
      <c r="W93" s="95"/>
      <c r="X93" s="95"/>
      <c r="Y93" s="95"/>
    </row>
    <row r="94" spans="3:43" x14ac:dyDescent="0.25">
      <c r="E94" s="71"/>
      <c r="F94" t="s">
        <v>195</v>
      </c>
      <c r="G94" t="s">
        <v>166</v>
      </c>
      <c r="J94" s="98"/>
      <c r="K94" s="98"/>
      <c r="L94" s="98"/>
      <c r="M94" s="98"/>
      <c r="N94" s="98"/>
      <c r="O94" s="98"/>
      <c r="P94" s="98"/>
      <c r="Q94" s="98"/>
      <c r="R94" s="95"/>
      <c r="S94" s="95"/>
      <c r="T94" s="95"/>
      <c r="U94" s="95"/>
      <c r="V94" s="95"/>
      <c r="W94" s="95"/>
      <c r="X94" s="95"/>
      <c r="Y94" s="95"/>
    </row>
    <row r="95" spans="3:43" x14ac:dyDescent="0.25">
      <c r="E95" s="71"/>
      <c r="F95" t="s">
        <v>196</v>
      </c>
      <c r="G95" t="s">
        <v>166</v>
      </c>
      <c r="J95" s="98"/>
      <c r="K95" s="98"/>
      <c r="L95" s="98"/>
      <c r="M95" s="98"/>
      <c r="N95" s="10">
        <v>0.2</v>
      </c>
      <c r="O95" s="10">
        <v>1</v>
      </c>
      <c r="P95" s="10">
        <v>1</v>
      </c>
      <c r="Q95" s="98"/>
      <c r="R95" s="95"/>
      <c r="S95" s="95"/>
      <c r="T95" s="95"/>
      <c r="U95" s="95"/>
      <c r="V95" s="95"/>
      <c r="W95" s="95"/>
      <c r="X95" s="95"/>
      <c r="Y95" s="95"/>
    </row>
    <row r="96" spans="3:43" x14ac:dyDescent="0.25">
      <c r="E96" s="71"/>
      <c r="F96" t="s">
        <v>197</v>
      </c>
      <c r="G96" t="s">
        <v>166</v>
      </c>
      <c r="J96" s="98"/>
      <c r="K96" s="98"/>
      <c r="L96" s="98"/>
      <c r="M96" s="98"/>
      <c r="N96" s="10">
        <v>1</v>
      </c>
      <c r="O96" s="10">
        <v>1</v>
      </c>
      <c r="P96" s="98"/>
      <c r="Q96" s="98"/>
      <c r="R96" s="95"/>
      <c r="S96" s="95"/>
      <c r="T96" s="95"/>
      <c r="U96" s="95"/>
      <c r="V96" s="95"/>
      <c r="W96" s="95"/>
      <c r="X96" s="95"/>
      <c r="Y96" s="95"/>
    </row>
    <row r="97" spans="3:43" x14ac:dyDescent="0.25">
      <c r="E97" s="71"/>
      <c r="F97" s="91" t="s">
        <v>198</v>
      </c>
      <c r="G97" s="91" t="s">
        <v>166</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203</v>
      </c>
      <c r="E101" s="60"/>
    </row>
    <row r="102" spans="3:43" x14ac:dyDescent="0.25">
      <c r="D102" s="71" t="s">
        <v>204</v>
      </c>
      <c r="E102" s="71"/>
    </row>
    <row r="103" spans="3:43" x14ac:dyDescent="0.25">
      <c r="D103" s="71" t="s">
        <v>205</v>
      </c>
      <c r="E103" s="71"/>
    </row>
    <row r="104" spans="3:43" x14ac:dyDescent="0.25">
      <c r="D104" s="71"/>
      <c r="E104" s="60" t="s">
        <v>206</v>
      </c>
    </row>
    <row r="105" spans="3:43" x14ac:dyDescent="0.25">
      <c r="D105" s="71"/>
      <c r="F105" s="89" t="s">
        <v>207</v>
      </c>
      <c r="G105" t="s">
        <v>208</v>
      </c>
      <c r="I105" t="s">
        <v>153</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209</v>
      </c>
    </row>
    <row r="106" spans="3:43" x14ac:dyDescent="0.25">
      <c r="D106" s="71"/>
      <c r="E106" s="89"/>
      <c r="F106" s="89" t="s">
        <v>210</v>
      </c>
      <c r="G106" t="s">
        <v>166</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211</v>
      </c>
      <c r="F108" s="89"/>
      <c r="J108" s="47"/>
      <c r="K108" s="47"/>
      <c r="L108" s="47"/>
      <c r="M108" s="47"/>
      <c r="N108" s="47"/>
      <c r="O108" s="47"/>
      <c r="P108" s="47"/>
      <c r="Q108" s="47"/>
      <c r="R108" s="47"/>
      <c r="S108" s="47"/>
      <c r="T108" s="47"/>
      <c r="U108" s="47"/>
      <c r="V108" s="47"/>
      <c r="W108" s="47"/>
      <c r="X108" s="47"/>
      <c r="Y108" s="47"/>
    </row>
    <row r="109" spans="3:43" x14ac:dyDescent="0.25">
      <c r="D109" s="71"/>
      <c r="F109" s="89" t="s">
        <v>207</v>
      </c>
      <c r="G109" t="s">
        <v>208</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210</v>
      </c>
      <c r="G110" t="s">
        <v>166</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212</v>
      </c>
      <c r="F112" s="89"/>
      <c r="J112" s="47"/>
      <c r="K112" s="47"/>
      <c r="L112" s="47"/>
      <c r="M112" s="47"/>
      <c r="N112" s="47"/>
      <c r="O112" s="47"/>
      <c r="P112" s="47"/>
      <c r="Q112" s="47"/>
      <c r="R112" s="47"/>
      <c r="S112" s="47"/>
      <c r="T112" s="47"/>
      <c r="U112" s="47"/>
      <c r="V112" s="47"/>
      <c r="W112" s="47"/>
      <c r="X112" s="47"/>
      <c r="Y112" s="47"/>
    </row>
    <row r="113" spans="4:25" x14ac:dyDescent="0.25">
      <c r="D113" s="71"/>
      <c r="F113" s="89" t="s">
        <v>207</v>
      </c>
      <c r="G113" t="s">
        <v>208</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210</v>
      </c>
      <c r="G114" t="s">
        <v>166</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213</v>
      </c>
      <c r="F116" s="89"/>
      <c r="J116" s="47"/>
      <c r="K116" s="47"/>
      <c r="L116" s="47"/>
      <c r="M116" s="47"/>
      <c r="N116" s="47"/>
      <c r="O116" s="47"/>
      <c r="P116" s="47"/>
      <c r="Q116" s="47"/>
      <c r="R116" s="47"/>
      <c r="S116" s="47"/>
      <c r="T116" s="47"/>
      <c r="U116" s="47"/>
      <c r="V116" s="47"/>
      <c r="W116" s="47"/>
      <c r="X116" s="47"/>
      <c r="Y116" s="47"/>
    </row>
    <row r="117" spans="4:25" x14ac:dyDescent="0.25">
      <c r="D117" s="71"/>
      <c r="F117" s="89" t="s">
        <v>207</v>
      </c>
      <c r="G117" t="s">
        <v>208</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210</v>
      </c>
      <c r="G118" t="s">
        <v>166</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214</v>
      </c>
      <c r="F120" s="89"/>
      <c r="J120" s="47"/>
      <c r="K120" s="47"/>
      <c r="L120" s="47"/>
      <c r="M120" s="47"/>
      <c r="N120" s="47"/>
      <c r="O120" s="47"/>
      <c r="P120" s="47"/>
      <c r="Q120" s="47"/>
      <c r="R120" s="47"/>
      <c r="S120" s="47"/>
      <c r="T120" s="47"/>
      <c r="U120" s="47"/>
      <c r="V120" s="47"/>
      <c r="W120" s="47"/>
      <c r="X120" s="47"/>
      <c r="Y120" s="47"/>
    </row>
    <row r="121" spans="4:25" x14ac:dyDescent="0.25">
      <c r="D121" s="71"/>
      <c r="F121" s="89" t="s">
        <v>207</v>
      </c>
      <c r="G121" t="s">
        <v>208</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210</v>
      </c>
      <c r="G122" t="s">
        <v>166</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215</v>
      </c>
      <c r="J124" s="47"/>
      <c r="K124" s="47"/>
      <c r="L124" s="47"/>
      <c r="M124" s="47"/>
      <c r="N124" s="47"/>
      <c r="O124" s="47"/>
      <c r="P124" s="47"/>
      <c r="Q124" s="47"/>
      <c r="R124" s="47"/>
      <c r="S124" s="47"/>
      <c r="T124" s="47"/>
      <c r="U124" s="47"/>
      <c r="V124" s="47"/>
      <c r="W124" s="47"/>
      <c r="X124" s="47"/>
      <c r="Y124" s="47"/>
    </row>
    <row r="125" spans="4:25" x14ac:dyDescent="0.25">
      <c r="E125" s="71" t="s">
        <v>216</v>
      </c>
      <c r="J125" s="47"/>
      <c r="K125" s="47"/>
      <c r="L125" s="47"/>
      <c r="M125" s="47"/>
      <c r="N125" s="47"/>
      <c r="O125" s="47"/>
      <c r="P125" s="47"/>
      <c r="Q125" s="47"/>
      <c r="R125" s="47"/>
      <c r="S125" s="47"/>
      <c r="T125" s="47"/>
      <c r="U125" s="47"/>
      <c r="V125" s="47"/>
      <c r="W125" s="47"/>
      <c r="X125" s="47"/>
      <c r="Y125" s="47"/>
    </row>
    <row r="126" spans="4:25" x14ac:dyDescent="0.25">
      <c r="E126" s="71" t="s">
        <v>217</v>
      </c>
      <c r="J126" s="47"/>
      <c r="K126" s="47"/>
      <c r="L126" s="47"/>
      <c r="M126" s="47"/>
      <c r="N126" s="47"/>
      <c r="O126" s="47"/>
      <c r="P126" s="47"/>
      <c r="Q126" s="47"/>
      <c r="R126" s="47"/>
      <c r="S126" s="47"/>
      <c r="T126" s="47"/>
      <c r="U126" s="47"/>
      <c r="V126" s="47"/>
      <c r="W126" s="47"/>
      <c r="X126" s="47"/>
      <c r="Y126" s="47"/>
    </row>
    <row r="127" spans="4:25" x14ac:dyDescent="0.25">
      <c r="E127" s="71"/>
      <c r="F127" t="s">
        <v>215</v>
      </c>
      <c r="G127" t="s">
        <v>208</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218</v>
      </c>
      <c r="J129" s="47"/>
      <c r="K129" s="47"/>
      <c r="L129" s="47"/>
      <c r="M129" s="47"/>
      <c r="N129" s="47"/>
      <c r="O129" s="47"/>
      <c r="P129" s="47"/>
      <c r="Q129" s="47"/>
      <c r="R129" s="47"/>
      <c r="S129" s="47"/>
      <c r="T129" s="47"/>
      <c r="U129" s="47"/>
      <c r="V129" s="47"/>
      <c r="W129" s="47"/>
      <c r="X129" s="47"/>
      <c r="Y129" s="47"/>
    </row>
    <row r="130" spans="3:43" x14ac:dyDescent="0.25">
      <c r="E130" s="71" t="s">
        <v>219</v>
      </c>
      <c r="J130" s="47"/>
      <c r="K130" s="47"/>
      <c r="L130" s="47"/>
      <c r="M130" s="47"/>
      <c r="N130" s="47"/>
      <c r="O130" s="47"/>
      <c r="P130" s="47"/>
      <c r="Q130" s="47"/>
      <c r="R130" s="47"/>
      <c r="S130" s="47"/>
      <c r="T130" s="47"/>
      <c r="U130" s="47"/>
      <c r="V130" s="47"/>
      <c r="W130" s="47"/>
      <c r="X130" s="47"/>
      <c r="Y130" s="47"/>
    </row>
    <row r="131" spans="3:43" x14ac:dyDescent="0.25">
      <c r="E131" s="71"/>
      <c r="F131" t="s">
        <v>220</v>
      </c>
      <c r="G131" t="s">
        <v>208</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221</v>
      </c>
      <c r="I133" t="s">
        <v>153</v>
      </c>
      <c r="J133" s="47"/>
      <c r="K133" s="47"/>
      <c r="L133" s="47"/>
      <c r="M133" s="47"/>
      <c r="N133" s="47"/>
      <c r="O133" s="47"/>
      <c r="P133" s="47"/>
      <c r="Q133" s="47"/>
      <c r="R133" s="47"/>
      <c r="S133" s="47"/>
      <c r="T133" s="47"/>
      <c r="U133" s="47"/>
      <c r="V133" s="47"/>
      <c r="W133" s="47"/>
      <c r="X133" s="47"/>
      <c r="Y133" s="47"/>
      <c r="AQ133" t="s">
        <v>222</v>
      </c>
    </row>
    <row r="134" spans="3:43" x14ac:dyDescent="0.25">
      <c r="E134" s="71" t="s">
        <v>223</v>
      </c>
      <c r="J134" s="47"/>
      <c r="K134" s="47"/>
      <c r="L134" s="47"/>
      <c r="M134" s="47"/>
      <c r="N134" s="47"/>
      <c r="O134" s="47"/>
      <c r="P134" s="47"/>
      <c r="Q134" s="47"/>
      <c r="R134" s="47"/>
      <c r="S134" s="47"/>
      <c r="T134" s="47"/>
      <c r="U134" s="47"/>
      <c r="V134" s="47"/>
      <c r="W134" s="47"/>
      <c r="X134" s="47"/>
      <c r="Y134" s="47"/>
    </row>
    <row r="135" spans="3:43" x14ac:dyDescent="0.25">
      <c r="E135" s="71" t="s">
        <v>224</v>
      </c>
      <c r="J135" s="47"/>
      <c r="K135" s="47"/>
      <c r="L135" s="47"/>
      <c r="M135" s="47"/>
      <c r="N135" s="47"/>
      <c r="O135" s="47"/>
      <c r="P135" s="47"/>
      <c r="Q135" s="47"/>
      <c r="R135" s="47"/>
      <c r="S135" s="47"/>
      <c r="T135" s="47"/>
      <c r="U135" s="47"/>
      <c r="V135" s="47"/>
      <c r="W135" s="47"/>
      <c r="X135" s="47"/>
      <c r="Y135" s="47"/>
    </row>
    <row r="136" spans="3:43" x14ac:dyDescent="0.25">
      <c r="E136" s="71"/>
      <c r="F136" t="s">
        <v>159</v>
      </c>
      <c r="G136" t="s">
        <v>175</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160</v>
      </c>
      <c r="G137" t="s">
        <v>175</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225</v>
      </c>
      <c r="G138" t="s">
        <v>175</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226</v>
      </c>
      <c r="G139" t="s">
        <v>175</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227</v>
      </c>
      <c r="F143" s="60"/>
    </row>
    <row r="144" spans="3:43" x14ac:dyDescent="0.25">
      <c r="E144" s="71" t="s">
        <v>228</v>
      </c>
      <c r="F144" s="71"/>
      <c r="I144" t="s">
        <v>153</v>
      </c>
      <c r="AQ144" t="s">
        <v>894</v>
      </c>
    </row>
    <row r="145" spans="3:44" x14ac:dyDescent="0.25">
      <c r="E145" s="71"/>
      <c r="F145" s="89" t="s">
        <v>227</v>
      </c>
      <c r="G145" t="s">
        <v>148</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840</v>
      </c>
      <c r="F147" s="60"/>
      <c r="I147" t="s">
        <v>153</v>
      </c>
      <c r="AQ147" t="s">
        <v>853</v>
      </c>
    </row>
    <row r="148" spans="3:44" x14ac:dyDescent="0.25">
      <c r="E148" s="71" t="s">
        <v>841</v>
      </c>
      <c r="F148" s="71"/>
    </row>
    <row r="149" spans="3:44" x14ac:dyDescent="0.25">
      <c r="E149" s="71"/>
      <c r="F149" s="89" t="s">
        <v>842</v>
      </c>
      <c r="G149" t="s">
        <v>148</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229</v>
      </c>
      <c r="G153" t="s">
        <v>148</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866</v>
      </c>
      <c r="I157" t="s">
        <v>153</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1151</v>
      </c>
      <c r="AR157" s="101"/>
    </row>
    <row r="158" spans="3:44" x14ac:dyDescent="0.25">
      <c r="C158" s="100"/>
      <c r="D158" s="2"/>
      <c r="F158" s="90" t="s">
        <v>867</v>
      </c>
      <c r="G158" s="90" t="s">
        <v>175</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868</v>
      </c>
      <c r="G159" t="s">
        <v>175</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1141</v>
      </c>
      <c r="G160" s="91" t="s">
        <v>175</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997</v>
      </c>
      <c r="J164" s="102" t="s">
        <v>1160</v>
      </c>
      <c r="K164" s="102" t="s">
        <v>825</v>
      </c>
      <c r="L164" s="102" t="s">
        <v>1161</v>
      </c>
      <c r="M164" s="102" t="s">
        <v>1162</v>
      </c>
      <c r="N164" s="102" t="s">
        <v>1163</v>
      </c>
      <c r="O164" s="102" t="s">
        <v>1164</v>
      </c>
      <c r="P164" s="102" t="s">
        <v>1165</v>
      </c>
      <c r="Q164" s="102" t="s">
        <v>826</v>
      </c>
      <c r="R164" s="102" t="s">
        <v>904</v>
      </c>
      <c r="S164" s="102" t="s">
        <v>905</v>
      </c>
      <c r="T164" s="102" t="s">
        <v>906</v>
      </c>
      <c r="U164" s="102" t="s">
        <v>907</v>
      </c>
      <c r="V164" s="102" t="s">
        <v>908</v>
      </c>
      <c r="W164" s="102" t="s">
        <v>909</v>
      </c>
      <c r="X164" s="102" t="s">
        <v>910</v>
      </c>
      <c r="Y164" s="102" t="s">
        <v>911</v>
      </c>
      <c r="Z164" s="102" t="s">
        <v>912</v>
      </c>
      <c r="AA164" s="102" t="s">
        <v>913</v>
      </c>
      <c r="AB164" s="102" t="s">
        <v>914</v>
      </c>
      <c r="AC164" s="102" t="s">
        <v>915</v>
      </c>
      <c r="AD164" s="102" t="s">
        <v>916</v>
      </c>
      <c r="AE164" s="102" t="s">
        <v>917</v>
      </c>
      <c r="AF164" s="102" t="s">
        <v>918</v>
      </c>
      <c r="AG164" s="102" t="s">
        <v>835</v>
      </c>
      <c r="AH164" s="102" t="s">
        <v>827</v>
      </c>
      <c r="AI164" s="102" t="s">
        <v>828</v>
      </c>
      <c r="AJ164" s="102" t="s">
        <v>829</v>
      </c>
      <c r="AK164" s="102" t="s">
        <v>838</v>
      </c>
      <c r="AL164" s="102" t="s">
        <v>830</v>
      </c>
      <c r="AM164" s="102" t="s">
        <v>837</v>
      </c>
      <c r="AN164" s="102" t="s">
        <v>831</v>
      </c>
      <c r="AO164" s="102" t="s">
        <v>836</v>
      </c>
      <c r="AR164" s="101"/>
    </row>
    <row r="165" spans="3:44" x14ac:dyDescent="0.25">
      <c r="C165" s="100"/>
      <c r="D165" s="2"/>
      <c r="F165" s="90" t="s">
        <v>996</v>
      </c>
      <c r="G165" s="90" t="s">
        <v>903</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923</v>
      </c>
      <c r="G166" t="s">
        <v>903</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994</v>
      </c>
      <c r="G167" t="s">
        <v>903</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930</v>
      </c>
      <c r="G168" t="s">
        <v>148</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929</v>
      </c>
      <c r="G169" t="s">
        <v>148</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995</v>
      </c>
      <c r="G170" s="91" t="s">
        <v>148</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998</v>
      </c>
      <c r="G172" t="s">
        <v>148</v>
      </c>
      <c r="H172" s="430">
        <v>2</v>
      </c>
      <c r="AR172" s="101"/>
    </row>
    <row r="173" spans="3:44" x14ac:dyDescent="0.25">
      <c r="C173" s="100"/>
      <c r="D173" s="2"/>
      <c r="AR173" s="101"/>
    </row>
    <row r="174" spans="3:44" x14ac:dyDescent="0.25">
      <c r="C174" s="100"/>
      <c r="D174" s="2"/>
      <c r="E174" s="60" t="s">
        <v>991</v>
      </c>
      <c r="AR174" s="101"/>
    </row>
    <row r="175" spans="3:44" x14ac:dyDescent="0.25">
      <c r="C175" s="100"/>
      <c r="D175" s="2"/>
      <c r="E175" s="60"/>
      <c r="F175" s="71" t="s">
        <v>992</v>
      </c>
      <c r="AR175" s="101"/>
    </row>
    <row r="176" spans="3:44" ht="60" x14ac:dyDescent="0.25">
      <c r="C176" s="100"/>
      <c r="D176" s="2"/>
      <c r="E176" s="60"/>
      <c r="F176" s="34" t="s">
        <v>993</v>
      </c>
      <c r="J176" s="102" t="s">
        <v>1160</v>
      </c>
      <c r="K176" s="102" t="s">
        <v>825</v>
      </c>
      <c r="L176" s="102" t="s">
        <v>1161</v>
      </c>
      <c r="M176" s="102" t="s">
        <v>1162</v>
      </c>
      <c r="N176" s="102" t="s">
        <v>1163</v>
      </c>
      <c r="O176" s="102" t="s">
        <v>1164</v>
      </c>
      <c r="P176" s="102" t="s">
        <v>1165</v>
      </c>
      <c r="Q176" s="102" t="s">
        <v>826</v>
      </c>
      <c r="R176" s="102" t="s">
        <v>904</v>
      </c>
      <c r="S176" s="102" t="s">
        <v>905</v>
      </c>
      <c r="T176" s="102" t="s">
        <v>906</v>
      </c>
      <c r="U176" s="102" t="s">
        <v>907</v>
      </c>
      <c r="V176" s="102" t="s">
        <v>908</v>
      </c>
      <c r="W176" s="102" t="s">
        <v>909</v>
      </c>
      <c r="X176" s="102" t="s">
        <v>910</v>
      </c>
      <c r="Y176" s="102" t="s">
        <v>911</v>
      </c>
      <c r="Z176" s="102" t="s">
        <v>912</v>
      </c>
      <c r="AA176" s="102" t="s">
        <v>913</v>
      </c>
      <c r="AB176" s="102" t="s">
        <v>914</v>
      </c>
      <c r="AC176" s="102" t="s">
        <v>915</v>
      </c>
      <c r="AD176" s="102" t="s">
        <v>916</v>
      </c>
      <c r="AE176" s="102" t="s">
        <v>917</v>
      </c>
      <c r="AF176" s="102" t="s">
        <v>918</v>
      </c>
      <c r="AG176" s="102" t="s">
        <v>835</v>
      </c>
      <c r="AH176" s="102" t="s">
        <v>827</v>
      </c>
      <c r="AI176" s="102" t="s">
        <v>828</v>
      </c>
      <c r="AJ176" s="102" t="s">
        <v>829</v>
      </c>
      <c r="AK176" s="102" t="s">
        <v>838</v>
      </c>
      <c r="AL176" s="102" t="s">
        <v>830</v>
      </c>
      <c r="AM176" s="102" t="s">
        <v>837</v>
      </c>
      <c r="AN176" s="102" t="s">
        <v>831</v>
      </c>
      <c r="AO176" s="102" t="s">
        <v>836</v>
      </c>
      <c r="AR176" s="101"/>
    </row>
    <row r="177" spans="2:44" x14ac:dyDescent="0.25">
      <c r="C177" s="100"/>
      <c r="D177" s="2"/>
      <c r="F177" s="90" t="s">
        <v>983</v>
      </c>
      <c r="G177" s="90" t="s">
        <v>148</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984</v>
      </c>
      <c r="G178" t="s">
        <v>148</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985</v>
      </c>
      <c r="G179" t="s">
        <v>148</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986</v>
      </c>
      <c r="G180" t="s">
        <v>148</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987</v>
      </c>
      <c r="G181" t="s">
        <v>148</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988</v>
      </c>
      <c r="G182" t="s">
        <v>148</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989</v>
      </c>
      <c r="G183" t="s">
        <v>148</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990</v>
      </c>
      <c r="G184" s="91" t="s">
        <v>148</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230</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231</v>
      </c>
      <c r="G188" s="6" t="s">
        <v>54</v>
      </c>
      <c r="H188" s="104">
        <f t="array" ref="H188">SUM(IF(ISERROR(H15:Y146), 1))</f>
        <v>0</v>
      </c>
      <c r="I188" s="3"/>
    </row>
    <row r="189" spans="2:44" x14ac:dyDescent="0.25">
      <c r="I189" s="3"/>
    </row>
    <row r="190" spans="2:44" x14ac:dyDescent="0.25">
      <c r="E190" s="60" t="s">
        <v>232</v>
      </c>
      <c r="I190" s="3"/>
    </row>
    <row r="191" spans="2:44" x14ac:dyDescent="0.25">
      <c r="F191" s="90" t="s">
        <v>233</v>
      </c>
      <c r="G191" s="105" t="s">
        <v>54</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234</v>
      </c>
      <c r="G192" s="6" t="s">
        <v>54</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235</v>
      </c>
      <c r="G193" s="6" t="s">
        <v>54</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236</v>
      </c>
      <c r="G194" s="6" t="s">
        <v>54</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237</v>
      </c>
      <c r="G195" s="62" t="s">
        <v>54</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238</v>
      </c>
      <c r="G197" s="6" t="s">
        <v>54</v>
      </c>
      <c r="H197" s="108">
        <f>H188 + SUM(H191:H195)</f>
        <v>0</v>
      </c>
      <c r="I197" s="3"/>
    </row>
    <row r="198" spans="2:43" x14ac:dyDescent="0.25">
      <c r="I198" s="3"/>
    </row>
    <row r="199" spans="2:43" x14ac:dyDescent="0.25">
      <c r="B199" s="70" t="s">
        <v>105</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Header>&amp;L&amp;"Calibri"&amp;10&amp;KFF0000 Public&amp;1#_x000D_</oddHeader>
    <oddFooter>&amp;L_x000D_&amp;1#&amp;"Calibri"&amp;10&amp;KFF0000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5" sqref="J5"/>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109" t="s">
        <v>142</v>
      </c>
      <c r="H5" s="110" t="s">
        <v>143</v>
      </c>
      <c r="I5" s="47"/>
      <c r="J5" s="110" t="s">
        <v>1158</v>
      </c>
      <c r="K5" s="110" t="s">
        <v>825</v>
      </c>
      <c r="L5" s="110" t="s">
        <v>1159</v>
      </c>
      <c r="M5" s="110" t="s">
        <v>826</v>
      </c>
      <c r="N5" s="110" t="s">
        <v>832</v>
      </c>
      <c r="O5" s="110" t="s">
        <v>833</v>
      </c>
      <c r="P5" s="110" t="s">
        <v>834</v>
      </c>
      <c r="Q5" s="110" t="s">
        <v>835</v>
      </c>
      <c r="R5" s="110" t="s">
        <v>827</v>
      </c>
      <c r="S5" s="110" t="s">
        <v>828</v>
      </c>
      <c r="T5" s="110" t="s">
        <v>829</v>
      </c>
      <c r="U5" s="110" t="s">
        <v>838</v>
      </c>
      <c r="V5" s="110" t="s">
        <v>830</v>
      </c>
      <c r="W5" s="110" t="s">
        <v>837</v>
      </c>
      <c r="X5" s="110" t="s">
        <v>831</v>
      </c>
      <c r="Y5" s="110"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239</v>
      </c>
    </row>
    <row r="11" spans="1:43" x14ac:dyDescent="0.25">
      <c r="B11" s="70" t="s">
        <v>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240</v>
      </c>
      <c r="G15" s="46" t="s">
        <v>166</v>
      </c>
      <c r="I15" t="s">
        <v>153</v>
      </c>
      <c r="J15" s="434">
        <v>0.44180020285437083</v>
      </c>
      <c r="K15" s="434">
        <v>0.24867302833153104</v>
      </c>
      <c r="L15" s="434">
        <v>0.43243566659353516</v>
      </c>
      <c r="M15" s="434">
        <v>0.33384136002534986</v>
      </c>
      <c r="N15" s="434">
        <v>0.51508595276019253</v>
      </c>
      <c r="O15" s="434">
        <v>0.56960100717297635</v>
      </c>
      <c r="P15" s="434">
        <v>0.71494018227343137</v>
      </c>
      <c r="Q15" s="434">
        <v>0.50202494227628447</v>
      </c>
      <c r="R15" s="98"/>
      <c r="S15" s="98"/>
      <c r="T15" s="98"/>
      <c r="U15" s="98"/>
      <c r="V15" s="98"/>
      <c r="W15" s="98"/>
      <c r="X15" s="98"/>
      <c r="Y15" s="98"/>
      <c r="AQ15" t="s">
        <v>241</v>
      </c>
    </row>
    <row r="16" spans="1:43" x14ac:dyDescent="0.25">
      <c r="E16" s="89" t="s">
        <v>242</v>
      </c>
      <c r="G16" s="46" t="s">
        <v>166</v>
      </c>
      <c r="I16" t="s">
        <v>153</v>
      </c>
      <c r="J16" s="434">
        <v>0.82102624852029582</v>
      </c>
      <c r="K16" s="98"/>
      <c r="L16" s="434">
        <v>0.78668947772858921</v>
      </c>
      <c r="M16" s="98"/>
      <c r="N16" s="434">
        <v>0.79167979726490179</v>
      </c>
      <c r="O16" s="434">
        <v>0.79256163631083032</v>
      </c>
      <c r="P16" s="434">
        <v>0.84626631056599422</v>
      </c>
      <c r="Q16" s="434">
        <v>0.92981400090687938</v>
      </c>
      <c r="R16" s="98"/>
      <c r="S16" s="98"/>
      <c r="T16" s="98"/>
      <c r="U16" s="98"/>
      <c r="V16" s="98"/>
      <c r="W16" s="98"/>
      <c r="X16" s="98"/>
      <c r="Y16" s="98"/>
      <c r="AQ16" t="s">
        <v>243</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946</v>
      </c>
      <c r="G20" s="46"/>
      <c r="I20" t="s">
        <v>153</v>
      </c>
      <c r="AQ20" t="s">
        <v>245</v>
      </c>
    </row>
    <row r="21" spans="3:43" x14ac:dyDescent="0.25">
      <c r="G21" s="46"/>
    </row>
    <row r="22" spans="3:43" x14ac:dyDescent="0.25">
      <c r="E22" s="60" t="s">
        <v>900</v>
      </c>
      <c r="G22" s="46"/>
    </row>
    <row r="23" spans="3:43" x14ac:dyDescent="0.25">
      <c r="E23" s="60"/>
      <c r="F23" s="111" t="s">
        <v>246</v>
      </c>
      <c r="G23" s="111" t="s">
        <v>206</v>
      </c>
      <c r="H23" s="90"/>
      <c r="I23" s="90"/>
      <c r="J23" s="112"/>
      <c r="K23" s="435">
        <v>267.59944132442337</v>
      </c>
      <c r="L23" s="435">
        <v>23.8864359599051</v>
      </c>
      <c r="M23" s="435">
        <v>522.25619825826141</v>
      </c>
      <c r="N23" s="435">
        <v>3.2128723712107869</v>
      </c>
      <c r="O23" s="435">
        <v>8.8172625295477786E-2</v>
      </c>
      <c r="P23" s="435">
        <v>541.96235961505158</v>
      </c>
      <c r="Q23" s="112"/>
      <c r="R23" s="435">
        <v>19571.925278374503</v>
      </c>
      <c r="S23" s="435">
        <v>0</v>
      </c>
      <c r="T23" s="435">
        <v>5902.4038</v>
      </c>
      <c r="U23" s="435">
        <v>0</v>
      </c>
      <c r="V23" s="435">
        <v>1013.0288999999998</v>
      </c>
      <c r="W23" s="435">
        <v>0</v>
      </c>
      <c r="X23" s="435">
        <v>115980.32519999999</v>
      </c>
      <c r="Y23" s="435">
        <v>0</v>
      </c>
    </row>
    <row r="24" spans="3:43" x14ac:dyDescent="0.25">
      <c r="E24" s="60"/>
      <c r="F24" s="113" t="s">
        <v>247</v>
      </c>
      <c r="G24" s="113" t="s">
        <v>206</v>
      </c>
      <c r="J24" s="114"/>
      <c r="K24" s="436">
        <v>3009.1632577465161</v>
      </c>
      <c r="L24" s="436">
        <v>84.429234480720567</v>
      </c>
      <c r="M24" s="436">
        <v>2991.7411850243693</v>
      </c>
      <c r="N24" s="436">
        <v>11.018313324190808</v>
      </c>
      <c r="O24" s="436">
        <v>0.44361509342263367</v>
      </c>
      <c r="P24" s="436">
        <v>1787.6325942714436</v>
      </c>
      <c r="Q24" s="114"/>
      <c r="R24" s="437">
        <v>95791.600508721793</v>
      </c>
      <c r="S24" s="437">
        <v>0</v>
      </c>
      <c r="T24" s="436">
        <v>23799.629700000005</v>
      </c>
      <c r="U24" s="436">
        <v>0</v>
      </c>
      <c r="V24" s="436">
        <v>3224.2487000000001</v>
      </c>
      <c r="W24" s="436">
        <v>0</v>
      </c>
      <c r="X24" s="436">
        <v>309200.76439999999</v>
      </c>
      <c r="Y24" s="436">
        <v>0</v>
      </c>
    </row>
    <row r="25" spans="3:43" x14ac:dyDescent="0.25">
      <c r="E25" s="60"/>
      <c r="F25" s="113" t="s">
        <v>248</v>
      </c>
      <c r="G25" s="113" t="s">
        <v>206</v>
      </c>
      <c r="J25" s="114"/>
      <c r="K25" s="436">
        <v>7951.9525613351861</v>
      </c>
      <c r="L25" s="436">
        <v>84.08467623411623</v>
      </c>
      <c r="M25" s="436">
        <v>8895.6207003617601</v>
      </c>
      <c r="N25" s="436">
        <v>19.264918608979336</v>
      </c>
      <c r="O25" s="436">
        <v>0.50314829432551389</v>
      </c>
      <c r="P25" s="436">
        <v>3484.4255497876861</v>
      </c>
      <c r="Q25" s="114"/>
      <c r="R25" s="437">
        <v>54622.312445790958</v>
      </c>
      <c r="S25" s="437">
        <v>0</v>
      </c>
      <c r="T25" s="436">
        <v>25980.259299999998</v>
      </c>
      <c r="U25" s="436">
        <v>0</v>
      </c>
      <c r="V25" s="436">
        <v>5456.4781000000003</v>
      </c>
      <c r="W25" s="436">
        <v>0</v>
      </c>
      <c r="X25" s="436">
        <v>381710.65130000003</v>
      </c>
      <c r="Y25" s="436">
        <v>0</v>
      </c>
    </row>
    <row r="26" spans="3:43" x14ac:dyDescent="0.25">
      <c r="E26" s="60"/>
      <c r="F26" s="113" t="s">
        <v>211</v>
      </c>
      <c r="G26" s="113" t="s">
        <v>211</v>
      </c>
      <c r="J26" s="114"/>
      <c r="K26" s="436">
        <v>4043.2318793394506</v>
      </c>
      <c r="L26" s="436">
        <v>21.99813867057907</v>
      </c>
      <c r="M26" s="436">
        <v>1571.1666666666665</v>
      </c>
      <c r="N26" s="436">
        <v>8.1262089826560899</v>
      </c>
      <c r="O26" s="436">
        <v>1.1072850062440645</v>
      </c>
      <c r="P26" s="436">
        <v>75.007576408708928</v>
      </c>
      <c r="Q26" s="114"/>
      <c r="R26" s="436">
        <v>32972.366465964653</v>
      </c>
      <c r="S26" s="436">
        <v>0</v>
      </c>
      <c r="T26" s="436">
        <v>717</v>
      </c>
      <c r="U26" s="436">
        <v>0</v>
      </c>
      <c r="V26" s="436">
        <v>36</v>
      </c>
      <c r="W26" s="436">
        <v>0</v>
      </c>
      <c r="X26" s="436">
        <v>286</v>
      </c>
      <c r="Y26" s="436">
        <v>0</v>
      </c>
    </row>
    <row r="27" spans="3:43" x14ac:dyDescent="0.25">
      <c r="E27" s="60"/>
      <c r="F27" s="113" t="s">
        <v>249</v>
      </c>
      <c r="G27" s="113" t="s">
        <v>250</v>
      </c>
      <c r="J27" s="114"/>
      <c r="K27" s="114"/>
      <c r="L27" s="114"/>
      <c r="M27" s="114"/>
      <c r="N27" s="436">
        <v>235</v>
      </c>
      <c r="O27" s="436">
        <v>30</v>
      </c>
      <c r="P27" s="436">
        <v>10815</v>
      </c>
      <c r="Q27" s="114"/>
      <c r="R27" s="114"/>
      <c r="S27" s="114"/>
      <c r="T27" s="114"/>
      <c r="U27" s="114"/>
      <c r="V27" s="114"/>
      <c r="W27" s="114"/>
      <c r="X27" s="114"/>
      <c r="Y27" s="114"/>
    </row>
    <row r="28" spans="3:43" x14ac:dyDescent="0.25">
      <c r="E28" s="60"/>
      <c r="F28" s="113" t="s">
        <v>251</v>
      </c>
      <c r="G28" s="113" t="s">
        <v>250</v>
      </c>
      <c r="J28" s="114"/>
      <c r="K28" s="114"/>
      <c r="L28" s="114"/>
      <c r="M28" s="114"/>
      <c r="N28" s="436">
        <v>1.2328767123287672</v>
      </c>
      <c r="O28" s="436">
        <v>0</v>
      </c>
      <c r="P28" s="436">
        <v>1069.3095890410959</v>
      </c>
      <c r="Q28" s="114"/>
      <c r="R28" s="114"/>
      <c r="S28" s="114"/>
      <c r="T28" s="114"/>
      <c r="U28" s="114"/>
      <c r="V28" s="114"/>
      <c r="W28" s="114"/>
      <c r="X28" s="114"/>
      <c r="Y28" s="114"/>
    </row>
    <row r="29" spans="3:43" x14ac:dyDescent="0.25">
      <c r="E29" s="60"/>
      <c r="F29" s="115" t="s">
        <v>252</v>
      </c>
      <c r="G29" s="115" t="s">
        <v>253</v>
      </c>
      <c r="H29" s="91"/>
      <c r="I29" s="91"/>
      <c r="J29" s="116"/>
      <c r="K29" s="116"/>
      <c r="L29" s="116"/>
      <c r="M29" s="116"/>
      <c r="N29" s="438">
        <v>11.863</v>
      </c>
      <c r="O29" s="438">
        <v>7.0000000000000007E-2</v>
      </c>
      <c r="P29" s="438">
        <v>3977.5509999999999</v>
      </c>
      <c r="Q29" s="116"/>
      <c r="R29" s="116"/>
      <c r="S29" s="116"/>
      <c r="T29" s="438">
        <v>6266.0650000000005</v>
      </c>
      <c r="U29" s="116"/>
      <c r="V29" s="438">
        <v>448.65200000000004</v>
      </c>
      <c r="W29" s="116"/>
      <c r="X29" s="438">
        <v>31743.218000000001</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934</v>
      </c>
      <c r="G31" s="46"/>
    </row>
    <row r="32" spans="3:43" x14ac:dyDescent="0.25">
      <c r="E32" s="60"/>
      <c r="F32" s="111" t="s">
        <v>246</v>
      </c>
      <c r="G32" s="111" t="s">
        <v>206</v>
      </c>
      <c r="H32" s="90"/>
      <c r="I32" s="90"/>
      <c r="J32" s="435">
        <v>891975.83915223007</v>
      </c>
      <c r="K32" s="112"/>
      <c r="L32" s="435">
        <v>16552.532223543443</v>
      </c>
      <c r="M32" s="112"/>
      <c r="N32" s="435">
        <v>62873.674907171699</v>
      </c>
      <c r="O32" s="435">
        <v>834.88459673391424</v>
      </c>
      <c r="P32" s="435">
        <v>31874.674246611579</v>
      </c>
      <c r="Q32" s="435">
        <v>7374.2403851888157</v>
      </c>
      <c r="R32" s="112"/>
      <c r="S32" s="112"/>
      <c r="T32" s="112"/>
      <c r="U32" s="112"/>
      <c r="V32" s="112"/>
      <c r="W32" s="112"/>
      <c r="X32" s="112"/>
      <c r="Y32" s="112"/>
    </row>
    <row r="33" spans="5:42" x14ac:dyDescent="0.25">
      <c r="E33" s="60"/>
      <c r="F33" s="113" t="s">
        <v>247</v>
      </c>
      <c r="G33" s="113" t="s">
        <v>206</v>
      </c>
      <c r="J33" s="436">
        <v>2153149.2392095304</v>
      </c>
      <c r="K33" s="114"/>
      <c r="L33" s="436">
        <v>59675.192160152277</v>
      </c>
      <c r="M33" s="121"/>
      <c r="N33" s="436">
        <v>225338.3561774627</v>
      </c>
      <c r="O33" s="436">
        <v>2865.1248760627245</v>
      </c>
      <c r="P33" s="436">
        <v>115743.40860330635</v>
      </c>
      <c r="Q33" s="437">
        <v>29876.813151146878</v>
      </c>
      <c r="R33" s="114"/>
      <c r="S33" s="114"/>
      <c r="T33" s="114"/>
      <c r="U33" s="114"/>
      <c r="V33" s="114"/>
      <c r="W33" s="114"/>
      <c r="X33" s="114"/>
      <c r="Y33" s="114"/>
    </row>
    <row r="34" spans="5:42" x14ac:dyDescent="0.25">
      <c r="E34" s="60"/>
      <c r="F34" s="113" t="s">
        <v>248</v>
      </c>
      <c r="G34" s="113" t="s">
        <v>206</v>
      </c>
      <c r="J34" s="436">
        <v>3181300.0383317643</v>
      </c>
      <c r="K34" s="114"/>
      <c r="L34" s="436">
        <v>63556.03002782695</v>
      </c>
      <c r="M34" s="121"/>
      <c r="N34" s="436">
        <v>245264.57747899127</v>
      </c>
      <c r="O34" s="436">
        <v>3492.6774058827486</v>
      </c>
      <c r="P34" s="436">
        <v>138938.77516997</v>
      </c>
      <c r="Q34" s="437">
        <v>99538.398472304776</v>
      </c>
      <c r="R34" s="114"/>
      <c r="S34" s="114"/>
      <c r="T34" s="114"/>
      <c r="U34" s="114"/>
      <c r="V34" s="114"/>
      <c r="W34" s="114"/>
      <c r="X34" s="114"/>
      <c r="Y34" s="114"/>
    </row>
    <row r="35" spans="5:42" x14ac:dyDescent="0.25">
      <c r="E35" s="60"/>
      <c r="F35" s="113" t="s">
        <v>211</v>
      </c>
      <c r="G35" s="113" t="s">
        <v>211</v>
      </c>
      <c r="J35" s="436">
        <v>2156414.718697391</v>
      </c>
      <c r="K35" s="114"/>
      <c r="L35" s="436">
        <v>49964.405692999382</v>
      </c>
      <c r="M35" s="121"/>
      <c r="N35" s="436">
        <v>6810.778903588639</v>
      </c>
      <c r="O35" s="436">
        <v>11.072850062440644</v>
      </c>
      <c r="P35" s="436">
        <v>600.06061126967143</v>
      </c>
      <c r="Q35" s="436">
        <v>623.86666666666667</v>
      </c>
      <c r="R35" s="114"/>
      <c r="S35" s="114"/>
      <c r="T35" s="114"/>
      <c r="U35" s="114"/>
      <c r="V35" s="114"/>
      <c r="W35" s="114"/>
      <c r="X35" s="114"/>
      <c r="Y35" s="114"/>
    </row>
    <row r="36" spans="5:42" x14ac:dyDescent="0.25">
      <c r="E36" s="60"/>
      <c r="F36" s="113" t="s">
        <v>249</v>
      </c>
      <c r="G36" s="113" t="s">
        <v>250</v>
      </c>
      <c r="J36" s="114"/>
      <c r="K36" s="114"/>
      <c r="L36" s="114"/>
      <c r="M36" s="121"/>
      <c r="N36" s="436">
        <v>310632</v>
      </c>
      <c r="O36" s="436">
        <v>551</v>
      </c>
      <c r="P36" s="436">
        <v>148794</v>
      </c>
      <c r="Q36" s="114"/>
      <c r="R36" s="114"/>
      <c r="S36" s="114"/>
      <c r="T36" s="114"/>
      <c r="U36" s="114"/>
      <c r="V36" s="114"/>
      <c r="W36" s="114"/>
      <c r="X36" s="114"/>
      <c r="Y36" s="114"/>
    </row>
    <row r="37" spans="5:42" x14ac:dyDescent="0.25">
      <c r="E37" s="60"/>
      <c r="F37" s="113" t="s">
        <v>251</v>
      </c>
      <c r="G37" s="113" t="s">
        <v>250</v>
      </c>
      <c r="J37" s="114"/>
      <c r="K37" s="114"/>
      <c r="L37" s="114"/>
      <c r="M37" s="121"/>
      <c r="N37" s="436">
        <v>20829.369863013697</v>
      </c>
      <c r="O37" s="436">
        <v>106.63561643835617</v>
      </c>
      <c r="P37" s="436">
        <v>8063.7479452054795</v>
      </c>
      <c r="Q37" s="114"/>
      <c r="R37" s="114"/>
      <c r="S37" s="114"/>
      <c r="T37" s="114"/>
      <c r="U37" s="114"/>
      <c r="V37" s="114"/>
      <c r="W37" s="114"/>
      <c r="X37" s="114"/>
      <c r="Y37" s="114"/>
    </row>
    <row r="38" spans="5:42" x14ac:dyDescent="0.25">
      <c r="E38" s="60"/>
      <c r="F38" s="115" t="s">
        <v>252</v>
      </c>
      <c r="G38" s="115" t="s">
        <v>253</v>
      </c>
      <c r="H38" s="91"/>
      <c r="I38" s="91"/>
      <c r="J38" s="116"/>
      <c r="K38" s="116"/>
      <c r="L38" s="116"/>
      <c r="M38" s="116"/>
      <c r="N38" s="438">
        <v>48591.389000000003</v>
      </c>
      <c r="O38" s="438">
        <v>588.76400000000001</v>
      </c>
      <c r="P38" s="438">
        <v>39956.269</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935</v>
      </c>
      <c r="G40" s="46"/>
    </row>
    <row r="41" spans="5:42" x14ac:dyDescent="0.25">
      <c r="E41" s="60"/>
      <c r="F41" s="111" t="s">
        <v>246</v>
      </c>
      <c r="G41" s="111" t="s">
        <v>206</v>
      </c>
      <c r="H41" s="90"/>
      <c r="I41" s="90"/>
      <c r="J41" s="112"/>
      <c r="K41" s="112"/>
      <c r="L41" s="435">
        <v>40532.6087360288</v>
      </c>
      <c r="M41" s="112"/>
      <c r="N41" s="435">
        <v>85362.412065266122</v>
      </c>
      <c r="O41" s="435">
        <v>1260.6540644547413</v>
      </c>
      <c r="P41" s="435">
        <v>107443.06941902314</v>
      </c>
      <c r="Q41" s="112"/>
      <c r="R41" s="112"/>
      <c r="S41" s="112"/>
      <c r="T41" s="112"/>
      <c r="U41" s="112"/>
      <c r="V41" s="112"/>
      <c r="W41" s="112"/>
      <c r="X41" s="112"/>
      <c r="Y41" s="112"/>
    </row>
    <row r="42" spans="5:42" x14ac:dyDescent="0.25">
      <c r="E42" s="60"/>
      <c r="F42" s="113" t="s">
        <v>247</v>
      </c>
      <c r="G42" s="113" t="s">
        <v>206</v>
      </c>
      <c r="J42" s="114"/>
      <c r="K42" s="114"/>
      <c r="L42" s="436">
        <v>146302.79963081883</v>
      </c>
      <c r="M42" s="114"/>
      <c r="N42" s="436">
        <v>294459.9077535813</v>
      </c>
      <c r="O42" s="436">
        <v>4162.5130790372414</v>
      </c>
      <c r="P42" s="436">
        <v>369000.85991966072</v>
      </c>
      <c r="Q42" s="114"/>
      <c r="R42" s="114"/>
      <c r="S42" s="114"/>
      <c r="T42" s="114"/>
      <c r="U42" s="114"/>
      <c r="V42" s="114"/>
      <c r="W42" s="114"/>
      <c r="X42" s="114"/>
      <c r="Y42" s="114"/>
    </row>
    <row r="43" spans="5:42" x14ac:dyDescent="0.25">
      <c r="E43" s="60"/>
      <c r="F43" s="113" t="s">
        <v>248</v>
      </c>
      <c r="G43" s="113" t="s">
        <v>206</v>
      </c>
      <c r="J43" s="114"/>
      <c r="K43" s="114"/>
      <c r="L43" s="436">
        <v>156706.73379057075</v>
      </c>
      <c r="M43" s="114"/>
      <c r="N43" s="436">
        <v>326381.09230257245</v>
      </c>
      <c r="O43" s="436">
        <v>4899.9296028810568</v>
      </c>
      <c r="P43" s="436">
        <v>467257.86981950596</v>
      </c>
      <c r="Q43" s="114"/>
      <c r="R43" s="114"/>
      <c r="S43" s="114"/>
      <c r="T43" s="114"/>
      <c r="U43" s="114"/>
      <c r="V43" s="114"/>
      <c r="W43" s="114"/>
      <c r="X43" s="114"/>
      <c r="Y43" s="114"/>
    </row>
    <row r="44" spans="5:42" x14ac:dyDescent="0.25">
      <c r="E44" s="60"/>
      <c r="F44" s="113" t="s">
        <v>211</v>
      </c>
      <c r="G44" s="113" t="s">
        <v>211</v>
      </c>
      <c r="J44" s="114"/>
      <c r="K44" s="114"/>
      <c r="L44" s="436">
        <v>46310.381537763642</v>
      </c>
      <c r="M44" s="114"/>
      <c r="N44" s="436">
        <v>4584.1976423408714</v>
      </c>
      <c r="O44" s="436">
        <v>33.218550187321952</v>
      </c>
      <c r="P44" s="436">
        <v>688.06950092255659</v>
      </c>
      <c r="Q44" s="114"/>
      <c r="R44" s="114"/>
      <c r="S44" s="114"/>
      <c r="T44" s="114"/>
      <c r="U44" s="114"/>
      <c r="V44" s="114"/>
      <c r="W44" s="114"/>
      <c r="X44" s="114"/>
      <c r="Y44" s="114"/>
    </row>
    <row r="45" spans="5:42" x14ac:dyDescent="0.25">
      <c r="E45" s="60"/>
      <c r="F45" s="113" t="s">
        <v>249</v>
      </c>
      <c r="G45" s="113" t="s">
        <v>250</v>
      </c>
      <c r="J45" s="114"/>
      <c r="K45" s="114"/>
      <c r="L45" s="114"/>
      <c r="M45" s="114"/>
      <c r="N45" s="436">
        <v>514933</v>
      </c>
      <c r="O45" s="436">
        <v>3935</v>
      </c>
      <c r="P45" s="436">
        <v>477037</v>
      </c>
      <c r="Q45" s="114"/>
      <c r="R45" s="114"/>
      <c r="S45" s="114"/>
      <c r="T45" s="114"/>
      <c r="U45" s="114"/>
      <c r="V45" s="114"/>
      <c r="W45" s="114"/>
      <c r="X45" s="114"/>
      <c r="Y45" s="114"/>
    </row>
    <row r="46" spans="5:42" x14ac:dyDescent="0.25">
      <c r="E46" s="60"/>
      <c r="F46" s="113" t="s">
        <v>251</v>
      </c>
      <c r="G46" s="113" t="s">
        <v>250</v>
      </c>
      <c r="J46" s="114"/>
      <c r="K46" s="114"/>
      <c r="L46" s="114"/>
      <c r="M46" s="114"/>
      <c r="N46" s="436">
        <v>8090.6273972602739</v>
      </c>
      <c r="O46" s="436">
        <v>203.16164383561645</v>
      </c>
      <c r="P46" s="436">
        <v>6804.5150684931505</v>
      </c>
      <c r="Q46" s="114"/>
      <c r="R46" s="114"/>
      <c r="S46" s="114"/>
      <c r="T46" s="114"/>
      <c r="U46" s="114"/>
      <c r="V46" s="114"/>
      <c r="W46" s="114"/>
      <c r="X46" s="114"/>
      <c r="Y46" s="114"/>
    </row>
    <row r="47" spans="5:42" x14ac:dyDescent="0.25">
      <c r="E47" s="60"/>
      <c r="F47" s="115" t="s">
        <v>252</v>
      </c>
      <c r="G47" s="115" t="s">
        <v>253</v>
      </c>
      <c r="H47" s="91"/>
      <c r="I47" s="91"/>
      <c r="J47" s="116"/>
      <c r="K47" s="116"/>
      <c r="L47" s="116"/>
      <c r="M47" s="116"/>
      <c r="N47" s="438">
        <v>62518.572999999997</v>
      </c>
      <c r="O47" s="438">
        <v>963.84799999999996</v>
      </c>
      <c r="P47" s="438">
        <v>84751.020999999993</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936</v>
      </c>
      <c r="G49" s="46"/>
    </row>
    <row r="50" spans="5:42" x14ac:dyDescent="0.25">
      <c r="E50" s="60"/>
      <c r="F50" s="111" t="s">
        <v>246</v>
      </c>
      <c r="G50" s="111" t="s">
        <v>206</v>
      </c>
      <c r="H50" s="90"/>
      <c r="I50" s="90"/>
      <c r="J50" s="112"/>
      <c r="K50" s="112"/>
      <c r="L50" s="435">
        <v>45281.293220552077</v>
      </c>
      <c r="M50" s="112"/>
      <c r="N50" s="435">
        <v>53107.35116186065</v>
      </c>
      <c r="O50" s="435">
        <v>2854.5255833190145</v>
      </c>
      <c r="P50" s="435">
        <v>98514.766092263526</v>
      </c>
      <c r="Q50" s="112"/>
      <c r="R50" s="112"/>
      <c r="S50" s="112"/>
      <c r="T50" s="112"/>
      <c r="U50" s="112"/>
      <c r="V50" s="112"/>
      <c r="W50" s="112"/>
      <c r="X50" s="112"/>
      <c r="Y50" s="112"/>
    </row>
    <row r="51" spans="5:42" x14ac:dyDescent="0.25">
      <c r="E51" s="60"/>
      <c r="F51" s="113" t="s">
        <v>247</v>
      </c>
      <c r="G51" s="113" t="s">
        <v>206</v>
      </c>
      <c r="J51" s="114"/>
      <c r="K51" s="114"/>
      <c r="L51" s="436">
        <v>163574.20762390032</v>
      </c>
      <c r="M51" s="114"/>
      <c r="N51" s="436">
        <v>191191.78141982338</v>
      </c>
      <c r="O51" s="436">
        <v>9681.6025949161158</v>
      </c>
      <c r="P51" s="436">
        <v>323014.47390604595</v>
      </c>
      <c r="Q51" s="114"/>
      <c r="R51" s="114"/>
      <c r="S51" s="114"/>
      <c r="T51" s="114"/>
      <c r="U51" s="114"/>
      <c r="V51" s="114"/>
      <c r="W51" s="114"/>
      <c r="X51" s="114"/>
      <c r="Y51" s="114"/>
    </row>
    <row r="52" spans="5:42" x14ac:dyDescent="0.25">
      <c r="E52" s="60"/>
      <c r="F52" s="113" t="s">
        <v>248</v>
      </c>
      <c r="G52" s="113" t="s">
        <v>206</v>
      </c>
      <c r="J52" s="114"/>
      <c r="K52" s="114"/>
      <c r="L52" s="436">
        <v>180765.34521693317</v>
      </c>
      <c r="M52" s="114"/>
      <c r="N52" s="436">
        <v>209786.49692852865</v>
      </c>
      <c r="O52" s="436">
        <v>11398.433603884556</v>
      </c>
      <c r="P52" s="436">
        <v>441807.65508207423</v>
      </c>
      <c r="Q52" s="114"/>
      <c r="R52" s="114"/>
      <c r="S52" s="114"/>
      <c r="T52" s="114"/>
      <c r="U52" s="114"/>
      <c r="V52" s="114"/>
      <c r="W52" s="114"/>
      <c r="X52" s="114"/>
      <c r="Y52" s="114"/>
    </row>
    <row r="53" spans="5:42" x14ac:dyDescent="0.25">
      <c r="E53" s="60"/>
      <c r="F53" s="113" t="s">
        <v>211</v>
      </c>
      <c r="G53" s="113" t="s">
        <v>211</v>
      </c>
      <c r="J53" s="114"/>
      <c r="K53" s="114"/>
      <c r="L53" s="436">
        <v>22046.301262062389</v>
      </c>
      <c r="M53" s="114"/>
      <c r="N53" s="436">
        <v>1939.11661848631</v>
      </c>
      <c r="O53" s="436">
        <v>57.578820324691343</v>
      </c>
      <c r="P53" s="436">
        <v>290.02929544700771</v>
      </c>
      <c r="Q53" s="114"/>
      <c r="R53" s="114"/>
      <c r="S53" s="114"/>
      <c r="T53" s="114"/>
      <c r="U53" s="114"/>
      <c r="V53" s="114"/>
      <c r="W53" s="114"/>
      <c r="X53" s="114"/>
      <c r="Y53" s="114"/>
    </row>
    <row r="54" spans="5:42" x14ac:dyDescent="0.25">
      <c r="E54" s="60"/>
      <c r="F54" s="113" t="s">
        <v>249</v>
      </c>
      <c r="G54" s="113" t="s">
        <v>250</v>
      </c>
      <c r="J54" s="114"/>
      <c r="K54" s="114"/>
      <c r="L54" s="114"/>
      <c r="M54" s="114"/>
      <c r="N54" s="436">
        <v>357716</v>
      </c>
      <c r="O54" s="436">
        <v>9742</v>
      </c>
      <c r="P54" s="436">
        <v>393855</v>
      </c>
      <c r="Q54" s="114"/>
      <c r="R54" s="114"/>
      <c r="S54" s="114"/>
      <c r="T54" s="114"/>
      <c r="U54" s="114"/>
      <c r="V54" s="114"/>
      <c r="W54" s="114"/>
      <c r="X54" s="114"/>
      <c r="Y54" s="114"/>
    </row>
    <row r="55" spans="5:42" x14ac:dyDescent="0.25">
      <c r="E55" s="60"/>
      <c r="F55" s="113" t="s">
        <v>251</v>
      </c>
      <c r="G55" s="113" t="s">
        <v>250</v>
      </c>
      <c r="J55" s="114"/>
      <c r="K55" s="114"/>
      <c r="L55" s="114"/>
      <c r="M55" s="114"/>
      <c r="N55" s="436">
        <v>3558.3945205479454</v>
      </c>
      <c r="O55" s="436">
        <v>174.21643835616439</v>
      </c>
      <c r="P55" s="436">
        <v>2879.1150684931508</v>
      </c>
      <c r="Q55" s="114"/>
      <c r="R55" s="114"/>
      <c r="S55" s="114"/>
      <c r="T55" s="114"/>
      <c r="U55" s="114"/>
      <c r="V55" s="114"/>
      <c r="W55" s="114"/>
      <c r="X55" s="114"/>
      <c r="Y55" s="114"/>
    </row>
    <row r="56" spans="5:42" x14ac:dyDescent="0.25">
      <c r="E56" s="60"/>
      <c r="F56" s="115" t="s">
        <v>252</v>
      </c>
      <c r="G56" s="115" t="s">
        <v>253</v>
      </c>
      <c r="H56" s="91"/>
      <c r="I56" s="91"/>
      <c r="J56" s="116"/>
      <c r="K56" s="116"/>
      <c r="L56" s="116"/>
      <c r="M56" s="116"/>
      <c r="N56" s="438">
        <v>48725.938000000002</v>
      </c>
      <c r="O56" s="438">
        <v>2040.5429999999999</v>
      </c>
      <c r="P56" s="438">
        <v>69378.464000000007</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937</v>
      </c>
      <c r="G58" s="46"/>
    </row>
    <row r="59" spans="5:42" x14ac:dyDescent="0.25">
      <c r="E59" s="60"/>
      <c r="F59" s="111" t="s">
        <v>246</v>
      </c>
      <c r="G59" s="111" t="s">
        <v>206</v>
      </c>
      <c r="H59" s="90"/>
      <c r="I59" s="90"/>
      <c r="J59" s="112"/>
      <c r="K59" s="112"/>
      <c r="L59" s="435">
        <v>131298.93050379492</v>
      </c>
      <c r="M59" s="112"/>
      <c r="N59" s="435">
        <v>85535.392546985327</v>
      </c>
      <c r="O59" s="435">
        <v>47376.215525796506</v>
      </c>
      <c r="P59" s="435">
        <v>248773.27096185446</v>
      </c>
      <c r="Q59" s="112"/>
      <c r="R59" s="112"/>
      <c r="S59" s="112"/>
      <c r="T59" s="112"/>
      <c r="U59" s="112"/>
      <c r="V59" s="112"/>
      <c r="W59" s="112"/>
      <c r="X59" s="112"/>
      <c r="Y59" s="112"/>
    </row>
    <row r="60" spans="5:42" x14ac:dyDescent="0.25">
      <c r="E60" s="60"/>
      <c r="F60" s="113" t="s">
        <v>247</v>
      </c>
      <c r="G60" s="113" t="s">
        <v>206</v>
      </c>
      <c r="J60" s="114"/>
      <c r="K60" s="114"/>
      <c r="L60" s="436">
        <v>469656.2843104786</v>
      </c>
      <c r="M60" s="114"/>
      <c r="N60" s="436">
        <v>317993.11282686668</v>
      </c>
      <c r="O60" s="436">
        <v>168335.14810756053</v>
      </c>
      <c r="P60" s="436">
        <v>806470.6791899926</v>
      </c>
      <c r="Q60" s="114"/>
      <c r="R60" s="114"/>
      <c r="S60" s="114"/>
      <c r="T60" s="114"/>
      <c r="U60" s="114"/>
      <c r="V60" s="114"/>
      <c r="W60" s="114"/>
      <c r="X60" s="114"/>
      <c r="Y60" s="114"/>
    </row>
    <row r="61" spans="5:42" x14ac:dyDescent="0.25">
      <c r="E61" s="60"/>
      <c r="F61" s="113" t="s">
        <v>248</v>
      </c>
      <c r="G61" s="113" t="s">
        <v>206</v>
      </c>
      <c r="J61" s="114"/>
      <c r="K61" s="114"/>
      <c r="L61" s="436">
        <v>550277.63718993054</v>
      </c>
      <c r="M61" s="114"/>
      <c r="N61" s="436">
        <v>339571.8091207039</v>
      </c>
      <c r="O61" s="436">
        <v>202194.67214787006</v>
      </c>
      <c r="P61" s="436">
        <v>1211196.6972275905</v>
      </c>
      <c r="Q61" s="114"/>
      <c r="R61" s="114"/>
      <c r="S61" s="114"/>
      <c r="T61" s="114"/>
      <c r="U61" s="114"/>
      <c r="V61" s="114"/>
      <c r="W61" s="114"/>
      <c r="X61" s="114"/>
      <c r="Y61" s="114"/>
    </row>
    <row r="62" spans="5:42" x14ac:dyDescent="0.25">
      <c r="E62" s="60"/>
      <c r="F62" s="113" t="s">
        <v>211</v>
      </c>
      <c r="G62" s="113" t="s">
        <v>211</v>
      </c>
      <c r="J62" s="114"/>
      <c r="K62" s="114"/>
      <c r="L62" s="436">
        <v>24326.408335267901</v>
      </c>
      <c r="M62" s="114"/>
      <c r="N62" s="436">
        <v>1682.1252594098121</v>
      </c>
      <c r="O62" s="436">
        <v>578.00277325940158</v>
      </c>
      <c r="P62" s="436">
        <v>319.03222499170869</v>
      </c>
      <c r="Q62" s="114"/>
      <c r="R62" s="114"/>
      <c r="S62" s="114"/>
      <c r="T62" s="114"/>
      <c r="U62" s="114"/>
      <c r="V62" s="114"/>
      <c r="W62" s="114"/>
      <c r="X62" s="114"/>
      <c r="Y62" s="114"/>
    </row>
    <row r="63" spans="5:42" x14ac:dyDescent="0.25">
      <c r="E63" s="60"/>
      <c r="F63" s="113" t="s">
        <v>249</v>
      </c>
      <c r="G63" s="113" t="s">
        <v>250</v>
      </c>
      <c r="J63" s="114"/>
      <c r="K63" s="114"/>
      <c r="L63" s="114"/>
      <c r="M63" s="114"/>
      <c r="N63" s="436">
        <v>575429</v>
      </c>
      <c r="O63" s="436">
        <v>264967</v>
      </c>
      <c r="P63" s="436">
        <v>1061553</v>
      </c>
      <c r="Q63" s="114"/>
      <c r="R63" s="114"/>
      <c r="S63" s="114"/>
      <c r="T63" s="114"/>
      <c r="U63" s="114"/>
      <c r="V63" s="114"/>
      <c r="W63" s="114"/>
      <c r="X63" s="114"/>
      <c r="Y63" s="114"/>
    </row>
    <row r="64" spans="5:42" x14ac:dyDescent="0.25">
      <c r="E64" s="60"/>
      <c r="F64" s="113" t="s">
        <v>251</v>
      </c>
      <c r="G64" s="113" t="s">
        <v>250</v>
      </c>
      <c r="J64" s="114"/>
      <c r="K64" s="114"/>
      <c r="L64" s="114"/>
      <c r="M64" s="114"/>
      <c r="N64" s="436">
        <v>3127.0054794520547</v>
      </c>
      <c r="O64" s="436">
        <v>1034.6739726027397</v>
      </c>
      <c r="P64" s="436">
        <v>5700.8027397260275</v>
      </c>
      <c r="Q64" s="114"/>
      <c r="R64" s="114"/>
      <c r="S64" s="114"/>
      <c r="T64" s="114"/>
      <c r="U64" s="114"/>
      <c r="V64" s="114"/>
      <c r="W64" s="114"/>
      <c r="X64" s="114"/>
      <c r="Y64" s="114"/>
    </row>
    <row r="65" spans="4:43" x14ac:dyDescent="0.25">
      <c r="E65" s="60"/>
      <c r="F65" s="115" t="s">
        <v>252</v>
      </c>
      <c r="G65" s="115" t="s">
        <v>253</v>
      </c>
      <c r="H65" s="91"/>
      <c r="I65" s="91"/>
      <c r="J65" s="116"/>
      <c r="K65" s="116"/>
      <c r="L65" s="116"/>
      <c r="M65" s="116"/>
      <c r="N65" s="438">
        <v>73404.600999999995</v>
      </c>
      <c r="O65" s="438">
        <v>32654.519</v>
      </c>
      <c r="P65" s="438">
        <v>193174.59</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947</v>
      </c>
      <c r="G67" s="46"/>
      <c r="I67" t="s">
        <v>153</v>
      </c>
      <c r="AQ67" t="s">
        <v>245</v>
      </c>
    </row>
    <row r="68" spans="4:43" x14ac:dyDescent="0.25">
      <c r="G68" s="46"/>
    </row>
    <row r="69" spans="4:43" x14ac:dyDescent="0.25">
      <c r="E69" s="60" t="s">
        <v>901</v>
      </c>
      <c r="G69" s="46"/>
    </row>
    <row r="70" spans="4:43" x14ac:dyDescent="0.25">
      <c r="E70" s="60"/>
      <c r="F70" s="111" t="s">
        <v>246</v>
      </c>
      <c r="G70" s="111" t="s">
        <v>206</v>
      </c>
      <c r="H70" s="90"/>
      <c r="I70" s="90"/>
      <c r="J70" s="112"/>
      <c r="K70" s="435">
        <v>0</v>
      </c>
      <c r="L70" s="435">
        <v>0</v>
      </c>
      <c r="M70" s="435">
        <v>0</v>
      </c>
      <c r="N70" s="435">
        <v>0</v>
      </c>
      <c r="O70" s="112"/>
      <c r="P70" s="112"/>
      <c r="Q70" s="112"/>
      <c r="R70" s="435">
        <v>461.60500000000002</v>
      </c>
      <c r="S70" s="112"/>
      <c r="T70" s="435">
        <v>1.7350000000000001</v>
      </c>
      <c r="U70" s="112"/>
      <c r="V70" s="112"/>
      <c r="W70" s="112"/>
      <c r="X70" s="112"/>
      <c r="Y70" s="112"/>
    </row>
    <row r="71" spans="4:43" x14ac:dyDescent="0.25">
      <c r="E71" s="60"/>
      <c r="F71" s="113" t="s">
        <v>247</v>
      </c>
      <c r="G71" s="113" t="s">
        <v>206</v>
      </c>
      <c r="J71" s="114"/>
      <c r="K71" s="436">
        <v>0</v>
      </c>
      <c r="L71" s="436">
        <v>0</v>
      </c>
      <c r="M71" s="436">
        <v>0</v>
      </c>
      <c r="N71" s="436">
        <v>0</v>
      </c>
      <c r="O71" s="114"/>
      <c r="P71" s="114"/>
      <c r="Q71" s="114"/>
      <c r="R71" s="437">
        <v>2076.4070000000002</v>
      </c>
      <c r="S71" s="114"/>
      <c r="T71" s="436">
        <v>16.108000000000001</v>
      </c>
      <c r="U71" s="114"/>
      <c r="V71" s="114"/>
      <c r="W71" s="114"/>
      <c r="X71" s="114"/>
      <c r="Y71" s="114"/>
    </row>
    <row r="72" spans="4:43" x14ac:dyDescent="0.25">
      <c r="E72" s="60"/>
      <c r="F72" s="113" t="s">
        <v>248</v>
      </c>
      <c r="G72" s="113" t="s">
        <v>206</v>
      </c>
      <c r="J72" s="114"/>
      <c r="K72" s="436">
        <v>0</v>
      </c>
      <c r="L72" s="436">
        <v>0</v>
      </c>
      <c r="M72" s="436">
        <v>0</v>
      </c>
      <c r="N72" s="436">
        <v>0</v>
      </c>
      <c r="O72" s="114"/>
      <c r="P72" s="114"/>
      <c r="Q72" s="114"/>
      <c r="R72" s="437">
        <v>1230.577</v>
      </c>
      <c r="S72" s="114"/>
      <c r="T72" s="436">
        <v>8.6150000000000002</v>
      </c>
      <c r="U72" s="114"/>
      <c r="V72" s="114"/>
      <c r="W72" s="114"/>
      <c r="X72" s="114"/>
      <c r="Y72" s="114"/>
    </row>
    <row r="73" spans="4:43" x14ac:dyDescent="0.25">
      <c r="E73" s="60"/>
      <c r="F73" s="113" t="s">
        <v>211</v>
      </c>
      <c r="G73" s="113" t="s">
        <v>211</v>
      </c>
      <c r="J73" s="114"/>
      <c r="K73" s="436">
        <v>0</v>
      </c>
      <c r="L73" s="436">
        <v>0</v>
      </c>
      <c r="M73" s="436">
        <v>0</v>
      </c>
      <c r="N73" s="436">
        <v>0</v>
      </c>
      <c r="O73" s="114"/>
      <c r="P73" s="114"/>
      <c r="Q73" s="114"/>
      <c r="R73" s="436">
        <v>273.96666666666664</v>
      </c>
      <c r="S73" s="114"/>
      <c r="T73" s="436">
        <v>2</v>
      </c>
      <c r="U73" s="114"/>
      <c r="V73" s="114"/>
      <c r="W73" s="114"/>
      <c r="X73" s="114"/>
      <c r="Y73" s="114"/>
    </row>
    <row r="74" spans="4:43" x14ac:dyDescent="0.25">
      <c r="E74" s="60"/>
      <c r="F74" s="113" t="s">
        <v>249</v>
      </c>
      <c r="G74" s="113" t="s">
        <v>250</v>
      </c>
      <c r="J74" s="114"/>
      <c r="K74" s="114"/>
      <c r="L74" s="114"/>
      <c r="M74" s="114"/>
      <c r="N74" s="436">
        <v>0</v>
      </c>
      <c r="O74" s="114"/>
      <c r="P74" s="114"/>
      <c r="Q74" s="114"/>
      <c r="R74" s="114"/>
      <c r="S74" s="114"/>
      <c r="T74" s="114"/>
      <c r="U74" s="114"/>
      <c r="V74" s="114"/>
      <c r="W74" s="114"/>
      <c r="X74" s="114"/>
      <c r="Y74" s="114"/>
    </row>
    <row r="75" spans="4:43" x14ac:dyDescent="0.25">
      <c r="E75" s="60"/>
      <c r="F75" s="113" t="s">
        <v>251</v>
      </c>
      <c r="G75" s="113" t="s">
        <v>250</v>
      </c>
      <c r="J75" s="114"/>
      <c r="K75" s="114"/>
      <c r="L75" s="114"/>
      <c r="M75" s="114"/>
      <c r="N75" s="436">
        <v>0</v>
      </c>
      <c r="O75" s="114"/>
      <c r="P75" s="114"/>
      <c r="Q75" s="114"/>
      <c r="R75" s="114"/>
      <c r="S75" s="114"/>
      <c r="T75" s="114"/>
      <c r="U75" s="114"/>
      <c r="V75" s="114"/>
      <c r="W75" s="114"/>
      <c r="X75" s="114"/>
      <c r="Y75" s="114"/>
    </row>
    <row r="76" spans="4:43" x14ac:dyDescent="0.25">
      <c r="E76" s="60"/>
      <c r="F76" s="115" t="s">
        <v>252</v>
      </c>
      <c r="G76" s="115" t="s">
        <v>253</v>
      </c>
      <c r="H76" s="91"/>
      <c r="I76" s="91"/>
      <c r="J76" s="116"/>
      <c r="K76" s="116"/>
      <c r="L76" s="116"/>
      <c r="M76" s="116"/>
      <c r="N76" s="438">
        <v>0</v>
      </c>
      <c r="O76" s="116"/>
      <c r="P76" s="116"/>
      <c r="Q76" s="116"/>
      <c r="R76" s="116"/>
      <c r="S76" s="116"/>
      <c r="T76" s="438">
        <v>7.8289999999999997</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938</v>
      </c>
      <c r="G78" s="46"/>
    </row>
    <row r="79" spans="4:43" x14ac:dyDescent="0.25">
      <c r="E79" s="60"/>
      <c r="F79" s="111" t="s">
        <v>246</v>
      </c>
      <c r="G79" s="111" t="s">
        <v>206</v>
      </c>
      <c r="H79" s="90"/>
      <c r="I79" s="90"/>
      <c r="J79" s="435">
        <v>17977.821069245529</v>
      </c>
      <c r="K79" s="112"/>
      <c r="L79" s="435">
        <v>606.09777118413092</v>
      </c>
      <c r="M79" s="112"/>
      <c r="N79" s="435">
        <v>116.08133897472126</v>
      </c>
      <c r="O79" s="112"/>
      <c r="P79" s="112"/>
      <c r="Q79" s="435">
        <v>9.4473171927800657</v>
      </c>
      <c r="R79" s="112"/>
      <c r="S79" s="112"/>
      <c r="T79" s="112"/>
      <c r="U79" s="112"/>
      <c r="V79" s="112"/>
      <c r="W79" s="112"/>
      <c r="X79" s="112"/>
      <c r="Y79" s="112"/>
    </row>
    <row r="80" spans="4:43" x14ac:dyDescent="0.25">
      <c r="E80" s="60"/>
      <c r="F80" s="113" t="s">
        <v>247</v>
      </c>
      <c r="G80" s="113" t="s">
        <v>206</v>
      </c>
      <c r="J80" s="436">
        <v>43109.182634741424</v>
      </c>
      <c r="K80" s="114"/>
      <c r="L80" s="436">
        <v>2189.2341803249178</v>
      </c>
      <c r="M80" s="121"/>
      <c r="N80" s="436">
        <v>355.71645666194769</v>
      </c>
      <c r="O80" s="114"/>
      <c r="P80" s="114"/>
      <c r="Q80" s="437">
        <v>79.548638403142107</v>
      </c>
      <c r="R80" s="114"/>
      <c r="S80" s="114"/>
      <c r="T80" s="114"/>
      <c r="U80" s="114"/>
      <c r="V80" s="114"/>
      <c r="W80" s="114"/>
      <c r="X80" s="114"/>
      <c r="Y80" s="114"/>
    </row>
    <row r="81" spans="5:42" x14ac:dyDescent="0.25">
      <c r="E81" s="60"/>
      <c r="F81" s="113" t="s">
        <v>248</v>
      </c>
      <c r="G81" s="113" t="s">
        <v>206</v>
      </c>
      <c r="J81" s="436">
        <v>61508.146726310944</v>
      </c>
      <c r="K81" s="114"/>
      <c r="L81" s="436">
        <v>2279.0113760479762</v>
      </c>
      <c r="M81" s="121"/>
      <c r="N81" s="436">
        <v>446.94375863973147</v>
      </c>
      <c r="O81" s="114"/>
      <c r="P81" s="114"/>
      <c r="Q81" s="437">
        <v>139.29179941102402</v>
      </c>
      <c r="R81" s="114"/>
      <c r="S81" s="114"/>
      <c r="T81" s="114"/>
      <c r="U81" s="114"/>
      <c r="V81" s="114"/>
      <c r="W81" s="114"/>
      <c r="X81" s="114"/>
      <c r="Y81" s="114"/>
    </row>
    <row r="82" spans="5:42" x14ac:dyDescent="0.25">
      <c r="E82" s="60"/>
      <c r="F82" s="113" t="s">
        <v>211</v>
      </c>
      <c r="G82" s="113" t="s">
        <v>211</v>
      </c>
      <c r="J82" s="436">
        <v>44241.292567649827</v>
      </c>
      <c r="K82" s="114"/>
      <c r="L82" s="436">
        <v>485.19265346453273</v>
      </c>
      <c r="M82" s="121"/>
      <c r="N82" s="436">
        <v>10.411859516406272</v>
      </c>
      <c r="O82" s="114"/>
      <c r="P82" s="114"/>
      <c r="Q82" s="436">
        <v>149.67048054834018</v>
      </c>
      <c r="R82" s="114"/>
      <c r="S82" s="114"/>
      <c r="T82" s="114"/>
      <c r="U82" s="114"/>
      <c r="V82" s="114"/>
      <c r="W82" s="114"/>
      <c r="X82" s="114"/>
      <c r="Y82" s="114"/>
    </row>
    <row r="83" spans="5:42" x14ac:dyDescent="0.25">
      <c r="E83" s="60"/>
      <c r="F83" s="113" t="s">
        <v>249</v>
      </c>
      <c r="G83" s="113" t="s">
        <v>250</v>
      </c>
      <c r="J83" s="114"/>
      <c r="K83" s="114"/>
      <c r="L83" s="114"/>
      <c r="M83" s="121"/>
      <c r="N83" s="436">
        <v>454</v>
      </c>
      <c r="O83" s="114"/>
      <c r="P83" s="114"/>
      <c r="Q83" s="114"/>
      <c r="R83" s="114"/>
      <c r="S83" s="114"/>
      <c r="T83" s="114"/>
      <c r="U83" s="114"/>
      <c r="V83" s="114"/>
      <c r="W83" s="114"/>
      <c r="X83" s="114"/>
      <c r="Y83" s="114"/>
    </row>
    <row r="84" spans="5:42" x14ac:dyDescent="0.25">
      <c r="E84" s="60"/>
      <c r="F84" s="113" t="s">
        <v>251</v>
      </c>
      <c r="G84" s="113" t="s">
        <v>250</v>
      </c>
      <c r="J84" s="114"/>
      <c r="K84" s="114"/>
      <c r="L84" s="114"/>
      <c r="M84" s="121"/>
      <c r="N84" s="436">
        <v>48.742465753424661</v>
      </c>
      <c r="O84" s="114"/>
      <c r="P84" s="114"/>
      <c r="Q84" s="114"/>
      <c r="R84" s="114"/>
      <c r="S84" s="114"/>
      <c r="T84" s="114"/>
      <c r="U84" s="114"/>
      <c r="V84" s="114"/>
      <c r="W84" s="114"/>
      <c r="X84" s="114"/>
      <c r="Y84" s="114"/>
    </row>
    <row r="85" spans="5:42" x14ac:dyDescent="0.25">
      <c r="E85" s="60"/>
      <c r="F85" s="115" t="s">
        <v>252</v>
      </c>
      <c r="G85" s="115" t="s">
        <v>253</v>
      </c>
      <c r="H85" s="91"/>
      <c r="I85" s="91"/>
      <c r="J85" s="116"/>
      <c r="K85" s="116"/>
      <c r="L85" s="116"/>
      <c r="M85" s="116"/>
      <c r="N85" s="438">
        <v>27.48</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939</v>
      </c>
      <c r="G87" s="46"/>
    </row>
    <row r="88" spans="5:42" x14ac:dyDescent="0.25">
      <c r="E88" s="60"/>
      <c r="F88" s="111" t="s">
        <v>246</v>
      </c>
      <c r="G88" s="111" t="s">
        <v>206</v>
      </c>
      <c r="H88" s="90"/>
      <c r="I88" s="90"/>
      <c r="J88" s="112"/>
      <c r="K88" s="112"/>
      <c r="L88" s="435">
        <v>80.202188185604072</v>
      </c>
      <c r="M88" s="112"/>
      <c r="N88" s="435">
        <v>633.14061621304177</v>
      </c>
      <c r="O88" s="112"/>
      <c r="P88" s="112"/>
      <c r="Q88" s="112"/>
      <c r="R88" s="112"/>
      <c r="S88" s="112"/>
      <c r="T88" s="112"/>
      <c r="U88" s="112"/>
      <c r="V88" s="112"/>
      <c r="W88" s="112"/>
      <c r="X88" s="112"/>
      <c r="Y88" s="112"/>
    </row>
    <row r="89" spans="5:42" x14ac:dyDescent="0.25">
      <c r="E89" s="60"/>
      <c r="F89" s="113" t="s">
        <v>247</v>
      </c>
      <c r="G89" s="113" t="s">
        <v>206</v>
      </c>
      <c r="J89" s="114"/>
      <c r="K89" s="114"/>
      <c r="L89" s="436">
        <v>287.88748602779941</v>
      </c>
      <c r="M89" s="114"/>
      <c r="N89" s="436">
        <v>2053.4643141917782</v>
      </c>
      <c r="O89" s="114"/>
      <c r="P89" s="114"/>
      <c r="Q89" s="114"/>
      <c r="R89" s="114"/>
      <c r="S89" s="114"/>
      <c r="T89" s="114"/>
      <c r="U89" s="114"/>
      <c r="V89" s="114"/>
      <c r="W89" s="114"/>
      <c r="X89" s="114"/>
      <c r="Y89" s="114"/>
    </row>
    <row r="90" spans="5:42" x14ac:dyDescent="0.25">
      <c r="E90" s="60"/>
      <c r="F90" s="113" t="s">
        <v>248</v>
      </c>
      <c r="G90" s="113" t="s">
        <v>206</v>
      </c>
      <c r="J90" s="114"/>
      <c r="K90" s="114"/>
      <c r="L90" s="436">
        <v>302.33444331644898</v>
      </c>
      <c r="M90" s="114"/>
      <c r="N90" s="436">
        <v>2647.9412407071604</v>
      </c>
      <c r="O90" s="114"/>
      <c r="P90" s="114"/>
      <c r="Q90" s="114"/>
      <c r="R90" s="114"/>
      <c r="S90" s="114"/>
      <c r="T90" s="114"/>
      <c r="U90" s="114"/>
      <c r="V90" s="114"/>
      <c r="W90" s="114"/>
      <c r="X90" s="114"/>
      <c r="Y90" s="114"/>
    </row>
    <row r="91" spans="5:42" x14ac:dyDescent="0.25">
      <c r="E91" s="60"/>
      <c r="F91" s="113" t="s">
        <v>211</v>
      </c>
      <c r="G91" s="113" t="s">
        <v>211</v>
      </c>
      <c r="J91" s="114"/>
      <c r="K91" s="114"/>
      <c r="L91" s="436">
        <v>78.999984080732588</v>
      </c>
      <c r="M91" s="114"/>
      <c r="N91" s="436">
        <v>61.169674658886883</v>
      </c>
      <c r="O91" s="114"/>
      <c r="P91" s="114"/>
      <c r="Q91" s="114"/>
      <c r="R91" s="114"/>
      <c r="S91" s="114"/>
      <c r="T91" s="114"/>
      <c r="U91" s="114"/>
      <c r="V91" s="114"/>
      <c r="W91" s="114"/>
      <c r="X91" s="114"/>
      <c r="Y91" s="114"/>
    </row>
    <row r="92" spans="5:42" x14ac:dyDescent="0.25">
      <c r="E92" s="60"/>
      <c r="F92" s="113" t="s">
        <v>249</v>
      </c>
      <c r="G92" s="113" t="s">
        <v>250</v>
      </c>
      <c r="J92" s="114"/>
      <c r="K92" s="114"/>
      <c r="L92" s="114"/>
      <c r="M92" s="114"/>
      <c r="N92" s="436">
        <v>5303</v>
      </c>
      <c r="O92" s="114"/>
      <c r="P92" s="114"/>
      <c r="Q92" s="114"/>
      <c r="R92" s="114"/>
      <c r="S92" s="114"/>
      <c r="T92" s="114"/>
      <c r="U92" s="114"/>
      <c r="V92" s="114"/>
      <c r="W92" s="114"/>
      <c r="X92" s="114"/>
      <c r="Y92" s="114"/>
    </row>
    <row r="93" spans="5:42" x14ac:dyDescent="0.25">
      <c r="E93" s="60"/>
      <c r="F93" s="113" t="s">
        <v>251</v>
      </c>
      <c r="G93" s="113" t="s">
        <v>250</v>
      </c>
      <c r="J93" s="114"/>
      <c r="K93" s="114"/>
      <c r="L93" s="114"/>
      <c r="M93" s="114"/>
      <c r="N93" s="436">
        <v>4.5041095890410956</v>
      </c>
      <c r="O93" s="114"/>
      <c r="P93" s="114"/>
      <c r="Q93" s="114"/>
      <c r="R93" s="114"/>
      <c r="S93" s="114"/>
      <c r="T93" s="114"/>
      <c r="U93" s="114"/>
      <c r="V93" s="114"/>
      <c r="W93" s="114"/>
      <c r="X93" s="114"/>
      <c r="Y93" s="114"/>
    </row>
    <row r="94" spans="5:42" x14ac:dyDescent="0.25">
      <c r="E94" s="60"/>
      <c r="F94" s="115" t="s">
        <v>252</v>
      </c>
      <c r="G94" s="115" t="s">
        <v>253</v>
      </c>
      <c r="H94" s="91"/>
      <c r="I94" s="91"/>
      <c r="J94" s="116"/>
      <c r="K94" s="116"/>
      <c r="L94" s="116"/>
      <c r="M94" s="116"/>
      <c r="N94" s="438">
        <v>207.57900000000001</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940</v>
      </c>
      <c r="G96" s="46"/>
    </row>
    <row r="97" spans="5:42" x14ac:dyDescent="0.25">
      <c r="E97" s="60"/>
      <c r="F97" s="111" t="s">
        <v>246</v>
      </c>
      <c r="G97" s="111" t="s">
        <v>206</v>
      </c>
      <c r="H97" s="90"/>
      <c r="I97" s="90"/>
      <c r="J97" s="112"/>
      <c r="K97" s="112"/>
      <c r="L97" s="435">
        <v>29.215108638158505</v>
      </c>
      <c r="M97" s="112"/>
      <c r="N97" s="435">
        <v>1727.1928127221925</v>
      </c>
      <c r="O97" s="112"/>
      <c r="P97" s="112"/>
      <c r="Q97" s="112"/>
      <c r="R97" s="112"/>
      <c r="S97" s="112"/>
      <c r="T97" s="112"/>
      <c r="U97" s="112"/>
      <c r="V97" s="112"/>
      <c r="W97" s="112"/>
      <c r="X97" s="112"/>
      <c r="Y97" s="112"/>
    </row>
    <row r="98" spans="5:42" x14ac:dyDescent="0.25">
      <c r="E98" s="60"/>
      <c r="F98" s="113" t="s">
        <v>247</v>
      </c>
      <c r="G98" s="113" t="s">
        <v>206</v>
      </c>
      <c r="J98" s="114"/>
      <c r="K98" s="114"/>
      <c r="L98" s="436">
        <v>102.9001902916247</v>
      </c>
      <c r="M98" s="114"/>
      <c r="N98" s="436">
        <v>5245.3026819919187</v>
      </c>
      <c r="O98" s="114"/>
      <c r="P98" s="114"/>
      <c r="Q98" s="114"/>
      <c r="R98" s="114"/>
      <c r="S98" s="114"/>
      <c r="T98" s="114"/>
      <c r="U98" s="114"/>
      <c r="V98" s="114"/>
      <c r="W98" s="114"/>
      <c r="X98" s="114"/>
      <c r="Y98" s="114"/>
    </row>
    <row r="99" spans="5:42" x14ac:dyDescent="0.25">
      <c r="E99" s="60"/>
      <c r="F99" s="113" t="s">
        <v>248</v>
      </c>
      <c r="G99" s="113" t="s">
        <v>206</v>
      </c>
      <c r="J99" s="114"/>
      <c r="K99" s="114"/>
      <c r="L99" s="436">
        <v>107.99850833341939</v>
      </c>
      <c r="M99" s="114"/>
      <c r="N99" s="436">
        <v>7189.1907032788822</v>
      </c>
      <c r="O99" s="114"/>
      <c r="P99" s="114"/>
      <c r="Q99" s="114"/>
      <c r="R99" s="114"/>
      <c r="S99" s="114"/>
      <c r="T99" s="114"/>
      <c r="U99" s="114"/>
      <c r="V99" s="114"/>
      <c r="W99" s="114"/>
      <c r="X99" s="114"/>
      <c r="Y99" s="114"/>
    </row>
    <row r="100" spans="5:42" x14ac:dyDescent="0.25">
      <c r="E100" s="60"/>
      <c r="F100" s="113" t="s">
        <v>211</v>
      </c>
      <c r="G100" s="113" t="s">
        <v>211</v>
      </c>
      <c r="J100" s="114"/>
      <c r="K100" s="114"/>
      <c r="L100" s="436">
        <v>28.849527410042406</v>
      </c>
      <c r="M100" s="114"/>
      <c r="N100" s="436">
        <v>85.89784101035184</v>
      </c>
      <c r="O100" s="114"/>
      <c r="P100" s="114"/>
      <c r="Q100" s="114"/>
      <c r="R100" s="114"/>
      <c r="S100" s="114"/>
      <c r="T100" s="114"/>
      <c r="U100" s="114"/>
      <c r="V100" s="114"/>
      <c r="W100" s="114"/>
      <c r="X100" s="114"/>
      <c r="Y100" s="114"/>
    </row>
    <row r="101" spans="5:42" x14ac:dyDescent="0.25">
      <c r="E101" s="60"/>
      <c r="F101" s="113" t="s">
        <v>249</v>
      </c>
      <c r="G101" s="113" t="s">
        <v>250</v>
      </c>
      <c r="J101" s="114"/>
      <c r="K101" s="114"/>
      <c r="L101" s="114"/>
      <c r="M101" s="114"/>
      <c r="N101" s="436">
        <v>11634</v>
      </c>
      <c r="O101" s="114"/>
      <c r="P101" s="114"/>
      <c r="Q101" s="114"/>
      <c r="R101" s="114"/>
      <c r="S101" s="114"/>
      <c r="T101" s="114"/>
      <c r="U101" s="114"/>
      <c r="V101" s="114"/>
      <c r="W101" s="114"/>
      <c r="X101" s="114"/>
      <c r="Y101" s="114"/>
    </row>
    <row r="102" spans="5:42" x14ac:dyDescent="0.25">
      <c r="E102" s="60"/>
      <c r="F102" s="113" t="s">
        <v>251</v>
      </c>
      <c r="G102" s="113" t="s">
        <v>250</v>
      </c>
      <c r="J102" s="114"/>
      <c r="K102" s="114"/>
      <c r="L102" s="114"/>
      <c r="M102" s="114"/>
      <c r="N102" s="436">
        <v>7.7287671232876711</v>
      </c>
      <c r="O102" s="114"/>
      <c r="P102" s="114"/>
      <c r="Q102" s="114"/>
      <c r="R102" s="114"/>
      <c r="S102" s="114"/>
      <c r="T102" s="114"/>
      <c r="U102" s="114"/>
      <c r="V102" s="114"/>
      <c r="W102" s="114"/>
      <c r="X102" s="114"/>
      <c r="Y102" s="114"/>
    </row>
    <row r="103" spans="5:42" x14ac:dyDescent="0.25">
      <c r="E103" s="60"/>
      <c r="F103" s="115" t="s">
        <v>252</v>
      </c>
      <c r="G103" s="115" t="s">
        <v>253</v>
      </c>
      <c r="H103" s="91"/>
      <c r="I103" s="91"/>
      <c r="J103" s="116"/>
      <c r="K103" s="116"/>
      <c r="L103" s="116"/>
      <c r="M103" s="116"/>
      <c r="N103" s="438">
        <v>700.91200000000003</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941</v>
      </c>
      <c r="G105" s="46"/>
    </row>
    <row r="106" spans="5:42" x14ac:dyDescent="0.25">
      <c r="E106" s="60"/>
      <c r="F106" s="111" t="s">
        <v>246</v>
      </c>
      <c r="G106" s="111" t="s">
        <v>206</v>
      </c>
      <c r="H106" s="90"/>
      <c r="I106" s="90"/>
      <c r="J106" s="112"/>
      <c r="K106" s="112"/>
      <c r="L106" s="435">
        <v>91.762725871827456</v>
      </c>
      <c r="M106" s="112"/>
      <c r="N106" s="435">
        <v>460.4606004382365</v>
      </c>
      <c r="O106" s="112"/>
      <c r="P106" s="112"/>
      <c r="Q106" s="112"/>
      <c r="R106" s="112"/>
      <c r="S106" s="112"/>
      <c r="T106" s="112"/>
      <c r="U106" s="112"/>
      <c r="V106" s="112"/>
      <c r="W106" s="112"/>
      <c r="X106" s="112"/>
      <c r="Y106" s="112"/>
    </row>
    <row r="107" spans="5:42" x14ac:dyDescent="0.25">
      <c r="E107" s="60"/>
      <c r="F107" s="113" t="s">
        <v>247</v>
      </c>
      <c r="G107" s="113" t="s">
        <v>206</v>
      </c>
      <c r="J107" s="114"/>
      <c r="K107" s="114"/>
      <c r="L107" s="436">
        <v>237.13289333311434</v>
      </c>
      <c r="M107" s="114"/>
      <c r="N107" s="436">
        <v>1349.1372950898653</v>
      </c>
      <c r="O107" s="114"/>
      <c r="P107" s="114"/>
      <c r="Q107" s="114"/>
      <c r="R107" s="114"/>
      <c r="S107" s="114"/>
      <c r="T107" s="114"/>
      <c r="U107" s="114"/>
      <c r="V107" s="114"/>
      <c r="W107" s="114"/>
      <c r="X107" s="114"/>
      <c r="Y107" s="114"/>
    </row>
    <row r="108" spans="5:42" x14ac:dyDescent="0.25">
      <c r="E108" s="60"/>
      <c r="F108" s="113" t="s">
        <v>248</v>
      </c>
      <c r="G108" s="113" t="s">
        <v>206</v>
      </c>
      <c r="J108" s="114"/>
      <c r="K108" s="114"/>
      <c r="L108" s="436">
        <v>237.02747694296784</v>
      </c>
      <c r="M108" s="114"/>
      <c r="N108" s="436">
        <v>1709.1473997616572</v>
      </c>
      <c r="O108" s="114"/>
      <c r="P108" s="114"/>
      <c r="Q108" s="114"/>
      <c r="R108" s="114"/>
      <c r="S108" s="114"/>
      <c r="T108" s="114"/>
      <c r="U108" s="114"/>
      <c r="V108" s="114"/>
      <c r="W108" s="114"/>
      <c r="X108" s="114"/>
      <c r="Y108" s="114"/>
    </row>
    <row r="109" spans="5:42" x14ac:dyDescent="0.25">
      <c r="E109" s="60"/>
      <c r="F109" s="113" t="s">
        <v>211</v>
      </c>
      <c r="G109" s="113" t="s">
        <v>211</v>
      </c>
      <c r="J109" s="114"/>
      <c r="K109" s="114"/>
      <c r="L109" s="436">
        <v>33.534864192425218</v>
      </c>
      <c r="M109" s="114"/>
      <c r="N109" s="436">
        <v>16.919271714160196</v>
      </c>
      <c r="O109" s="114"/>
      <c r="P109" s="114"/>
      <c r="Q109" s="114"/>
      <c r="R109" s="114"/>
      <c r="S109" s="114"/>
      <c r="T109" s="114"/>
      <c r="U109" s="114"/>
      <c r="V109" s="114"/>
      <c r="W109" s="114"/>
      <c r="X109" s="114"/>
      <c r="Y109" s="114"/>
    </row>
    <row r="110" spans="5:42" x14ac:dyDescent="0.25">
      <c r="E110" s="60"/>
      <c r="F110" s="113" t="s">
        <v>249</v>
      </c>
      <c r="G110" s="113" t="s">
        <v>250</v>
      </c>
      <c r="J110" s="114"/>
      <c r="K110" s="114"/>
      <c r="L110" s="114"/>
      <c r="M110" s="114"/>
      <c r="N110" s="436">
        <v>3665</v>
      </c>
      <c r="O110" s="114"/>
      <c r="P110" s="114"/>
      <c r="Q110" s="114"/>
      <c r="R110" s="114"/>
      <c r="S110" s="114"/>
      <c r="T110" s="114"/>
      <c r="U110" s="114"/>
      <c r="V110" s="114"/>
      <c r="W110" s="114"/>
      <c r="X110" s="114"/>
      <c r="Y110" s="114"/>
    </row>
    <row r="111" spans="5:42" x14ac:dyDescent="0.25">
      <c r="E111" s="60"/>
      <c r="F111" s="113" t="s">
        <v>251</v>
      </c>
      <c r="G111" s="113" t="s">
        <v>250</v>
      </c>
      <c r="J111" s="114"/>
      <c r="K111" s="114"/>
      <c r="L111" s="114"/>
      <c r="M111" s="114"/>
      <c r="N111" s="436">
        <v>0</v>
      </c>
      <c r="O111" s="114"/>
      <c r="P111" s="114"/>
      <c r="Q111" s="114"/>
      <c r="R111" s="114"/>
      <c r="S111" s="114"/>
      <c r="T111" s="114"/>
      <c r="U111" s="114"/>
      <c r="V111" s="114"/>
      <c r="W111" s="114"/>
      <c r="X111" s="114"/>
      <c r="Y111" s="114"/>
    </row>
    <row r="112" spans="5:42" x14ac:dyDescent="0.25">
      <c r="E112" s="60"/>
      <c r="F112" s="115" t="s">
        <v>252</v>
      </c>
      <c r="G112" s="115" t="s">
        <v>253</v>
      </c>
      <c r="H112" s="91"/>
      <c r="I112" s="91"/>
      <c r="J112" s="116"/>
      <c r="K112" s="116"/>
      <c r="L112" s="116"/>
      <c r="M112" s="116"/>
      <c r="N112" s="438">
        <v>246.82599999999999</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948</v>
      </c>
      <c r="G114" s="46"/>
      <c r="I114" t="s">
        <v>153</v>
      </c>
      <c r="AQ114" t="s">
        <v>245</v>
      </c>
    </row>
    <row r="115" spans="4:43" x14ac:dyDescent="0.25">
      <c r="G115" s="46"/>
    </row>
    <row r="116" spans="4:43" x14ac:dyDescent="0.25">
      <c r="E116" s="60" t="s">
        <v>902</v>
      </c>
      <c r="G116" s="46"/>
    </row>
    <row r="117" spans="4:43" x14ac:dyDescent="0.25">
      <c r="E117" s="60"/>
      <c r="F117" s="111" t="s">
        <v>246</v>
      </c>
      <c r="G117" s="111" t="s">
        <v>206</v>
      </c>
      <c r="H117" s="90"/>
      <c r="I117" s="90"/>
      <c r="J117" s="112"/>
      <c r="K117" s="435">
        <v>2.9178128836445221</v>
      </c>
      <c r="L117" s="435">
        <v>0</v>
      </c>
      <c r="M117" s="435">
        <v>3.3518113487766206</v>
      </c>
      <c r="N117" s="435">
        <v>0</v>
      </c>
      <c r="O117" s="435">
        <v>0</v>
      </c>
      <c r="P117" s="435">
        <v>0</v>
      </c>
      <c r="Q117" s="112"/>
      <c r="R117" s="435">
        <v>813.798</v>
      </c>
      <c r="S117" s="435">
        <v>8.0310000000000006</v>
      </c>
      <c r="T117" s="435">
        <v>19.936</v>
      </c>
      <c r="U117" s="112"/>
      <c r="V117" s="435">
        <v>29.873000000000001</v>
      </c>
      <c r="W117" s="112"/>
      <c r="X117" s="435">
        <v>185.017</v>
      </c>
      <c r="Y117" s="112"/>
    </row>
    <row r="118" spans="4:43" x14ac:dyDescent="0.25">
      <c r="E118" s="60"/>
      <c r="F118" s="113" t="s">
        <v>247</v>
      </c>
      <c r="G118" s="113" t="s">
        <v>206</v>
      </c>
      <c r="J118" s="114"/>
      <c r="K118" s="436">
        <v>37.585016423182644</v>
      </c>
      <c r="L118" s="436">
        <v>0</v>
      </c>
      <c r="M118" s="436">
        <v>12.030658885079809</v>
      </c>
      <c r="N118" s="436">
        <v>0</v>
      </c>
      <c r="O118" s="436">
        <v>0</v>
      </c>
      <c r="P118" s="436">
        <v>0</v>
      </c>
      <c r="Q118" s="114"/>
      <c r="R118" s="437">
        <v>3713.4470000000006</v>
      </c>
      <c r="S118" s="437">
        <v>28.257000000000001</v>
      </c>
      <c r="T118" s="436">
        <v>113.25500000000001</v>
      </c>
      <c r="U118" s="114"/>
      <c r="V118" s="436">
        <v>93.573000000000008</v>
      </c>
      <c r="W118" s="114"/>
      <c r="X118" s="436">
        <v>534.005</v>
      </c>
      <c r="Y118" s="114"/>
    </row>
    <row r="119" spans="4:43" x14ac:dyDescent="0.25">
      <c r="E119" s="60"/>
      <c r="F119" s="113" t="s">
        <v>248</v>
      </c>
      <c r="G119" s="113" t="s">
        <v>206</v>
      </c>
      <c r="J119" s="114"/>
      <c r="K119" s="436">
        <v>86.400026579674773</v>
      </c>
      <c r="L119" s="436">
        <v>0</v>
      </c>
      <c r="M119" s="436">
        <v>14.576916202439337</v>
      </c>
      <c r="N119" s="436">
        <v>0</v>
      </c>
      <c r="O119" s="436">
        <v>0</v>
      </c>
      <c r="P119" s="436">
        <v>0</v>
      </c>
      <c r="Q119" s="114"/>
      <c r="R119" s="437">
        <v>2195.2260000000001</v>
      </c>
      <c r="S119" s="437">
        <v>18.324999999999999</v>
      </c>
      <c r="T119" s="436">
        <v>68.24799999999999</v>
      </c>
      <c r="U119" s="114"/>
      <c r="V119" s="436">
        <v>105.008</v>
      </c>
      <c r="W119" s="114"/>
      <c r="X119" s="436">
        <v>839.64599999999996</v>
      </c>
      <c r="Y119" s="114"/>
    </row>
    <row r="120" spans="4:43" x14ac:dyDescent="0.25">
      <c r="E120" s="60"/>
      <c r="F120" s="113" t="s">
        <v>211</v>
      </c>
      <c r="G120" s="113" t="s">
        <v>211</v>
      </c>
      <c r="J120" s="114"/>
      <c r="K120" s="436">
        <v>145.76603322968793</v>
      </c>
      <c r="L120" s="436">
        <v>0</v>
      </c>
      <c r="M120" s="436">
        <v>1.301482439550784</v>
      </c>
      <c r="N120" s="436">
        <v>0</v>
      </c>
      <c r="O120" s="436">
        <v>0</v>
      </c>
      <c r="P120" s="436">
        <v>0</v>
      </c>
      <c r="Q120" s="114"/>
      <c r="R120" s="436">
        <v>541.53333333333342</v>
      </c>
      <c r="S120" s="436">
        <v>2</v>
      </c>
      <c r="T120" s="436">
        <v>11</v>
      </c>
      <c r="U120" s="114"/>
      <c r="V120" s="436">
        <v>3</v>
      </c>
      <c r="W120" s="114"/>
      <c r="X120" s="436">
        <v>4</v>
      </c>
      <c r="Y120" s="114"/>
    </row>
    <row r="121" spans="4:43" x14ac:dyDescent="0.25">
      <c r="E121" s="60"/>
      <c r="F121" s="113" t="s">
        <v>249</v>
      </c>
      <c r="G121" s="113" t="s">
        <v>250</v>
      </c>
      <c r="J121" s="114"/>
      <c r="K121" s="114"/>
      <c r="L121" s="114"/>
      <c r="M121" s="114"/>
      <c r="N121" s="436">
        <v>0</v>
      </c>
      <c r="O121" s="436">
        <v>0</v>
      </c>
      <c r="P121" s="436">
        <v>0</v>
      </c>
      <c r="Q121" s="114"/>
      <c r="R121" s="114"/>
      <c r="S121" s="114"/>
      <c r="T121" s="114"/>
      <c r="U121" s="114"/>
      <c r="V121" s="114"/>
      <c r="W121" s="114"/>
      <c r="X121" s="114"/>
      <c r="Y121" s="114"/>
    </row>
    <row r="122" spans="4:43" x14ac:dyDescent="0.25">
      <c r="E122" s="60"/>
      <c r="F122" s="113" t="s">
        <v>251</v>
      </c>
      <c r="G122" s="113" t="s">
        <v>250</v>
      </c>
      <c r="J122" s="114"/>
      <c r="K122" s="114"/>
      <c r="L122" s="114"/>
      <c r="M122" s="114"/>
      <c r="N122" s="436">
        <v>0</v>
      </c>
      <c r="O122" s="436">
        <v>0</v>
      </c>
      <c r="P122" s="436">
        <v>0</v>
      </c>
      <c r="Q122" s="114"/>
      <c r="R122" s="114"/>
      <c r="S122" s="114"/>
      <c r="T122" s="114"/>
      <c r="U122" s="114"/>
      <c r="V122" s="114"/>
      <c r="W122" s="114"/>
      <c r="X122" s="114"/>
      <c r="Y122" s="114"/>
    </row>
    <row r="123" spans="4:43" x14ac:dyDescent="0.25">
      <c r="E123" s="60"/>
      <c r="F123" s="115" t="s">
        <v>252</v>
      </c>
      <c r="G123" s="115" t="s">
        <v>253</v>
      </c>
      <c r="H123" s="91"/>
      <c r="I123" s="91"/>
      <c r="J123" s="116"/>
      <c r="K123" s="116"/>
      <c r="L123" s="116"/>
      <c r="M123" s="116"/>
      <c r="N123" s="438">
        <v>0</v>
      </c>
      <c r="O123" s="438">
        <v>0</v>
      </c>
      <c r="P123" s="438">
        <v>0</v>
      </c>
      <c r="Q123" s="116"/>
      <c r="R123" s="116"/>
      <c r="S123" s="116"/>
      <c r="T123" s="438">
        <v>35.960999999999999</v>
      </c>
      <c r="U123" s="116"/>
      <c r="V123" s="438">
        <v>166.20500000000001</v>
      </c>
      <c r="W123" s="116"/>
      <c r="X123" s="438">
        <v>206.58199999999999</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942</v>
      </c>
      <c r="G125" s="46"/>
    </row>
    <row r="126" spans="4:43" x14ac:dyDescent="0.25">
      <c r="E126" s="60"/>
      <c r="F126" s="111" t="s">
        <v>246</v>
      </c>
      <c r="G126" s="111" t="s">
        <v>206</v>
      </c>
      <c r="H126" s="90"/>
      <c r="I126" s="90"/>
      <c r="J126" s="435">
        <v>26180.287942014904</v>
      </c>
      <c r="K126" s="112"/>
      <c r="L126" s="435">
        <v>1316.8456250784016</v>
      </c>
      <c r="M126" s="112"/>
      <c r="N126" s="435">
        <v>1355.3769337394358</v>
      </c>
      <c r="O126" s="435">
        <v>218.33066625405175</v>
      </c>
      <c r="P126" s="435">
        <v>464.40461153746105</v>
      </c>
      <c r="Q126" s="435">
        <v>20.318312455183225</v>
      </c>
      <c r="R126" s="112"/>
      <c r="S126" s="112"/>
      <c r="T126" s="112"/>
      <c r="U126" s="112"/>
      <c r="V126" s="112"/>
      <c r="W126" s="112"/>
      <c r="X126" s="112"/>
      <c r="Y126" s="112"/>
    </row>
    <row r="127" spans="4:43" x14ac:dyDescent="0.25">
      <c r="E127" s="60"/>
      <c r="F127" s="113" t="s">
        <v>247</v>
      </c>
      <c r="G127" s="113" t="s">
        <v>206</v>
      </c>
      <c r="J127" s="436">
        <v>64430.8985274808</v>
      </c>
      <c r="K127" s="114"/>
      <c r="L127" s="436">
        <v>4740.8905524957208</v>
      </c>
      <c r="M127" s="121"/>
      <c r="N127" s="436">
        <v>4058.2936454062669</v>
      </c>
      <c r="O127" s="436">
        <v>824.38904108130316</v>
      </c>
      <c r="P127" s="436">
        <v>1494.6274486993891</v>
      </c>
      <c r="Q127" s="437">
        <v>191.74568924558483</v>
      </c>
      <c r="R127" s="114"/>
      <c r="S127" s="114"/>
      <c r="T127" s="114"/>
      <c r="U127" s="114"/>
      <c r="V127" s="114"/>
      <c r="W127" s="114"/>
      <c r="X127" s="114"/>
      <c r="Y127" s="114"/>
    </row>
    <row r="128" spans="4:43" x14ac:dyDescent="0.25">
      <c r="E128" s="60"/>
      <c r="F128" s="113" t="s">
        <v>248</v>
      </c>
      <c r="G128" s="113" t="s">
        <v>206</v>
      </c>
      <c r="J128" s="436">
        <v>93183.244893325929</v>
      </c>
      <c r="K128" s="114"/>
      <c r="L128" s="436">
        <v>5020.3715681761723</v>
      </c>
      <c r="M128" s="121"/>
      <c r="N128" s="436">
        <v>5473.1342243402678</v>
      </c>
      <c r="O128" s="436">
        <v>944.34441610643944</v>
      </c>
      <c r="P128" s="436">
        <v>2630.9626544242637</v>
      </c>
      <c r="Q128" s="437">
        <v>299.78858933193914</v>
      </c>
      <c r="R128" s="114"/>
      <c r="S128" s="114"/>
      <c r="T128" s="114"/>
      <c r="U128" s="114"/>
      <c r="V128" s="114"/>
      <c r="W128" s="114"/>
      <c r="X128" s="114"/>
      <c r="Y128" s="114"/>
    </row>
    <row r="129" spans="5:42" x14ac:dyDescent="0.25">
      <c r="E129" s="60"/>
      <c r="F129" s="113" t="s">
        <v>211</v>
      </c>
      <c r="G129" s="113" t="s">
        <v>211</v>
      </c>
      <c r="J129" s="436">
        <v>69159.345207045189</v>
      </c>
      <c r="K129" s="114"/>
      <c r="L129" s="436">
        <v>1105.2188876665264</v>
      </c>
      <c r="M129" s="121"/>
      <c r="N129" s="436">
        <v>122.33934931777377</v>
      </c>
      <c r="O129" s="436">
        <v>2.602964879101568</v>
      </c>
      <c r="P129" s="436">
        <v>9.1103770768554959</v>
      </c>
      <c r="Q129" s="436">
        <v>243.37721619599679</v>
      </c>
      <c r="R129" s="114"/>
      <c r="S129" s="114"/>
      <c r="T129" s="114"/>
      <c r="U129" s="114"/>
      <c r="V129" s="114"/>
      <c r="W129" s="114"/>
      <c r="X129" s="114"/>
      <c r="Y129" s="114"/>
    </row>
    <row r="130" spans="5:42" x14ac:dyDescent="0.25">
      <c r="E130" s="60"/>
      <c r="F130" s="113" t="s">
        <v>249</v>
      </c>
      <c r="G130" s="113" t="s">
        <v>250</v>
      </c>
      <c r="J130" s="114"/>
      <c r="K130" s="114"/>
      <c r="L130" s="114"/>
      <c r="M130" s="121"/>
      <c r="N130" s="436">
        <v>7581</v>
      </c>
      <c r="O130" s="436">
        <v>375</v>
      </c>
      <c r="P130" s="436">
        <v>1859</v>
      </c>
      <c r="Q130" s="114"/>
      <c r="R130" s="114"/>
      <c r="S130" s="114"/>
      <c r="T130" s="114"/>
      <c r="U130" s="114"/>
      <c r="V130" s="114"/>
      <c r="W130" s="114"/>
      <c r="X130" s="114"/>
      <c r="Y130" s="114"/>
    </row>
    <row r="131" spans="5:42" x14ac:dyDescent="0.25">
      <c r="E131" s="60"/>
      <c r="F131" s="113" t="s">
        <v>251</v>
      </c>
      <c r="G131" s="113" t="s">
        <v>250</v>
      </c>
      <c r="J131" s="114"/>
      <c r="K131" s="114"/>
      <c r="L131" s="114"/>
      <c r="M131" s="121"/>
      <c r="N131" s="436">
        <v>6.4109589041095889</v>
      </c>
      <c r="O131" s="436">
        <v>0</v>
      </c>
      <c r="P131" s="436">
        <v>0</v>
      </c>
      <c r="Q131" s="114"/>
      <c r="R131" s="114"/>
      <c r="S131" s="114"/>
      <c r="T131" s="114"/>
      <c r="U131" s="114"/>
      <c r="V131" s="114"/>
      <c r="W131" s="114"/>
      <c r="X131" s="114"/>
      <c r="Y131" s="114"/>
    </row>
    <row r="132" spans="5:42" x14ac:dyDescent="0.25">
      <c r="E132" s="60"/>
      <c r="F132" s="115" t="s">
        <v>252</v>
      </c>
      <c r="G132" s="115" t="s">
        <v>253</v>
      </c>
      <c r="H132" s="91"/>
      <c r="I132" s="91"/>
      <c r="J132" s="116"/>
      <c r="K132" s="116"/>
      <c r="L132" s="116"/>
      <c r="M132" s="116"/>
      <c r="N132" s="438">
        <v>528.8993999999999</v>
      </c>
      <c r="O132" s="438">
        <v>81.244</v>
      </c>
      <c r="P132" s="438">
        <v>57.902000000000001</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943</v>
      </c>
      <c r="G134" s="46"/>
    </row>
    <row r="135" spans="5:42" x14ac:dyDescent="0.25">
      <c r="E135" s="60"/>
      <c r="F135" s="111" t="s">
        <v>246</v>
      </c>
      <c r="G135" s="111" t="s">
        <v>206</v>
      </c>
      <c r="H135" s="90"/>
      <c r="I135" s="90"/>
      <c r="J135" s="112"/>
      <c r="K135" s="112"/>
      <c r="L135" s="435">
        <v>22.172002937862541</v>
      </c>
      <c r="M135" s="112"/>
      <c r="N135" s="435">
        <v>4327.0753516381792</v>
      </c>
      <c r="O135" s="435">
        <v>77.628125207527304</v>
      </c>
      <c r="P135" s="435">
        <v>1177.3266004560255</v>
      </c>
      <c r="Q135" s="112"/>
      <c r="R135" s="112"/>
      <c r="S135" s="112"/>
      <c r="T135" s="112"/>
      <c r="U135" s="112"/>
      <c r="V135" s="112"/>
      <c r="W135" s="112"/>
      <c r="X135" s="112"/>
      <c r="Y135" s="112"/>
    </row>
    <row r="136" spans="5:42" x14ac:dyDescent="0.25">
      <c r="E136" s="60"/>
      <c r="F136" s="113" t="s">
        <v>247</v>
      </c>
      <c r="G136" s="113" t="s">
        <v>206</v>
      </c>
      <c r="J136" s="114"/>
      <c r="K136" s="114"/>
      <c r="L136" s="439">
        <v>82.98402930365171</v>
      </c>
      <c r="M136" s="114"/>
      <c r="N136" s="436">
        <v>13322.915787407239</v>
      </c>
      <c r="O136" s="436">
        <v>439.13024212695842</v>
      </c>
      <c r="P136" s="436">
        <v>4009.9926476218538</v>
      </c>
      <c r="Q136" s="114"/>
      <c r="R136" s="114"/>
      <c r="S136" s="114"/>
      <c r="T136" s="114"/>
      <c r="U136" s="114"/>
      <c r="V136" s="114"/>
      <c r="W136" s="114"/>
      <c r="X136" s="114"/>
      <c r="Y136" s="114"/>
    </row>
    <row r="137" spans="5:42" x14ac:dyDescent="0.25">
      <c r="E137" s="60"/>
      <c r="F137" s="113" t="s">
        <v>248</v>
      </c>
      <c r="G137" s="113" t="s">
        <v>206</v>
      </c>
      <c r="J137" s="114"/>
      <c r="K137" s="114"/>
      <c r="L137" s="439">
        <v>82.401682231027394</v>
      </c>
      <c r="M137" s="114"/>
      <c r="N137" s="436">
        <v>17468.033583326061</v>
      </c>
      <c r="O137" s="436">
        <v>278.20663555320618</v>
      </c>
      <c r="P137" s="436">
        <v>4217.2762956844263</v>
      </c>
      <c r="Q137" s="114"/>
      <c r="R137" s="114"/>
      <c r="S137" s="114"/>
      <c r="T137" s="114"/>
      <c r="U137" s="114"/>
      <c r="V137" s="114"/>
      <c r="W137" s="114"/>
      <c r="X137" s="114"/>
      <c r="Y137" s="114"/>
    </row>
    <row r="138" spans="5:42" x14ac:dyDescent="0.25">
      <c r="E138" s="60"/>
      <c r="F138" s="113" t="s">
        <v>211</v>
      </c>
      <c r="G138" s="113" t="s">
        <v>211</v>
      </c>
      <c r="J138" s="114"/>
      <c r="K138" s="114"/>
      <c r="L138" s="436">
        <v>48.154850263379018</v>
      </c>
      <c r="M138" s="114"/>
      <c r="N138" s="436">
        <v>212.14163764677789</v>
      </c>
      <c r="O138" s="436">
        <v>2.602964879101568</v>
      </c>
      <c r="P138" s="436">
        <v>11.713341955957061</v>
      </c>
      <c r="Q138" s="114"/>
      <c r="R138" s="114"/>
      <c r="S138" s="114"/>
      <c r="T138" s="114"/>
      <c r="U138" s="114"/>
      <c r="V138" s="114"/>
      <c r="W138" s="114"/>
      <c r="X138" s="114"/>
      <c r="Y138" s="114"/>
    </row>
    <row r="139" spans="5:42" x14ac:dyDescent="0.25">
      <c r="E139" s="60"/>
      <c r="F139" s="113" t="s">
        <v>249</v>
      </c>
      <c r="G139" s="113" t="s">
        <v>250</v>
      </c>
      <c r="J139" s="114"/>
      <c r="K139" s="114"/>
      <c r="L139" s="114"/>
      <c r="M139" s="114"/>
      <c r="N139" s="436">
        <v>25551</v>
      </c>
      <c r="O139" s="436">
        <v>200</v>
      </c>
      <c r="P139" s="436">
        <v>7023</v>
      </c>
      <c r="Q139" s="114"/>
      <c r="R139" s="114"/>
      <c r="S139" s="114"/>
      <c r="T139" s="114"/>
      <c r="U139" s="114"/>
      <c r="V139" s="114"/>
      <c r="W139" s="114"/>
      <c r="X139" s="114"/>
      <c r="Y139" s="114"/>
    </row>
    <row r="140" spans="5:42" x14ac:dyDescent="0.25">
      <c r="E140" s="60"/>
      <c r="F140" s="113" t="s">
        <v>251</v>
      </c>
      <c r="G140" s="113" t="s">
        <v>250</v>
      </c>
      <c r="J140" s="114"/>
      <c r="K140" s="114"/>
      <c r="L140" s="114"/>
      <c r="M140" s="114"/>
      <c r="N140" s="436">
        <v>0</v>
      </c>
      <c r="O140" s="436">
        <v>123.18082191780822</v>
      </c>
      <c r="P140" s="436">
        <v>0</v>
      </c>
      <c r="Q140" s="114"/>
      <c r="R140" s="114"/>
      <c r="S140" s="114"/>
      <c r="T140" s="114"/>
      <c r="U140" s="114"/>
      <c r="V140" s="114"/>
      <c r="W140" s="114"/>
      <c r="X140" s="114"/>
      <c r="Y140" s="114"/>
    </row>
    <row r="141" spans="5:42" x14ac:dyDescent="0.25">
      <c r="E141" s="60"/>
      <c r="F141" s="115" t="s">
        <v>252</v>
      </c>
      <c r="G141" s="115" t="s">
        <v>253</v>
      </c>
      <c r="H141" s="91"/>
      <c r="I141" s="91"/>
      <c r="J141" s="116"/>
      <c r="K141" s="116"/>
      <c r="L141" s="116"/>
      <c r="M141" s="116"/>
      <c r="N141" s="438">
        <v>1529.115</v>
      </c>
      <c r="O141" s="438">
        <v>25.257000000000001</v>
      </c>
      <c r="P141" s="438">
        <v>122.77500000000001</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944</v>
      </c>
      <c r="G143" s="46"/>
    </row>
    <row r="144" spans="5:42" x14ac:dyDescent="0.25">
      <c r="E144" s="60"/>
      <c r="F144" s="111" t="s">
        <v>246</v>
      </c>
      <c r="G144" s="111" t="s">
        <v>206</v>
      </c>
      <c r="H144" s="90"/>
      <c r="I144" s="90"/>
      <c r="J144" s="112"/>
      <c r="K144" s="112"/>
      <c r="L144" s="435">
        <v>127.2705460969017</v>
      </c>
      <c r="M144" s="112"/>
      <c r="N144" s="435">
        <v>1729.2185644388328</v>
      </c>
      <c r="O144" s="435">
        <v>92.922440863967267</v>
      </c>
      <c r="P144" s="435">
        <v>3998.6130889209239</v>
      </c>
      <c r="Q144" s="112"/>
      <c r="R144" s="112"/>
      <c r="S144" s="112"/>
      <c r="T144" s="112"/>
      <c r="U144" s="112"/>
      <c r="V144" s="112"/>
      <c r="W144" s="112"/>
      <c r="X144" s="112"/>
      <c r="Y144" s="112"/>
    </row>
    <row r="145" spans="5:42" x14ac:dyDescent="0.25">
      <c r="E145" s="60"/>
      <c r="F145" s="113" t="s">
        <v>247</v>
      </c>
      <c r="G145" s="113" t="s">
        <v>206</v>
      </c>
      <c r="J145" s="114"/>
      <c r="K145" s="114"/>
      <c r="L145" s="436">
        <v>459.62371139280577</v>
      </c>
      <c r="M145" s="114"/>
      <c r="N145" s="436">
        <v>5770.4980953606073</v>
      </c>
      <c r="O145" s="436">
        <v>300.09617062474786</v>
      </c>
      <c r="P145" s="436">
        <v>13221.923356245488</v>
      </c>
      <c r="Q145" s="114"/>
      <c r="R145" s="114"/>
      <c r="S145" s="114"/>
      <c r="T145" s="114"/>
      <c r="U145" s="114"/>
      <c r="V145" s="114"/>
      <c r="W145" s="114"/>
      <c r="X145" s="114"/>
      <c r="Y145" s="114"/>
    </row>
    <row r="146" spans="5:42" x14ac:dyDescent="0.25">
      <c r="E146" s="60"/>
      <c r="F146" s="113" t="s">
        <v>248</v>
      </c>
      <c r="G146" s="113" t="s">
        <v>206</v>
      </c>
      <c r="J146" s="114"/>
      <c r="K146" s="114"/>
      <c r="L146" s="436">
        <v>466.17927796079323</v>
      </c>
      <c r="M146" s="114"/>
      <c r="N146" s="436">
        <v>5958.384879216831</v>
      </c>
      <c r="O146" s="436">
        <v>438.97240525780006</v>
      </c>
      <c r="P146" s="436">
        <v>17654.082138721071</v>
      </c>
      <c r="Q146" s="114"/>
      <c r="R146" s="114"/>
      <c r="S146" s="114"/>
      <c r="T146" s="114"/>
      <c r="U146" s="114"/>
      <c r="V146" s="114"/>
      <c r="W146" s="114"/>
      <c r="X146" s="114"/>
      <c r="Y146" s="114"/>
    </row>
    <row r="147" spans="5:42" x14ac:dyDescent="0.25">
      <c r="E147" s="60"/>
      <c r="F147" s="113" t="s">
        <v>211</v>
      </c>
      <c r="G147" s="113" t="s">
        <v>211</v>
      </c>
      <c r="J147" s="114"/>
      <c r="K147" s="114"/>
      <c r="L147" s="436">
        <v>125.11584518881543</v>
      </c>
      <c r="M147" s="114"/>
      <c r="N147" s="436">
        <v>96.309700526758036</v>
      </c>
      <c r="O147" s="436">
        <v>3.9044473186523536</v>
      </c>
      <c r="P147" s="436">
        <v>14.316306835058628</v>
      </c>
      <c r="Q147" s="114"/>
      <c r="R147" s="114"/>
      <c r="S147" s="114"/>
      <c r="T147" s="114"/>
      <c r="U147" s="114"/>
      <c r="V147" s="114"/>
      <c r="W147" s="114"/>
      <c r="X147" s="114"/>
      <c r="Y147" s="114"/>
    </row>
    <row r="148" spans="5:42" x14ac:dyDescent="0.25">
      <c r="E148" s="60"/>
      <c r="F148" s="113" t="s">
        <v>249</v>
      </c>
      <c r="G148" s="113" t="s">
        <v>250</v>
      </c>
      <c r="J148" s="114"/>
      <c r="K148" s="114"/>
      <c r="L148" s="114"/>
      <c r="M148" s="114"/>
      <c r="N148" s="436">
        <v>12453</v>
      </c>
      <c r="O148" s="436">
        <v>1342</v>
      </c>
      <c r="P148" s="436">
        <v>17263</v>
      </c>
      <c r="Q148" s="114"/>
      <c r="R148" s="114"/>
      <c r="S148" s="114"/>
      <c r="T148" s="114"/>
      <c r="U148" s="114"/>
      <c r="V148" s="114"/>
      <c r="W148" s="114"/>
      <c r="X148" s="114"/>
      <c r="Y148" s="114"/>
    </row>
    <row r="149" spans="5:42" x14ac:dyDescent="0.25">
      <c r="E149" s="60"/>
      <c r="F149" s="113" t="s">
        <v>251</v>
      </c>
      <c r="G149" s="113" t="s">
        <v>250</v>
      </c>
      <c r="J149" s="114"/>
      <c r="K149" s="114"/>
      <c r="L149" s="114"/>
      <c r="M149" s="114"/>
      <c r="N149" s="436">
        <v>0</v>
      </c>
      <c r="O149" s="436">
        <v>0</v>
      </c>
      <c r="P149" s="436">
        <v>0</v>
      </c>
      <c r="Q149" s="114"/>
      <c r="R149" s="114"/>
      <c r="S149" s="114"/>
      <c r="T149" s="114"/>
      <c r="U149" s="114"/>
      <c r="V149" s="114"/>
      <c r="W149" s="114"/>
      <c r="X149" s="114"/>
      <c r="Y149" s="114"/>
    </row>
    <row r="150" spans="5:42" x14ac:dyDescent="0.25">
      <c r="E150" s="60"/>
      <c r="F150" s="115" t="s">
        <v>252</v>
      </c>
      <c r="G150" s="115" t="s">
        <v>253</v>
      </c>
      <c r="H150" s="91"/>
      <c r="I150" s="91"/>
      <c r="J150" s="116"/>
      <c r="K150" s="116"/>
      <c r="L150" s="116"/>
      <c r="M150" s="116"/>
      <c r="N150" s="438">
        <v>519.25900000000001</v>
      </c>
      <c r="O150" s="438">
        <v>13.010999999999999</v>
      </c>
      <c r="P150" s="438">
        <v>575.66499999999996</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945</v>
      </c>
      <c r="G152" s="46"/>
    </row>
    <row r="153" spans="5:42" x14ac:dyDescent="0.25">
      <c r="E153" s="60"/>
      <c r="F153" s="111" t="s">
        <v>246</v>
      </c>
      <c r="G153" s="111" t="s">
        <v>206</v>
      </c>
      <c r="H153" s="90"/>
      <c r="I153" s="90"/>
      <c r="J153" s="112"/>
      <c r="K153" s="112"/>
      <c r="L153" s="435">
        <v>94.178767375879119</v>
      </c>
      <c r="M153" s="112"/>
      <c r="N153" s="435">
        <v>10277.690919008639</v>
      </c>
      <c r="O153" s="435">
        <v>4906.7742013658253</v>
      </c>
      <c r="P153" s="435">
        <v>8731.4520134894938</v>
      </c>
      <c r="Q153" s="112"/>
      <c r="R153" s="112"/>
      <c r="S153" s="112"/>
      <c r="T153" s="112"/>
      <c r="U153" s="112"/>
      <c r="V153" s="112"/>
      <c r="W153" s="112"/>
      <c r="X153" s="112"/>
      <c r="Y153" s="112"/>
    </row>
    <row r="154" spans="5:42" x14ac:dyDescent="0.25">
      <c r="E154" s="60"/>
      <c r="F154" s="113" t="s">
        <v>247</v>
      </c>
      <c r="G154" s="113" t="s">
        <v>206</v>
      </c>
      <c r="J154" s="114"/>
      <c r="K154" s="114"/>
      <c r="L154" s="436">
        <v>337.10782339568618</v>
      </c>
      <c r="M154" s="114"/>
      <c r="N154" s="436">
        <v>35396.045560490798</v>
      </c>
      <c r="O154" s="436">
        <v>16393.219432110294</v>
      </c>
      <c r="P154" s="436">
        <v>27222.186648607254</v>
      </c>
      <c r="Q154" s="114"/>
      <c r="R154" s="114"/>
      <c r="S154" s="114"/>
      <c r="T154" s="114"/>
      <c r="U154" s="114"/>
      <c r="V154" s="114"/>
      <c r="W154" s="114"/>
      <c r="X154" s="114"/>
      <c r="Y154" s="114"/>
    </row>
    <row r="155" spans="5:42" x14ac:dyDescent="0.25">
      <c r="E155" s="60"/>
      <c r="F155" s="113" t="s">
        <v>248</v>
      </c>
      <c r="G155" s="113" t="s">
        <v>206</v>
      </c>
      <c r="J155" s="114"/>
      <c r="K155" s="114"/>
      <c r="L155" s="436">
        <v>354.81085578143637</v>
      </c>
      <c r="M155" s="114"/>
      <c r="N155" s="436">
        <v>40588.499905114419</v>
      </c>
      <c r="O155" s="436">
        <v>18921.687660404932</v>
      </c>
      <c r="P155" s="436">
        <v>44303.078921377855</v>
      </c>
      <c r="Q155" s="114"/>
      <c r="R155" s="114"/>
      <c r="S155" s="114"/>
      <c r="T155" s="114"/>
      <c r="U155" s="114"/>
      <c r="V155" s="114"/>
      <c r="W155" s="114"/>
      <c r="X155" s="114"/>
      <c r="Y155" s="114"/>
    </row>
    <row r="156" spans="5:42" x14ac:dyDescent="0.25">
      <c r="E156" s="60"/>
      <c r="F156" s="113" t="s">
        <v>211</v>
      </c>
      <c r="G156" s="113" t="s">
        <v>211</v>
      </c>
      <c r="J156" s="114"/>
      <c r="K156" s="114"/>
      <c r="L156" s="436">
        <v>41.647438065625089</v>
      </c>
      <c r="M156" s="114"/>
      <c r="N156" s="436">
        <v>242.07573375644597</v>
      </c>
      <c r="O156" s="436">
        <v>67.677086856640784</v>
      </c>
      <c r="P156" s="436">
        <v>15.617789274609414</v>
      </c>
      <c r="Q156" s="114"/>
      <c r="R156" s="114"/>
      <c r="S156" s="114"/>
      <c r="T156" s="114"/>
      <c r="U156" s="114"/>
      <c r="V156" s="114"/>
      <c r="W156" s="114"/>
      <c r="X156" s="114"/>
      <c r="Y156" s="114"/>
    </row>
    <row r="157" spans="5:42" x14ac:dyDescent="0.25">
      <c r="E157" s="60"/>
      <c r="F157" s="113" t="s">
        <v>249</v>
      </c>
      <c r="G157" s="113" t="s">
        <v>250</v>
      </c>
      <c r="J157" s="114"/>
      <c r="K157" s="114"/>
      <c r="L157" s="114"/>
      <c r="M157" s="114"/>
      <c r="N157" s="436">
        <v>105163</v>
      </c>
      <c r="O157" s="436">
        <v>34514</v>
      </c>
      <c r="P157" s="436">
        <v>45505</v>
      </c>
      <c r="Q157" s="114"/>
      <c r="R157" s="114"/>
      <c r="S157" s="114"/>
      <c r="T157" s="114"/>
      <c r="U157" s="114"/>
      <c r="V157" s="114"/>
      <c r="W157" s="114"/>
      <c r="X157" s="114"/>
      <c r="Y157" s="114"/>
    </row>
    <row r="158" spans="5:42" x14ac:dyDescent="0.25">
      <c r="E158" s="60"/>
      <c r="F158" s="113" t="s">
        <v>251</v>
      </c>
      <c r="G158" s="113" t="s">
        <v>250</v>
      </c>
      <c r="J158" s="114"/>
      <c r="K158" s="114"/>
      <c r="L158" s="114"/>
      <c r="M158" s="114"/>
      <c r="N158" s="436">
        <v>15.032876712328767</v>
      </c>
      <c r="O158" s="436">
        <v>0</v>
      </c>
      <c r="P158" s="436">
        <v>55.715068493150682</v>
      </c>
      <c r="Q158" s="114"/>
      <c r="R158" s="114"/>
      <c r="S158" s="114"/>
      <c r="T158" s="114"/>
      <c r="U158" s="114"/>
      <c r="V158" s="114"/>
      <c r="W158" s="114"/>
      <c r="X158" s="114"/>
      <c r="Y158" s="114"/>
    </row>
    <row r="159" spans="5:42" x14ac:dyDescent="0.25">
      <c r="E159" s="60"/>
      <c r="F159" s="115" t="s">
        <v>252</v>
      </c>
      <c r="G159" s="115" t="s">
        <v>253</v>
      </c>
      <c r="H159" s="91"/>
      <c r="I159" s="91"/>
      <c r="J159" s="116"/>
      <c r="K159" s="116"/>
      <c r="L159" s="116"/>
      <c r="M159" s="116"/>
      <c r="N159" s="438">
        <v>6146.74</v>
      </c>
      <c r="O159" s="438">
        <v>2521.4229999999998</v>
      </c>
      <c r="P159" s="438">
        <v>8944.7510000000002</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E161" s="60" t="s">
        <v>881</v>
      </c>
      <c r="G161" s="46" t="s">
        <v>211</v>
      </c>
      <c r="I161" t="s">
        <v>153</v>
      </c>
      <c r="J161" s="440">
        <v>2193.9089483507587</v>
      </c>
      <c r="K161" s="440">
        <v>0</v>
      </c>
      <c r="L161" s="440">
        <v>0</v>
      </c>
      <c r="M161" s="440">
        <v>0</v>
      </c>
      <c r="N161" s="440">
        <v>6.5074121977539221</v>
      </c>
      <c r="O161" s="440">
        <v>0</v>
      </c>
      <c r="P161" s="440">
        <v>7.808894637304709</v>
      </c>
      <c r="Q161" s="440">
        <v>0</v>
      </c>
      <c r="R161" s="440">
        <v>0</v>
      </c>
      <c r="S161" s="440">
        <v>0</v>
      </c>
      <c r="T161" s="440">
        <v>0</v>
      </c>
      <c r="U161" s="440">
        <v>0</v>
      </c>
      <c r="V161" s="440">
        <v>0</v>
      </c>
      <c r="W161" s="440">
        <v>0</v>
      </c>
      <c r="X161" s="440">
        <v>0</v>
      </c>
      <c r="Y161" s="440">
        <v>0</v>
      </c>
      <c r="AQ161" t="s">
        <v>897</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1116</v>
      </c>
      <c r="G165" s="46"/>
      <c r="I165" t="s">
        <v>153</v>
      </c>
      <c r="AQ165" t="s">
        <v>1128</v>
      </c>
    </row>
    <row r="166" spans="3:43" x14ac:dyDescent="0.25">
      <c r="D166" s="71" t="s">
        <v>1117</v>
      </c>
      <c r="G166" s="46"/>
    </row>
    <row r="167" spans="3:43" x14ac:dyDescent="0.25">
      <c r="G167" s="46"/>
    </row>
    <row r="168" spans="3:43" x14ac:dyDescent="0.25">
      <c r="E168" s="60" t="s">
        <v>977</v>
      </c>
      <c r="G168" s="46"/>
      <c r="J168" s="110" t="s">
        <v>968</v>
      </c>
      <c r="K168" s="110" t="s">
        <v>973</v>
      </c>
      <c r="L168" s="110" t="s">
        <v>974</v>
      </c>
      <c r="M168" s="110" t="s">
        <v>975</v>
      </c>
      <c r="N168" s="110" t="s">
        <v>976</v>
      </c>
    </row>
    <row r="169" spans="3:43" x14ac:dyDescent="0.25">
      <c r="E169" s="60"/>
      <c r="F169" s="111" t="s">
        <v>246</v>
      </c>
      <c r="G169" s="111" t="s">
        <v>166</v>
      </c>
      <c r="H169" s="123"/>
      <c r="I169" s="90"/>
      <c r="J169" s="441">
        <v>0</v>
      </c>
      <c r="K169" s="441">
        <v>6.9000000000000006E-2</v>
      </c>
      <c r="L169" s="441">
        <v>0.17</v>
      </c>
      <c r="M169" s="441">
        <v>0.192</v>
      </c>
      <c r="N169" s="441">
        <v>0.56899999999999995</v>
      </c>
    </row>
    <row r="170" spans="3:43" x14ac:dyDescent="0.25">
      <c r="E170" s="60"/>
      <c r="F170" s="124" t="s">
        <v>247</v>
      </c>
      <c r="G170" s="124" t="s">
        <v>166</v>
      </c>
      <c r="H170" s="125"/>
      <c r="J170" s="442">
        <v>0</v>
      </c>
      <c r="K170" s="442">
        <v>6.9000000000000006E-2</v>
      </c>
      <c r="L170" s="442">
        <v>0.17</v>
      </c>
      <c r="M170" s="442">
        <v>0.192</v>
      </c>
      <c r="N170" s="442">
        <v>0.56899999999999995</v>
      </c>
    </row>
    <row r="171" spans="3:43" x14ac:dyDescent="0.25">
      <c r="E171" s="60"/>
      <c r="F171" s="115" t="s">
        <v>248</v>
      </c>
      <c r="G171" s="115" t="s">
        <v>166</v>
      </c>
      <c r="H171" s="126"/>
      <c r="I171" s="91"/>
      <c r="J171" s="443">
        <v>0</v>
      </c>
      <c r="K171" s="443">
        <v>6.9000000000000006E-2</v>
      </c>
      <c r="L171" s="443">
        <v>0.17</v>
      </c>
      <c r="M171" s="443">
        <v>0.192</v>
      </c>
      <c r="N171" s="443">
        <v>0.56899999999999995</v>
      </c>
    </row>
    <row r="172" spans="3:43" x14ac:dyDescent="0.25">
      <c r="E172" s="117"/>
      <c r="F172" s="118"/>
      <c r="G172" s="118"/>
      <c r="H172" s="14"/>
      <c r="I172" s="14"/>
      <c r="J172" s="119"/>
      <c r="K172" s="119"/>
      <c r="L172" s="119"/>
      <c r="M172" s="119"/>
      <c r="N172" s="119"/>
    </row>
    <row r="173" spans="3:43" x14ac:dyDescent="0.25">
      <c r="E173" s="60" t="s">
        <v>978</v>
      </c>
      <c r="G173" s="46"/>
      <c r="J173" s="110" t="s">
        <v>968</v>
      </c>
      <c r="K173" s="110" t="s">
        <v>973</v>
      </c>
      <c r="L173" s="110" t="s">
        <v>974</v>
      </c>
      <c r="M173" s="110" t="s">
        <v>975</v>
      </c>
      <c r="N173" s="110" t="s">
        <v>976</v>
      </c>
    </row>
    <row r="174" spans="3:43" x14ac:dyDescent="0.25">
      <c r="E174" s="60"/>
      <c r="F174" s="111" t="s">
        <v>246</v>
      </c>
      <c r="G174" s="111" t="s">
        <v>166</v>
      </c>
      <c r="H174" s="123"/>
      <c r="I174" s="90"/>
      <c r="J174" s="441">
        <v>0</v>
      </c>
      <c r="K174" s="441">
        <v>6.9000000000000006E-2</v>
      </c>
      <c r="L174" s="441">
        <v>0.17</v>
      </c>
      <c r="M174" s="441">
        <v>0.192</v>
      </c>
      <c r="N174" s="441">
        <v>0.56899999999999995</v>
      </c>
    </row>
    <row r="175" spans="3:43" x14ac:dyDescent="0.25">
      <c r="E175" s="60"/>
      <c r="F175" s="124" t="s">
        <v>247</v>
      </c>
      <c r="G175" s="124" t="s">
        <v>166</v>
      </c>
      <c r="H175" s="125"/>
      <c r="J175" s="442">
        <v>0</v>
      </c>
      <c r="K175" s="442">
        <v>6.9000000000000006E-2</v>
      </c>
      <c r="L175" s="442">
        <v>0.17</v>
      </c>
      <c r="M175" s="442">
        <v>0.192</v>
      </c>
      <c r="N175" s="442">
        <v>0.56899999999999995</v>
      </c>
    </row>
    <row r="176" spans="3:43" x14ac:dyDescent="0.25">
      <c r="E176" s="60"/>
      <c r="F176" s="115" t="s">
        <v>248</v>
      </c>
      <c r="G176" s="115" t="s">
        <v>166</v>
      </c>
      <c r="H176" s="126"/>
      <c r="I176" s="91"/>
      <c r="J176" s="443">
        <v>0</v>
      </c>
      <c r="K176" s="443">
        <v>6.9000000000000006E-2</v>
      </c>
      <c r="L176" s="443">
        <v>0.17</v>
      </c>
      <c r="M176" s="443">
        <v>0.192</v>
      </c>
      <c r="N176" s="443">
        <v>0.56899999999999995</v>
      </c>
    </row>
    <row r="177" spans="3:43" x14ac:dyDescent="0.25">
      <c r="E177" s="117"/>
      <c r="F177" s="118"/>
      <c r="G177" s="118"/>
      <c r="H177" s="14"/>
      <c r="I177" s="14"/>
      <c r="J177" s="119"/>
      <c r="K177" s="119"/>
      <c r="L177" s="119"/>
      <c r="M177" s="119"/>
      <c r="N177" s="119"/>
    </row>
    <row r="178" spans="3:43" x14ac:dyDescent="0.25">
      <c r="E178" s="60" t="s">
        <v>979</v>
      </c>
      <c r="G178" s="46"/>
      <c r="J178" s="110" t="s">
        <v>968</v>
      </c>
      <c r="K178" s="110" t="s">
        <v>973</v>
      </c>
      <c r="L178" s="110" t="s">
        <v>974</v>
      </c>
      <c r="M178" s="110" t="s">
        <v>975</v>
      </c>
      <c r="N178" s="110" t="s">
        <v>976</v>
      </c>
    </row>
    <row r="179" spans="3:43" x14ac:dyDescent="0.25">
      <c r="E179" s="60"/>
      <c r="F179" s="111" t="s">
        <v>246</v>
      </c>
      <c r="G179" s="111" t="s">
        <v>166</v>
      </c>
      <c r="H179" s="123"/>
      <c r="I179" s="90"/>
      <c r="J179" s="441">
        <v>0</v>
      </c>
      <c r="K179" s="441">
        <v>6.9000000000000006E-2</v>
      </c>
      <c r="L179" s="441">
        <v>0.17</v>
      </c>
      <c r="M179" s="441">
        <v>0.192</v>
      </c>
      <c r="N179" s="441">
        <v>0.56899999999999995</v>
      </c>
    </row>
    <row r="180" spans="3:43" x14ac:dyDescent="0.25">
      <c r="E180" s="60"/>
      <c r="F180" s="124" t="s">
        <v>247</v>
      </c>
      <c r="G180" s="124" t="s">
        <v>166</v>
      </c>
      <c r="H180" s="125"/>
      <c r="J180" s="442">
        <v>0</v>
      </c>
      <c r="K180" s="442">
        <v>6.9000000000000006E-2</v>
      </c>
      <c r="L180" s="442">
        <v>0.17</v>
      </c>
      <c r="M180" s="442">
        <v>0.192</v>
      </c>
      <c r="N180" s="442">
        <v>0.56899999999999995</v>
      </c>
    </row>
    <row r="181" spans="3:43" x14ac:dyDescent="0.25">
      <c r="E181" s="60"/>
      <c r="F181" s="115" t="s">
        <v>248</v>
      </c>
      <c r="G181" s="115" t="s">
        <v>166</v>
      </c>
      <c r="H181" s="126"/>
      <c r="I181" s="91"/>
      <c r="J181" s="443">
        <v>0</v>
      </c>
      <c r="K181" s="443">
        <v>6.9000000000000006E-2</v>
      </c>
      <c r="L181" s="443">
        <v>0.17</v>
      </c>
      <c r="M181" s="443">
        <v>0.192</v>
      </c>
      <c r="N181" s="443">
        <v>0.56899999999999995</v>
      </c>
    </row>
    <row r="182" spans="3:43" x14ac:dyDescent="0.2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257</v>
      </c>
      <c r="H185" s="92"/>
    </row>
    <row r="186" spans="3:43" x14ac:dyDescent="0.25">
      <c r="G186" s="46"/>
      <c r="I186" t="s">
        <v>153</v>
      </c>
      <c r="AQ186" t="s">
        <v>258</v>
      </c>
    </row>
    <row r="187" spans="3:43" x14ac:dyDescent="0.25">
      <c r="D187" s="100"/>
      <c r="E187" t="s">
        <v>259</v>
      </c>
      <c r="G187" t="s">
        <v>260</v>
      </c>
      <c r="H187" s="63"/>
      <c r="J187" s="436">
        <v>1526</v>
      </c>
      <c r="K187" s="114"/>
      <c r="L187" s="436">
        <v>1428</v>
      </c>
      <c r="M187" s="114"/>
      <c r="N187" s="436">
        <v>2361</v>
      </c>
      <c r="O187" s="436">
        <v>2361</v>
      </c>
      <c r="P187" s="114"/>
      <c r="Q187" s="114"/>
      <c r="R187" s="436">
        <v>0</v>
      </c>
      <c r="S187" s="436">
        <v>0</v>
      </c>
      <c r="T187" s="436">
        <v>0</v>
      </c>
      <c r="U187" s="436">
        <v>0</v>
      </c>
      <c r="V187" s="436">
        <v>0</v>
      </c>
      <c r="W187" s="436">
        <v>0</v>
      </c>
      <c r="X187" s="114"/>
      <c r="Y187" s="114"/>
    </row>
    <row r="188" spans="3:43" x14ac:dyDescent="0.25">
      <c r="D188" s="100"/>
      <c r="E188" t="s">
        <v>261</v>
      </c>
      <c r="G188" t="s">
        <v>260</v>
      </c>
      <c r="H188" s="63"/>
      <c r="J188" s="114"/>
      <c r="K188" s="114"/>
      <c r="L188" s="114"/>
      <c r="M188" s="114"/>
      <c r="N188" s="114"/>
      <c r="O188" s="114"/>
      <c r="P188" s="436">
        <v>61821</v>
      </c>
      <c r="Q188" s="114"/>
      <c r="R188" s="114"/>
      <c r="S188" s="114"/>
      <c r="T188" s="114"/>
      <c r="U188" s="114"/>
      <c r="V188" s="114"/>
      <c r="W188" s="114"/>
      <c r="X188" s="436">
        <v>13738.9272</v>
      </c>
      <c r="Y188" s="436">
        <v>13738.9272</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262</v>
      </c>
      <c r="G190" t="s">
        <v>263</v>
      </c>
      <c r="I190" t="s">
        <v>153</v>
      </c>
      <c r="J190" s="114"/>
      <c r="K190" s="114"/>
      <c r="L190" s="114"/>
      <c r="M190" s="114"/>
      <c r="N190" s="114"/>
      <c r="O190" s="114"/>
      <c r="P190" s="114"/>
      <c r="Q190" s="436">
        <v>0</v>
      </c>
      <c r="R190" s="114"/>
      <c r="S190" s="114"/>
      <c r="T190" s="114"/>
      <c r="U190" s="114"/>
      <c r="V190" s="114"/>
      <c r="W190" s="114"/>
      <c r="X190" s="114"/>
      <c r="Y190" s="114"/>
      <c r="AQ190" t="s">
        <v>264</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265</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266</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267</v>
      </c>
      <c r="G197" s="46"/>
      <c r="J197" s="102" t="s">
        <v>1160</v>
      </c>
      <c r="K197" s="102" t="s">
        <v>825</v>
      </c>
      <c r="L197" s="102" t="s">
        <v>1161</v>
      </c>
      <c r="M197" s="102" t="s">
        <v>1162</v>
      </c>
      <c r="N197" s="102" t="s">
        <v>1163</v>
      </c>
      <c r="O197" s="102" t="s">
        <v>1164</v>
      </c>
      <c r="P197" s="102" t="s">
        <v>1165</v>
      </c>
      <c r="Q197" s="102" t="s">
        <v>826</v>
      </c>
      <c r="R197" s="102" t="s">
        <v>904</v>
      </c>
      <c r="S197" s="102" t="s">
        <v>905</v>
      </c>
      <c r="T197" s="102" t="s">
        <v>906</v>
      </c>
      <c r="U197" s="102" t="s">
        <v>907</v>
      </c>
      <c r="V197" s="102" t="s">
        <v>908</v>
      </c>
      <c r="W197" s="102" t="s">
        <v>909</v>
      </c>
      <c r="X197" s="102" t="s">
        <v>910</v>
      </c>
      <c r="Y197" s="102" t="s">
        <v>911</v>
      </c>
      <c r="Z197" s="102" t="s">
        <v>912</v>
      </c>
      <c r="AA197" s="102" t="s">
        <v>913</v>
      </c>
      <c r="AB197" s="102" t="s">
        <v>914</v>
      </c>
      <c r="AC197" s="102" t="s">
        <v>915</v>
      </c>
      <c r="AD197" s="102" t="s">
        <v>916</v>
      </c>
      <c r="AE197" s="102" t="s">
        <v>917</v>
      </c>
      <c r="AF197" s="102" t="s">
        <v>918</v>
      </c>
      <c r="AG197" s="102" t="s">
        <v>835</v>
      </c>
      <c r="AH197" s="102" t="s">
        <v>827</v>
      </c>
      <c r="AI197" s="102" t="s">
        <v>828</v>
      </c>
      <c r="AJ197" s="102" t="s">
        <v>829</v>
      </c>
      <c r="AK197" s="102" t="s">
        <v>838</v>
      </c>
      <c r="AL197" s="102" t="s">
        <v>830</v>
      </c>
      <c r="AM197" s="102" t="s">
        <v>837</v>
      </c>
      <c r="AN197" s="102" t="s">
        <v>831</v>
      </c>
      <c r="AO197" s="102" t="s">
        <v>836</v>
      </c>
    </row>
    <row r="198" spans="3:43" x14ac:dyDescent="0.25">
      <c r="D198" s="60"/>
      <c r="F198" s="90" t="s">
        <v>155</v>
      </c>
      <c r="G198" s="90" t="s">
        <v>268</v>
      </c>
      <c r="H198" s="90"/>
      <c r="I198" s="90"/>
      <c r="J198" s="435">
        <v>3.5750000000000002</v>
      </c>
      <c r="K198" s="435">
        <v>3.5750000000000002</v>
      </c>
      <c r="L198" s="435">
        <v>4.1870000000000003</v>
      </c>
      <c r="M198" s="435">
        <v>4.1870000000000003</v>
      </c>
      <c r="N198" s="435">
        <v>4.1870000000000003</v>
      </c>
      <c r="O198" s="435">
        <v>4.1870000000000003</v>
      </c>
      <c r="P198" s="435">
        <v>4.1870000000000003</v>
      </c>
      <c r="Q198" s="435">
        <v>4.1870000000000003</v>
      </c>
      <c r="R198" s="435">
        <v>3.1779999999999999</v>
      </c>
      <c r="S198" s="435">
        <v>3.1779999999999999</v>
      </c>
      <c r="T198" s="435">
        <v>3.1779999999999999</v>
      </c>
      <c r="U198" s="435">
        <v>3.1779999999999999</v>
      </c>
      <c r="V198" s="435">
        <v>3.1779999999999999</v>
      </c>
      <c r="W198" s="435">
        <v>2.2000000000000002</v>
      </c>
      <c r="X198" s="435">
        <v>2.2000000000000002</v>
      </c>
      <c r="Y198" s="435">
        <v>2.2000000000000002</v>
      </c>
      <c r="Z198" s="435">
        <v>2.2000000000000002</v>
      </c>
      <c r="AA198" s="435">
        <v>2.2000000000000002</v>
      </c>
      <c r="AB198" s="435">
        <v>1.5449999999999999</v>
      </c>
      <c r="AC198" s="435">
        <v>1.5449999999999999</v>
      </c>
      <c r="AD198" s="435">
        <v>1.5449999999999999</v>
      </c>
      <c r="AE198" s="435">
        <v>1.5449999999999999</v>
      </c>
      <c r="AF198" s="435">
        <v>1.5449999999999999</v>
      </c>
      <c r="AG198" s="435">
        <v>11.879</v>
      </c>
      <c r="AH198" s="435">
        <v>-2.6760000000000002</v>
      </c>
      <c r="AI198" s="435">
        <v>-2.3719999999999999</v>
      </c>
      <c r="AJ198" s="435">
        <v>-2.6760000000000002</v>
      </c>
      <c r="AK198" s="435">
        <v>-2.6760000000000002</v>
      </c>
      <c r="AL198" s="435">
        <v>-2.3719999999999999</v>
      </c>
      <c r="AM198" s="435">
        <v>-2.3719999999999999</v>
      </c>
      <c r="AN198" s="435">
        <v>-1.734</v>
      </c>
      <c r="AO198" s="435">
        <v>-1.734</v>
      </c>
    </row>
    <row r="199" spans="3:43" x14ac:dyDescent="0.25">
      <c r="D199" s="60"/>
      <c r="F199" t="s">
        <v>156</v>
      </c>
      <c r="G199" t="s">
        <v>268</v>
      </c>
      <c r="J199" s="439">
        <v>1.1180000000000001</v>
      </c>
      <c r="K199" s="439">
        <v>1.1180000000000001</v>
      </c>
      <c r="L199" s="439">
        <v>1.3089999999999999</v>
      </c>
      <c r="M199" s="439">
        <v>1.3089999999999999</v>
      </c>
      <c r="N199" s="439">
        <v>1.3089999999999999</v>
      </c>
      <c r="O199" s="439">
        <v>1.3089999999999999</v>
      </c>
      <c r="P199" s="439">
        <v>1.3089999999999999</v>
      </c>
      <c r="Q199" s="439">
        <v>1.3089999999999999</v>
      </c>
      <c r="R199" s="439">
        <v>0.98</v>
      </c>
      <c r="S199" s="439">
        <v>0.98</v>
      </c>
      <c r="T199" s="439">
        <v>0.98</v>
      </c>
      <c r="U199" s="439">
        <v>0.98</v>
      </c>
      <c r="V199" s="439">
        <v>0.98</v>
      </c>
      <c r="W199" s="439">
        <v>0.65300000000000002</v>
      </c>
      <c r="X199" s="439">
        <v>0.65300000000000002</v>
      </c>
      <c r="Y199" s="439">
        <v>0.65300000000000002</v>
      </c>
      <c r="Z199" s="439">
        <v>0.65300000000000002</v>
      </c>
      <c r="AA199" s="439">
        <v>0.65300000000000002</v>
      </c>
      <c r="AB199" s="439">
        <v>0.434</v>
      </c>
      <c r="AC199" s="439">
        <v>0.434</v>
      </c>
      <c r="AD199" s="439">
        <v>0.434</v>
      </c>
      <c r="AE199" s="439">
        <v>0.434</v>
      </c>
      <c r="AF199" s="439">
        <v>0.434</v>
      </c>
      <c r="AG199" s="439">
        <v>3.3759999999999999</v>
      </c>
      <c r="AH199" s="439">
        <v>-0.83699999999999997</v>
      </c>
      <c r="AI199" s="439">
        <v>-0.73699999999999999</v>
      </c>
      <c r="AJ199" s="439">
        <v>-0.83699999999999997</v>
      </c>
      <c r="AK199" s="439">
        <v>-0.83699999999999997</v>
      </c>
      <c r="AL199" s="439">
        <v>-0.73699999999999999</v>
      </c>
      <c r="AM199" s="439">
        <v>-0.73699999999999999</v>
      </c>
      <c r="AN199" s="439">
        <v>-0.51100000000000001</v>
      </c>
      <c r="AO199" s="439">
        <v>-0.51100000000000001</v>
      </c>
    </row>
    <row r="200" spans="3:43" x14ac:dyDescent="0.25">
      <c r="D200" s="60"/>
      <c r="F200" t="s">
        <v>157</v>
      </c>
      <c r="G200" t="s">
        <v>268</v>
      </c>
      <c r="J200" s="439">
        <v>0.16200000000000001</v>
      </c>
      <c r="K200" s="439">
        <v>0.16200000000000001</v>
      </c>
      <c r="L200" s="439">
        <v>0.19</v>
      </c>
      <c r="M200" s="439">
        <v>0.19</v>
      </c>
      <c r="N200" s="439">
        <v>0.19</v>
      </c>
      <c r="O200" s="439">
        <v>0.19</v>
      </c>
      <c r="P200" s="439">
        <v>0.19</v>
      </c>
      <c r="Q200" s="439">
        <v>0.19</v>
      </c>
      <c r="R200" s="439">
        <v>0.14099999999999999</v>
      </c>
      <c r="S200" s="439">
        <v>0.14099999999999999</v>
      </c>
      <c r="T200" s="439">
        <v>0.14099999999999999</v>
      </c>
      <c r="U200" s="439">
        <v>0.14099999999999999</v>
      </c>
      <c r="V200" s="439">
        <v>0.14099999999999999</v>
      </c>
      <c r="W200" s="439">
        <v>9.0999999999999998E-2</v>
      </c>
      <c r="X200" s="439">
        <v>9.0999999999999998E-2</v>
      </c>
      <c r="Y200" s="439">
        <v>9.0999999999999998E-2</v>
      </c>
      <c r="Z200" s="439">
        <v>9.0999999999999998E-2</v>
      </c>
      <c r="AA200" s="439">
        <v>9.0999999999999998E-2</v>
      </c>
      <c r="AB200" s="439">
        <v>5.8000000000000003E-2</v>
      </c>
      <c r="AC200" s="439">
        <v>5.8000000000000003E-2</v>
      </c>
      <c r="AD200" s="439">
        <v>5.8000000000000003E-2</v>
      </c>
      <c r="AE200" s="439">
        <v>5.8000000000000003E-2</v>
      </c>
      <c r="AF200" s="439">
        <v>5.8000000000000003E-2</v>
      </c>
      <c r="AG200" s="439">
        <v>2.58</v>
      </c>
      <c r="AH200" s="439">
        <v>-0.121</v>
      </c>
      <c r="AI200" s="439">
        <v>-0.106</v>
      </c>
      <c r="AJ200" s="439">
        <v>-0.121</v>
      </c>
      <c r="AK200" s="439">
        <v>-0.121</v>
      </c>
      <c r="AL200" s="439">
        <v>-0.106</v>
      </c>
      <c r="AM200" s="439">
        <v>-0.106</v>
      </c>
      <c r="AN200" s="439">
        <v>-7.0999999999999994E-2</v>
      </c>
      <c r="AO200" s="439">
        <v>-7.0999999999999994E-2</v>
      </c>
    </row>
    <row r="201" spans="3:43" x14ac:dyDescent="0.25">
      <c r="D201" s="60"/>
      <c r="F201" t="s">
        <v>158</v>
      </c>
      <c r="G201" t="s">
        <v>269</v>
      </c>
      <c r="J201" s="439">
        <v>29.3</v>
      </c>
      <c r="K201" s="121"/>
      <c r="L201" s="439">
        <v>9.51</v>
      </c>
      <c r="M201" s="439">
        <v>22.5</v>
      </c>
      <c r="N201" s="439">
        <v>55.65</v>
      </c>
      <c r="O201" s="439">
        <v>110.12</v>
      </c>
      <c r="P201" s="439">
        <v>349.7</v>
      </c>
      <c r="Q201" s="121"/>
      <c r="R201" s="439">
        <v>15.06</v>
      </c>
      <c r="S201" s="439">
        <v>532.98</v>
      </c>
      <c r="T201" s="439">
        <v>1056.0899999999999</v>
      </c>
      <c r="U201" s="439">
        <v>1635.39</v>
      </c>
      <c r="V201" s="439">
        <v>3490.11</v>
      </c>
      <c r="W201" s="439">
        <v>15.06</v>
      </c>
      <c r="X201" s="439">
        <v>532.98</v>
      </c>
      <c r="Y201" s="439">
        <v>1056.0899999999999</v>
      </c>
      <c r="Z201" s="439">
        <v>1635.39</v>
      </c>
      <c r="AA201" s="439">
        <v>3490.11</v>
      </c>
      <c r="AB201" s="439">
        <v>345.69</v>
      </c>
      <c r="AC201" s="439">
        <v>3494.11</v>
      </c>
      <c r="AD201" s="439">
        <v>9511.0499999999993</v>
      </c>
      <c r="AE201" s="439">
        <v>19869.5</v>
      </c>
      <c r="AF201" s="439">
        <v>47264.24</v>
      </c>
      <c r="AG201" s="121"/>
      <c r="AH201" s="121"/>
      <c r="AI201" s="121"/>
      <c r="AJ201" s="121"/>
      <c r="AK201" s="121"/>
      <c r="AL201" s="121"/>
      <c r="AM201" s="121"/>
      <c r="AN201" s="439">
        <v>77.83</v>
      </c>
      <c r="AO201" s="439">
        <v>77.83</v>
      </c>
    </row>
    <row r="202" spans="3:43" x14ac:dyDescent="0.25">
      <c r="D202" s="60"/>
      <c r="F202" t="s">
        <v>159</v>
      </c>
      <c r="G202" t="s">
        <v>270</v>
      </c>
      <c r="J202" s="121"/>
      <c r="K202" s="121"/>
      <c r="L202" s="121"/>
      <c r="M202" s="121"/>
      <c r="N202" s="121"/>
      <c r="O202" s="121"/>
      <c r="P202" s="121"/>
      <c r="Q202" s="121"/>
      <c r="R202" s="439">
        <v>1.1599999999999999</v>
      </c>
      <c r="S202" s="439">
        <v>1.1599999999999999</v>
      </c>
      <c r="T202" s="439">
        <v>1.1599999999999999</v>
      </c>
      <c r="U202" s="439">
        <v>1.1599999999999999</v>
      </c>
      <c r="V202" s="439">
        <v>1.1599999999999999</v>
      </c>
      <c r="W202" s="439">
        <v>1.37</v>
      </c>
      <c r="X202" s="439">
        <v>1.37</v>
      </c>
      <c r="Y202" s="439">
        <v>1.37</v>
      </c>
      <c r="Z202" s="439">
        <v>1.37</v>
      </c>
      <c r="AA202" s="439">
        <v>1.37</v>
      </c>
      <c r="AB202" s="439">
        <v>1.64</v>
      </c>
      <c r="AC202" s="439">
        <v>1.64</v>
      </c>
      <c r="AD202" s="439">
        <v>1.64</v>
      </c>
      <c r="AE202" s="439">
        <v>1.64</v>
      </c>
      <c r="AF202" s="439">
        <v>1.64</v>
      </c>
      <c r="AG202" s="121"/>
      <c r="AH202" s="121"/>
      <c r="AI202" s="121"/>
      <c r="AJ202" s="121"/>
      <c r="AK202" s="121"/>
      <c r="AL202" s="121"/>
      <c r="AM202" s="121"/>
      <c r="AN202" s="121"/>
      <c r="AO202" s="121"/>
    </row>
    <row r="203" spans="3:43" x14ac:dyDescent="0.25">
      <c r="D203" s="130"/>
      <c r="F203" t="s">
        <v>160</v>
      </c>
      <c r="G203" t="s">
        <v>270</v>
      </c>
      <c r="J203" s="121"/>
      <c r="K203" s="121"/>
      <c r="L203" s="121"/>
      <c r="M203" s="121"/>
      <c r="N203" s="121"/>
      <c r="O203" s="121"/>
      <c r="P203" s="121"/>
      <c r="Q203" s="121"/>
      <c r="R203" s="439">
        <v>2.7</v>
      </c>
      <c r="S203" s="439">
        <v>2.7</v>
      </c>
      <c r="T203" s="439">
        <v>2.7</v>
      </c>
      <c r="U203" s="439">
        <v>2.7</v>
      </c>
      <c r="V203" s="439">
        <v>2.7</v>
      </c>
      <c r="W203" s="439">
        <v>2.23</v>
      </c>
      <c r="X203" s="439">
        <v>2.23</v>
      </c>
      <c r="Y203" s="439">
        <v>2.23</v>
      </c>
      <c r="Z203" s="439">
        <v>2.23</v>
      </c>
      <c r="AA203" s="439">
        <v>2.23</v>
      </c>
      <c r="AB203" s="439">
        <v>2.77</v>
      </c>
      <c r="AC203" s="439">
        <v>2.77</v>
      </c>
      <c r="AD203" s="439">
        <v>2.77</v>
      </c>
      <c r="AE203" s="439">
        <v>2.77</v>
      </c>
      <c r="AF203" s="439">
        <v>2.77</v>
      </c>
      <c r="AG203" s="121"/>
      <c r="AH203" s="121"/>
      <c r="AI203" s="121"/>
      <c r="AJ203" s="121"/>
      <c r="AK203" s="121"/>
      <c r="AL203" s="121"/>
      <c r="AM203" s="121"/>
      <c r="AN203" s="121"/>
      <c r="AO203" s="121"/>
    </row>
    <row r="204" spans="3:43" x14ac:dyDescent="0.25">
      <c r="D204" s="130"/>
      <c r="F204" s="91" t="s">
        <v>161</v>
      </c>
      <c r="G204" s="91" t="s">
        <v>271</v>
      </c>
      <c r="H204" s="91"/>
      <c r="I204" s="91"/>
      <c r="J204" s="116"/>
      <c r="K204" s="116"/>
      <c r="L204" s="116"/>
      <c r="M204" s="116"/>
      <c r="N204" s="116"/>
      <c r="O204" s="116"/>
      <c r="P204" s="116"/>
      <c r="Q204" s="116"/>
      <c r="R204" s="438">
        <v>9.5000000000000001E-2</v>
      </c>
      <c r="S204" s="438">
        <v>9.5000000000000001E-2</v>
      </c>
      <c r="T204" s="438">
        <v>9.5000000000000001E-2</v>
      </c>
      <c r="U204" s="438">
        <v>9.5000000000000001E-2</v>
      </c>
      <c r="V204" s="438">
        <v>9.5000000000000001E-2</v>
      </c>
      <c r="W204" s="438">
        <v>5.8999999999999997E-2</v>
      </c>
      <c r="X204" s="438">
        <v>5.8999999999999997E-2</v>
      </c>
      <c r="Y204" s="438">
        <v>5.8999999999999997E-2</v>
      </c>
      <c r="Z204" s="438">
        <v>5.8999999999999997E-2</v>
      </c>
      <c r="AA204" s="438">
        <v>5.8999999999999997E-2</v>
      </c>
      <c r="AB204" s="438">
        <v>3.5999999999999997E-2</v>
      </c>
      <c r="AC204" s="438">
        <v>3.5999999999999997E-2</v>
      </c>
      <c r="AD204" s="438">
        <v>3.5999999999999997E-2</v>
      </c>
      <c r="AE204" s="438">
        <v>3.5999999999999997E-2</v>
      </c>
      <c r="AF204" s="438">
        <v>3.5999999999999997E-2</v>
      </c>
      <c r="AG204" s="116"/>
      <c r="AH204" s="438">
        <v>0</v>
      </c>
      <c r="AI204" s="438">
        <v>0</v>
      </c>
      <c r="AJ204" s="438">
        <v>7.2999999999999995E-2</v>
      </c>
      <c r="AK204" s="116"/>
      <c r="AL204" s="438">
        <v>6.8000000000000005E-2</v>
      </c>
      <c r="AM204" s="116"/>
      <c r="AN204" s="438">
        <v>5.3999999999999999E-2</v>
      </c>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272</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273</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274</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1170</v>
      </c>
      <c r="K212" s="131" t="s">
        <v>825</v>
      </c>
      <c r="L212" s="131" t="s">
        <v>1171</v>
      </c>
      <c r="M212" s="131" t="s">
        <v>1172</v>
      </c>
      <c r="N212" s="131" t="s">
        <v>1173</v>
      </c>
      <c r="O212" s="131" t="s">
        <v>1174</v>
      </c>
      <c r="P212" s="131" t="s">
        <v>1175</v>
      </c>
      <c r="Q212" s="131" t="s">
        <v>826</v>
      </c>
      <c r="R212" s="131" t="s">
        <v>904</v>
      </c>
      <c r="S212" s="131" t="s">
        <v>905</v>
      </c>
      <c r="T212" s="131" t="s">
        <v>906</v>
      </c>
      <c r="U212" s="131" t="s">
        <v>907</v>
      </c>
      <c r="V212" s="131" t="s">
        <v>908</v>
      </c>
      <c r="W212" s="131" t="s">
        <v>909</v>
      </c>
      <c r="X212" s="131" t="s">
        <v>910</v>
      </c>
      <c r="Y212" s="131" t="s">
        <v>911</v>
      </c>
      <c r="Z212" s="131" t="s">
        <v>912</v>
      </c>
      <c r="AA212" s="131" t="s">
        <v>913</v>
      </c>
      <c r="AB212" s="131" t="s">
        <v>914</v>
      </c>
      <c r="AC212" s="131" t="s">
        <v>915</v>
      </c>
      <c r="AD212" s="131" t="s">
        <v>916</v>
      </c>
      <c r="AE212" s="131" t="s">
        <v>917</v>
      </c>
      <c r="AF212" s="131" t="s">
        <v>918</v>
      </c>
      <c r="AG212" s="131" t="s">
        <v>835</v>
      </c>
      <c r="AH212" s="131" t="s">
        <v>827</v>
      </c>
      <c r="AI212" s="131" t="s">
        <v>828</v>
      </c>
      <c r="AJ212" s="131" t="s">
        <v>829</v>
      </c>
      <c r="AK212" s="131" t="s">
        <v>838</v>
      </c>
      <c r="AL212" s="131" t="s">
        <v>830</v>
      </c>
      <c r="AM212" s="131" t="s">
        <v>837</v>
      </c>
      <c r="AN212" s="131" t="s">
        <v>831</v>
      </c>
      <c r="AO212" s="131" t="s">
        <v>836</v>
      </c>
    </row>
    <row r="213" spans="2:43" x14ac:dyDescent="0.25">
      <c r="E213" s="89" t="s">
        <v>275</v>
      </c>
      <c r="G213" t="s">
        <v>276</v>
      </c>
      <c r="J213" s="439">
        <v>290810148.42172474</v>
      </c>
      <c r="K213" s="439">
        <v>71674.620665345632</v>
      </c>
      <c r="L213" s="439">
        <v>2637.1780635288833</v>
      </c>
      <c r="M213" s="439">
        <v>5086911.0339509109</v>
      </c>
      <c r="N213" s="439">
        <v>12704483.887402745</v>
      </c>
      <c r="O213" s="439">
        <v>14214421.747277169</v>
      </c>
      <c r="P213" s="439">
        <v>44699875.045494512</v>
      </c>
      <c r="Q213" s="439">
        <v>92996.685371709274</v>
      </c>
      <c r="R213" s="439">
        <v>1629.2312430771169</v>
      </c>
      <c r="S213" s="439">
        <v>19325548.937127661</v>
      </c>
      <c r="T213" s="439">
        <v>25449892.358212795</v>
      </c>
      <c r="U213" s="439">
        <v>16488454.137626493</v>
      </c>
      <c r="V213" s="439">
        <v>30224875.378533732</v>
      </c>
      <c r="W213" s="439">
        <v>235.5328285886072</v>
      </c>
      <c r="X213" s="439">
        <v>68034.727405672224</v>
      </c>
      <c r="Y213" s="439">
        <v>203208.78291023968</v>
      </c>
      <c r="Z213" s="439">
        <v>522585.26647655107</v>
      </c>
      <c r="AA213" s="439">
        <v>10208404.998802092</v>
      </c>
      <c r="AB213" s="439">
        <v>160452.87204338016</v>
      </c>
      <c r="AC213" s="439">
        <v>9483743.9323933441</v>
      </c>
      <c r="AD213" s="439">
        <v>30423724.855020694</v>
      </c>
      <c r="AE213" s="439">
        <v>26850047.690783877</v>
      </c>
      <c r="AF213" s="439">
        <v>70607365.819195464</v>
      </c>
      <c r="AG213" s="439">
        <v>5022288.1168078184</v>
      </c>
      <c r="AH213" s="439">
        <v>-136671.22903000002</v>
      </c>
      <c r="AI213" s="439">
        <v>0</v>
      </c>
      <c r="AJ213" s="439">
        <v>-370288.43610699999</v>
      </c>
      <c r="AK213" s="439">
        <v>0</v>
      </c>
      <c r="AL213" s="439">
        <v>-44337.476999000006</v>
      </c>
      <c r="AM213" s="439">
        <v>0</v>
      </c>
      <c r="AN213" s="439">
        <v>-3614335.4984220001</v>
      </c>
      <c r="AO213" s="439">
        <v>0</v>
      </c>
    </row>
    <row r="214" spans="2:43" x14ac:dyDescent="0.25">
      <c r="G214" s="46"/>
    </row>
    <row r="215" spans="2:43" x14ac:dyDescent="0.25">
      <c r="B215" s="70" t="s">
        <v>230</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1103</v>
      </c>
      <c r="G217" s="46"/>
    </row>
    <row r="218" spans="2:43" x14ac:dyDescent="0.25">
      <c r="E218" s="60"/>
      <c r="F218" s="111" t="s">
        <v>246</v>
      </c>
      <c r="G218" s="111" t="s">
        <v>208</v>
      </c>
      <c r="H218" s="123" t="b">
        <f>SUM(J169:N169)=1</f>
        <v>1</v>
      </c>
    </row>
    <row r="219" spans="2:43" x14ac:dyDescent="0.25">
      <c r="E219" s="60"/>
      <c r="F219" s="124" t="s">
        <v>247</v>
      </c>
      <c r="G219" s="124" t="s">
        <v>208</v>
      </c>
      <c r="H219" s="125" t="b">
        <f t="shared" ref="H219:H220" si="0">SUM(J170:N170)=1</f>
        <v>1</v>
      </c>
    </row>
    <row r="220" spans="2:43" x14ac:dyDescent="0.25">
      <c r="E220" s="60"/>
      <c r="F220" s="115" t="s">
        <v>248</v>
      </c>
      <c r="G220" s="115" t="s">
        <v>208</v>
      </c>
      <c r="H220" s="126" t="b">
        <f t="shared" si="0"/>
        <v>1</v>
      </c>
    </row>
    <row r="221" spans="2:43" x14ac:dyDescent="0.25">
      <c r="E221" s="117"/>
      <c r="F221" s="118"/>
      <c r="G221" s="118"/>
      <c r="H221" s="14"/>
    </row>
    <row r="222" spans="2:43" x14ac:dyDescent="0.25">
      <c r="E222" s="60" t="s">
        <v>1104</v>
      </c>
      <c r="G222" s="46"/>
    </row>
    <row r="223" spans="2:43" x14ac:dyDescent="0.25">
      <c r="E223" s="60"/>
      <c r="F223" s="111" t="s">
        <v>246</v>
      </c>
      <c r="G223" s="111" t="s">
        <v>208</v>
      </c>
      <c r="H223" s="123" t="b">
        <f>SUM(J174:N174)=1</f>
        <v>1</v>
      </c>
    </row>
    <row r="224" spans="2:43" x14ac:dyDescent="0.25">
      <c r="E224" s="60"/>
      <c r="F224" s="124" t="s">
        <v>247</v>
      </c>
      <c r="G224" s="124" t="s">
        <v>208</v>
      </c>
      <c r="H224" s="125" t="b">
        <f t="shared" ref="H224:H225" si="1">SUM(J175:N175)=1</f>
        <v>1</v>
      </c>
    </row>
    <row r="225" spans="2:43" x14ac:dyDescent="0.25">
      <c r="E225" s="60"/>
      <c r="F225" s="115" t="s">
        <v>248</v>
      </c>
      <c r="G225" s="115" t="s">
        <v>208</v>
      </c>
      <c r="H225" s="126" t="b">
        <f t="shared" si="1"/>
        <v>1</v>
      </c>
    </row>
    <row r="226" spans="2:43" x14ac:dyDescent="0.25">
      <c r="E226" s="117"/>
      <c r="F226" s="118"/>
      <c r="G226" s="118"/>
      <c r="H226" s="14"/>
    </row>
    <row r="227" spans="2:43" x14ac:dyDescent="0.25">
      <c r="E227" s="60" t="s">
        <v>1105</v>
      </c>
      <c r="G227" s="46"/>
    </row>
    <row r="228" spans="2:43" x14ac:dyDescent="0.25">
      <c r="E228" s="60"/>
      <c r="F228" s="111" t="s">
        <v>246</v>
      </c>
      <c r="G228" s="111" t="s">
        <v>208</v>
      </c>
      <c r="H228" s="123" t="b">
        <f>SUM(J179:N179)=1</f>
        <v>1</v>
      </c>
    </row>
    <row r="229" spans="2:43" x14ac:dyDescent="0.25">
      <c r="E229" s="60"/>
      <c r="F229" s="124" t="s">
        <v>247</v>
      </c>
      <c r="G229" s="124" t="s">
        <v>208</v>
      </c>
      <c r="H229" s="125" t="b">
        <f t="shared" ref="H229:H230" si="2">SUM(J180:N180)=1</f>
        <v>1</v>
      </c>
    </row>
    <row r="230" spans="2:43" x14ac:dyDescent="0.25">
      <c r="E230" s="60"/>
      <c r="F230" s="115" t="s">
        <v>248</v>
      </c>
      <c r="G230" s="115" t="s">
        <v>208</v>
      </c>
      <c r="H230" s="126" t="b">
        <f t="shared" si="2"/>
        <v>1</v>
      </c>
    </row>
    <row r="231" spans="2:43" x14ac:dyDescent="0.25">
      <c r="G231" s="46"/>
    </row>
    <row r="232" spans="2:43" x14ac:dyDescent="0.25">
      <c r="E232" t="s">
        <v>1106</v>
      </c>
      <c r="G232" s="6" t="s">
        <v>54</v>
      </c>
      <c r="H232" s="104">
        <f>COUNTIF(H218:H230,FALSE)</f>
        <v>0</v>
      </c>
    </row>
    <row r="233" spans="2:43" x14ac:dyDescent="0.25">
      <c r="G233" s="46"/>
    </row>
    <row r="234" spans="2:43" x14ac:dyDescent="0.25">
      <c r="E234" t="s">
        <v>231</v>
      </c>
      <c r="G234" s="6" t="s">
        <v>54</v>
      </c>
      <c r="H234" s="104">
        <f t="array" ref="H234">SUM(IF(ISERROR(H13:Y214), 1))</f>
        <v>0</v>
      </c>
    </row>
    <row r="235" spans="2:43" x14ac:dyDescent="0.25">
      <c r="G235" s="46"/>
    </row>
    <row r="236" spans="2:43" x14ac:dyDescent="0.25">
      <c r="E236" t="s">
        <v>238</v>
      </c>
      <c r="G236" s="6" t="s">
        <v>54</v>
      </c>
      <c r="H236" s="108">
        <f xml:space="preserve"> H232 + H234</f>
        <v>0</v>
      </c>
    </row>
    <row r="238" spans="2:43" x14ac:dyDescent="0.25">
      <c r="B238" s="70" t="s">
        <v>105</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J5" sqref="J5"/>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141</v>
      </c>
      <c r="C5" s="85"/>
      <c r="D5" s="85"/>
      <c r="E5" s="85"/>
      <c r="F5" s="85"/>
      <c r="G5" s="1" t="s">
        <v>142</v>
      </c>
      <c r="H5" s="133" t="s">
        <v>143</v>
      </c>
      <c r="I5" s="47"/>
      <c r="J5" s="133" t="s">
        <v>188</v>
      </c>
      <c r="K5" s="133" t="s">
        <v>190</v>
      </c>
      <c r="L5" s="133" t="s">
        <v>191</v>
      </c>
      <c r="M5" s="133" t="s">
        <v>192</v>
      </c>
      <c r="N5" s="133" t="s">
        <v>193</v>
      </c>
      <c r="O5" s="133" t="s">
        <v>194</v>
      </c>
      <c r="P5" s="133" t="s">
        <v>195</v>
      </c>
      <c r="Q5" s="133" t="s">
        <v>196</v>
      </c>
      <c r="R5" s="133" t="s">
        <v>197</v>
      </c>
      <c r="S5" s="133" t="s">
        <v>198</v>
      </c>
      <c r="U5" s="86" t="s">
        <v>144</v>
      </c>
    </row>
    <row r="7" spans="1:27" x14ac:dyDescent="0.25">
      <c r="B7" s="70" t="s">
        <v>9</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277</v>
      </c>
    </row>
    <row r="11" spans="1:27" x14ac:dyDescent="0.25">
      <c r="B11" s="70" t="s">
        <v>57</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278</v>
      </c>
      <c r="G15" s="89" t="s">
        <v>166</v>
      </c>
      <c r="I15" t="s">
        <v>153</v>
      </c>
      <c r="J15" s="134"/>
      <c r="K15" s="444">
        <v>0.19143992204560414</v>
      </c>
      <c r="L15" s="444">
        <v>0.29211301826742003</v>
      </c>
      <c r="M15" s="134"/>
      <c r="N15" s="444">
        <v>0.35322343504875292</v>
      </c>
      <c r="O15" s="134"/>
      <c r="P15" s="135"/>
      <c r="Q15" s="444">
        <v>0.34</v>
      </c>
      <c r="R15" s="95"/>
      <c r="S15" s="95"/>
      <c r="U15" s="92" t="s">
        <v>279</v>
      </c>
    </row>
    <row r="17" spans="3:27" x14ac:dyDescent="0.25">
      <c r="E17" s="89" t="s">
        <v>280</v>
      </c>
      <c r="G17" s="89" t="s">
        <v>166</v>
      </c>
      <c r="H17" s="89"/>
      <c r="I17" s="136"/>
      <c r="J17" s="134"/>
      <c r="K17" s="95"/>
      <c r="L17" s="95"/>
      <c r="M17" s="95"/>
      <c r="N17" s="95"/>
      <c r="O17" s="95"/>
      <c r="P17" s="444">
        <v>0</v>
      </c>
      <c r="Q17" s="95"/>
      <c r="R17" s="95"/>
      <c r="S17" s="95"/>
    </row>
    <row r="19" spans="3:27" x14ac:dyDescent="0.25">
      <c r="E19" s="89" t="s">
        <v>281</v>
      </c>
      <c r="G19" s="89" t="s">
        <v>282</v>
      </c>
      <c r="I19" t="s">
        <v>153</v>
      </c>
      <c r="J19" s="114"/>
      <c r="K19" s="436">
        <v>1</v>
      </c>
      <c r="L19" s="436">
        <v>1.0069999999999999</v>
      </c>
      <c r="M19" s="436">
        <v>1.01</v>
      </c>
      <c r="N19" s="436">
        <v>1.0129999999999999</v>
      </c>
      <c r="O19" s="436">
        <v>1.0189999999999999</v>
      </c>
      <c r="P19" s="114"/>
      <c r="Q19" s="436">
        <v>1.0289999999999999</v>
      </c>
      <c r="R19" s="436">
        <v>1.044</v>
      </c>
      <c r="S19" s="436">
        <v>1.1379999999999999</v>
      </c>
      <c r="U19" s="92" t="s">
        <v>283</v>
      </c>
    </row>
    <row r="20" spans="3:27" x14ac:dyDescent="0.25">
      <c r="J20" s="101"/>
      <c r="K20" s="101"/>
      <c r="L20" s="101"/>
      <c r="M20" s="101"/>
      <c r="N20" s="101"/>
      <c r="O20" s="101"/>
      <c r="P20" s="101"/>
      <c r="Q20" s="101"/>
      <c r="R20" s="101"/>
      <c r="S20" s="101"/>
    </row>
    <row r="21" spans="3:27" x14ac:dyDescent="0.25">
      <c r="E21" s="89" t="s">
        <v>284</v>
      </c>
      <c r="G21" s="89" t="s">
        <v>285</v>
      </c>
      <c r="I21" t="s">
        <v>153</v>
      </c>
      <c r="J21" s="114"/>
      <c r="K21" s="436">
        <v>9.4738990347426513E-2</v>
      </c>
      <c r="L21" s="436">
        <v>9.4738990347426513E-2</v>
      </c>
      <c r="M21" s="436">
        <v>0.13162085932207032</v>
      </c>
      <c r="N21" s="436">
        <v>0.13162085932207032</v>
      </c>
      <c r="O21" s="436">
        <v>0.1260844971520341</v>
      </c>
      <c r="P21" s="436">
        <v>0.1260844971520341</v>
      </c>
      <c r="Q21" s="436">
        <v>0.1260844971520341</v>
      </c>
      <c r="R21" s="436">
        <v>0.1260844971520341</v>
      </c>
      <c r="S21" s="436">
        <v>0</v>
      </c>
      <c r="U21" s="92" t="s">
        <v>286</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153</v>
      </c>
      <c r="U24" t="s">
        <v>287</v>
      </c>
    </row>
    <row r="25" spans="3:27" x14ac:dyDescent="0.25">
      <c r="C25" s="60"/>
      <c r="E25" s="60" t="s">
        <v>288</v>
      </c>
    </row>
    <row r="26" spans="3:27" x14ac:dyDescent="0.25">
      <c r="F26" s="93" t="s">
        <v>185</v>
      </c>
      <c r="G26" s="93" t="s">
        <v>166</v>
      </c>
      <c r="H26" s="90"/>
      <c r="I26" s="90"/>
      <c r="J26" s="94"/>
      <c r="K26" s="94"/>
      <c r="L26" s="441">
        <v>0</v>
      </c>
      <c r="M26" s="441">
        <v>0</v>
      </c>
      <c r="N26" s="441">
        <v>0</v>
      </c>
      <c r="O26" s="441">
        <v>0</v>
      </c>
      <c r="P26" s="441">
        <v>0</v>
      </c>
      <c r="Q26" s="441">
        <v>0</v>
      </c>
      <c r="R26" s="441">
        <v>0</v>
      </c>
      <c r="S26" s="441">
        <v>0</v>
      </c>
    </row>
    <row r="27" spans="3:27" x14ac:dyDescent="0.25">
      <c r="F27" s="89" t="s">
        <v>184</v>
      </c>
      <c r="G27" s="89" t="s">
        <v>166</v>
      </c>
      <c r="J27" s="95"/>
      <c r="K27" s="95"/>
      <c r="L27" s="434">
        <v>0</v>
      </c>
      <c r="M27" s="434">
        <v>0</v>
      </c>
      <c r="N27" s="434">
        <v>0</v>
      </c>
      <c r="O27" s="434">
        <v>0</v>
      </c>
      <c r="P27" s="434">
        <v>0</v>
      </c>
      <c r="Q27" s="434">
        <v>0</v>
      </c>
      <c r="R27" s="434">
        <v>0</v>
      </c>
      <c r="S27" s="98"/>
    </row>
    <row r="28" spans="3:27" x14ac:dyDescent="0.25">
      <c r="F28" s="89" t="s">
        <v>183</v>
      </c>
      <c r="G28" s="89" t="s">
        <v>166</v>
      </c>
      <c r="J28" s="95"/>
      <c r="K28" s="95"/>
      <c r="L28" s="434">
        <v>0</v>
      </c>
      <c r="M28" s="434">
        <v>0</v>
      </c>
      <c r="N28" s="434">
        <v>0</v>
      </c>
      <c r="O28" s="434">
        <v>0</v>
      </c>
      <c r="P28" s="434">
        <v>0</v>
      </c>
      <c r="Q28" s="434">
        <v>0</v>
      </c>
      <c r="R28" s="98"/>
      <c r="S28" s="98"/>
    </row>
    <row r="29" spans="3:27" x14ac:dyDescent="0.25">
      <c r="F29" s="96" t="s">
        <v>182</v>
      </c>
      <c r="G29" s="96" t="s">
        <v>166</v>
      </c>
      <c r="H29" s="91"/>
      <c r="I29" s="91"/>
      <c r="J29" s="97"/>
      <c r="K29" s="97"/>
      <c r="L29" s="443">
        <v>0</v>
      </c>
      <c r="M29" s="443">
        <v>0</v>
      </c>
      <c r="N29" s="443">
        <v>0</v>
      </c>
      <c r="O29" s="443">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89" t="s">
        <v>289</v>
      </c>
      <c r="G33" s="89" t="s">
        <v>276</v>
      </c>
      <c r="I33" t="s">
        <v>153</v>
      </c>
      <c r="J33" s="114"/>
      <c r="K33" s="114"/>
      <c r="L33" s="436">
        <v>52940973.55066748</v>
      </c>
      <c r="M33" s="436">
        <v>21186213.372931171</v>
      </c>
      <c r="N33" s="436">
        <v>72864253.719269753</v>
      </c>
      <c r="O33" s="436">
        <v>35621265.039889067</v>
      </c>
      <c r="P33" s="436">
        <v>0</v>
      </c>
      <c r="Q33" s="436">
        <v>109916145.68292403</v>
      </c>
      <c r="R33" s="436">
        <v>38829368.457899995</v>
      </c>
      <c r="S33" s="436">
        <v>78083351.952540129</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290</v>
      </c>
    </row>
    <row r="38" spans="2:27" x14ac:dyDescent="0.25">
      <c r="C38" s="71"/>
    </row>
    <row r="39" spans="2:27" x14ac:dyDescent="0.25">
      <c r="D39" s="60"/>
      <c r="E39" s="60" t="s">
        <v>291</v>
      </c>
      <c r="I39" t="s">
        <v>153</v>
      </c>
      <c r="U39" t="s">
        <v>292</v>
      </c>
    </row>
    <row r="40" spans="2:27" x14ac:dyDescent="0.25">
      <c r="F40" s="90" t="s">
        <v>293</v>
      </c>
      <c r="G40" s="111" t="s">
        <v>166</v>
      </c>
      <c r="H40" s="90"/>
      <c r="I40" s="90"/>
      <c r="J40" s="94"/>
      <c r="K40" s="441">
        <v>0.62257951567438408</v>
      </c>
      <c r="L40" s="441">
        <v>0.50594879003916027</v>
      </c>
      <c r="M40" s="441">
        <v>0.50594879003916027</v>
      </c>
      <c r="N40" s="441">
        <v>0.40527261390044367</v>
      </c>
      <c r="O40" s="441">
        <v>0.40527261390044367</v>
      </c>
      <c r="P40" s="441">
        <v>0</v>
      </c>
      <c r="Q40" s="441">
        <v>0.40527261390044367</v>
      </c>
      <c r="R40" s="441">
        <v>0.40527261390044367</v>
      </c>
      <c r="S40" s="441">
        <v>0.40527261390044367</v>
      </c>
    </row>
    <row r="41" spans="2:27" x14ac:dyDescent="0.25">
      <c r="F41" t="s">
        <v>294</v>
      </c>
      <c r="G41" s="113" t="s">
        <v>166</v>
      </c>
      <c r="J41" s="95"/>
      <c r="K41" s="434">
        <v>0.31938813265160099</v>
      </c>
      <c r="L41" s="434">
        <v>0.42088853806128962</v>
      </c>
      <c r="M41" s="434">
        <v>0.42088853806128962</v>
      </c>
      <c r="N41" s="434">
        <v>0.45418665412934084</v>
      </c>
      <c r="O41" s="434">
        <v>0.45418665412934084</v>
      </c>
      <c r="P41" s="434">
        <v>0</v>
      </c>
      <c r="Q41" s="434">
        <v>0.45418665412934084</v>
      </c>
      <c r="R41" s="434">
        <v>0.45418665412934084</v>
      </c>
      <c r="S41" s="434">
        <v>0.45418665412934084</v>
      </c>
    </row>
    <row r="42" spans="2:27" x14ac:dyDescent="0.25">
      <c r="F42" s="91" t="s">
        <v>256</v>
      </c>
      <c r="G42" s="115" t="s">
        <v>166</v>
      </c>
      <c r="H42" s="91"/>
      <c r="I42" s="91"/>
      <c r="J42" s="97"/>
      <c r="K42" s="443">
        <v>5.803235167401493E-2</v>
      </c>
      <c r="L42" s="443">
        <v>7.3162671899550225E-2</v>
      </c>
      <c r="M42" s="443">
        <v>7.3162671899550225E-2</v>
      </c>
      <c r="N42" s="443">
        <v>0.14054073197021552</v>
      </c>
      <c r="O42" s="443">
        <v>0.14054073197021552</v>
      </c>
      <c r="P42" s="443">
        <v>0</v>
      </c>
      <c r="Q42" s="443">
        <v>0.14054073197021552</v>
      </c>
      <c r="R42" s="443">
        <v>0.14054073197021552</v>
      </c>
      <c r="S42" s="443">
        <v>0.14054073197021552</v>
      </c>
    </row>
    <row r="43" spans="2:27" x14ac:dyDescent="0.25">
      <c r="F43" s="91" t="s">
        <v>295</v>
      </c>
      <c r="G43" s="115" t="s">
        <v>166</v>
      </c>
      <c r="H43" s="91"/>
      <c r="I43" s="91"/>
      <c r="J43" s="97"/>
      <c r="K43" s="443">
        <v>0.57940195566676456</v>
      </c>
      <c r="L43" s="443">
        <v>0.48050543180986116</v>
      </c>
      <c r="M43" s="443">
        <v>0.48050543180986116</v>
      </c>
      <c r="N43" s="443">
        <v>0.36324672717491535</v>
      </c>
      <c r="O43" s="443">
        <v>0.36324672717491535</v>
      </c>
      <c r="P43" s="443">
        <v>0</v>
      </c>
      <c r="Q43" s="443">
        <v>0.36324672717491535</v>
      </c>
      <c r="R43" s="443">
        <v>0.36324672717491535</v>
      </c>
      <c r="S43" s="443">
        <v>0.36324672717491535</v>
      </c>
    </row>
    <row r="45" spans="2:27" x14ac:dyDescent="0.25">
      <c r="B45" s="70" t="s">
        <v>230</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231</v>
      </c>
      <c r="G47" s="6" t="s">
        <v>54</v>
      </c>
      <c r="H47" s="104">
        <f t="array" ref="H47">SUM(IF(ISERROR(H15:AA44), 1))</f>
        <v>0</v>
      </c>
    </row>
    <row r="49" spans="2:27" x14ac:dyDescent="0.25">
      <c r="E49" t="s">
        <v>296</v>
      </c>
      <c r="G49" s="6" t="s">
        <v>54</v>
      </c>
      <c r="H49" s="104">
        <f>IF(K19 = 1, 0, 1)</f>
        <v>0</v>
      </c>
    </row>
    <row r="51" spans="2:27" x14ac:dyDescent="0.25">
      <c r="E51" s="60" t="s">
        <v>297</v>
      </c>
    </row>
    <row r="52" spans="2:27" x14ac:dyDescent="0.25">
      <c r="E52" s="71" t="s">
        <v>298</v>
      </c>
    </row>
    <row r="53" spans="2:27" x14ac:dyDescent="0.25">
      <c r="F53" s="90" t="s">
        <v>299</v>
      </c>
      <c r="G53" s="105" t="s">
        <v>54</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191</v>
      </c>
      <c r="G54" s="62" t="s">
        <v>54</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238</v>
      </c>
      <c r="G56" s="6" t="s">
        <v>54</v>
      </c>
      <c r="H56" s="108">
        <f>SUM(H47:H54)</f>
        <v>0</v>
      </c>
    </row>
    <row r="58" spans="2:27" x14ac:dyDescent="0.25">
      <c r="B58" s="70" t="s">
        <v>105</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activeCell="H44" sqref="H4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141</v>
      </c>
      <c r="C5" s="85"/>
      <c r="D5" s="85"/>
      <c r="E5" s="85"/>
      <c r="F5" s="85"/>
      <c r="G5" s="137" t="s">
        <v>142</v>
      </c>
      <c r="H5" s="133" t="s">
        <v>143</v>
      </c>
      <c r="J5" s="86" t="s">
        <v>144</v>
      </c>
    </row>
    <row r="6" spans="1:27" x14ac:dyDescent="0.25">
      <c r="G6" s="46"/>
    </row>
    <row r="7" spans="1:27" x14ac:dyDescent="0.25">
      <c r="B7" s="70" t="s">
        <v>9</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300</v>
      </c>
      <c r="G9" s="46"/>
    </row>
    <row r="10" spans="1:27" x14ac:dyDescent="0.25">
      <c r="G10" s="46"/>
    </row>
    <row r="11" spans="1:27" x14ac:dyDescent="0.25">
      <c r="B11" s="70" t="s">
        <v>59</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301</v>
      </c>
      <c r="E15" s="60"/>
      <c r="G15" s="46"/>
      <c r="I15" t="s">
        <v>153</v>
      </c>
      <c r="J15" t="s">
        <v>302</v>
      </c>
    </row>
    <row r="16" spans="1:27" x14ac:dyDescent="0.25">
      <c r="E16" s="93" t="s">
        <v>295</v>
      </c>
      <c r="F16" s="93"/>
      <c r="G16" s="138" t="s">
        <v>303</v>
      </c>
      <c r="H16" s="435">
        <v>297.5</v>
      </c>
    </row>
    <row r="17" spans="3:27" x14ac:dyDescent="0.25">
      <c r="E17" s="89" t="s">
        <v>304</v>
      </c>
      <c r="F17" s="89"/>
      <c r="G17" s="46" t="s">
        <v>303</v>
      </c>
      <c r="H17" s="436">
        <v>3356.5</v>
      </c>
    </row>
    <row r="18" spans="3:27" x14ac:dyDescent="0.25">
      <c r="E18" s="96" t="s">
        <v>256</v>
      </c>
      <c r="F18" s="96"/>
      <c r="G18" s="139" t="s">
        <v>303</v>
      </c>
      <c r="H18" s="438">
        <v>5106</v>
      </c>
    </row>
    <row r="19" spans="3:27" x14ac:dyDescent="0.25">
      <c r="G19" s="46"/>
      <c r="H19" s="101"/>
    </row>
    <row r="20" spans="3:27" x14ac:dyDescent="0.25">
      <c r="D20" s="60" t="s">
        <v>305</v>
      </c>
      <c r="E20" s="60"/>
      <c r="G20" s="46"/>
      <c r="H20" s="101"/>
      <c r="I20" t="s">
        <v>153</v>
      </c>
      <c r="J20" t="s">
        <v>302</v>
      </c>
    </row>
    <row r="21" spans="3:27" x14ac:dyDescent="0.25">
      <c r="E21" s="90" t="s">
        <v>293</v>
      </c>
      <c r="F21" s="90"/>
      <c r="G21" s="138" t="s">
        <v>303</v>
      </c>
      <c r="H21" s="435">
        <v>913.5</v>
      </c>
    </row>
    <row r="22" spans="3:27" x14ac:dyDescent="0.25">
      <c r="E22" t="s">
        <v>294</v>
      </c>
      <c r="G22" s="46" t="s">
        <v>303</v>
      </c>
      <c r="H22" s="436">
        <v>2740.5</v>
      </c>
    </row>
    <row r="23" spans="3:27" x14ac:dyDescent="0.25">
      <c r="E23" s="91" t="s">
        <v>256</v>
      </c>
      <c r="F23" s="91"/>
      <c r="G23" s="139" t="s">
        <v>303</v>
      </c>
      <c r="H23" s="438">
        <v>5106</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306</v>
      </c>
      <c r="E27" s="71"/>
      <c r="G27" s="46"/>
    </row>
    <row r="28" spans="3:27" x14ac:dyDescent="0.25">
      <c r="D28" s="71"/>
      <c r="E28" s="71"/>
      <c r="G28" s="46"/>
    </row>
    <row r="29" spans="3:27" x14ac:dyDescent="0.25">
      <c r="D29" s="60" t="s">
        <v>307</v>
      </c>
      <c r="E29" s="60"/>
      <c r="G29" s="46"/>
      <c r="I29" t="s">
        <v>153</v>
      </c>
      <c r="J29" t="s">
        <v>308</v>
      </c>
    </row>
    <row r="30" spans="3:27" x14ac:dyDescent="0.25">
      <c r="E30" s="93" t="s">
        <v>174</v>
      </c>
      <c r="F30" s="90"/>
      <c r="G30" s="111" t="s">
        <v>166</v>
      </c>
      <c r="H30" s="441">
        <v>0.40611012535926394</v>
      </c>
    </row>
    <row r="31" spans="3:27" x14ac:dyDescent="0.25">
      <c r="E31" s="89" t="s">
        <v>176</v>
      </c>
      <c r="G31" s="113" t="s">
        <v>166</v>
      </c>
      <c r="H31" s="434">
        <v>0.58741903403166595</v>
      </c>
    </row>
    <row r="32" spans="3:27" x14ac:dyDescent="0.25">
      <c r="E32" s="89" t="s">
        <v>177</v>
      </c>
      <c r="G32" s="113" t="s">
        <v>166</v>
      </c>
      <c r="H32" s="434">
        <v>0.30208847695897212</v>
      </c>
    </row>
    <row r="33" spans="3:27" x14ac:dyDescent="0.25">
      <c r="E33" s="96" t="s">
        <v>178</v>
      </c>
      <c r="F33" s="91"/>
      <c r="G33" s="115" t="s">
        <v>166</v>
      </c>
      <c r="H33" s="443">
        <v>0.12606452222036799</v>
      </c>
    </row>
    <row r="34" spans="3:27" x14ac:dyDescent="0.25">
      <c r="G34" s="46"/>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309</v>
      </c>
      <c r="E37" s="71"/>
      <c r="G37" s="46"/>
      <c r="H37" s="46"/>
      <c r="I37" t="s">
        <v>153</v>
      </c>
      <c r="J37" t="s">
        <v>1150</v>
      </c>
      <c r="K37" s="46"/>
      <c r="L37" s="46"/>
      <c r="M37" s="46"/>
      <c r="N37" s="46"/>
      <c r="O37" s="46"/>
      <c r="P37" s="46"/>
      <c r="Q37" s="46"/>
      <c r="R37" s="46"/>
      <c r="S37" s="46"/>
    </row>
    <row r="38" spans="3:27" x14ac:dyDescent="0.25">
      <c r="D38" s="71" t="s">
        <v>1147</v>
      </c>
      <c r="E38" s="71"/>
      <c r="G38" s="46"/>
      <c r="H38" s="46"/>
      <c r="I38" s="46"/>
      <c r="J38" s="140"/>
      <c r="K38" s="46"/>
      <c r="L38" s="46"/>
      <c r="M38" s="46"/>
      <c r="N38" s="46"/>
      <c r="O38" s="46"/>
      <c r="P38" s="46"/>
      <c r="Q38" s="46"/>
      <c r="R38" s="46"/>
      <c r="S38" s="46"/>
    </row>
    <row r="39" spans="3:27" x14ac:dyDescent="0.25">
      <c r="E39" s="60"/>
    </row>
    <row r="40" spans="3:27" x14ac:dyDescent="0.25">
      <c r="E40" t="s">
        <v>310</v>
      </c>
      <c r="G40" t="s">
        <v>276</v>
      </c>
      <c r="H40" s="436">
        <v>305466739.04480374</v>
      </c>
    </row>
    <row r="41" spans="3:27" x14ac:dyDescent="0.25">
      <c r="E41" t="s">
        <v>311</v>
      </c>
      <c r="G41" t="s">
        <v>276</v>
      </c>
      <c r="H41" s="436">
        <v>1935300.7095459171</v>
      </c>
    </row>
    <row r="42" spans="3:27" x14ac:dyDescent="0.25">
      <c r="E42" t="s">
        <v>312</v>
      </c>
      <c r="G42" t="s">
        <v>276</v>
      </c>
      <c r="H42" s="436">
        <v>0</v>
      </c>
    </row>
    <row r="43" spans="3:27" x14ac:dyDescent="0.25">
      <c r="E43" s="91" t="s">
        <v>313</v>
      </c>
      <c r="F43" s="91"/>
      <c r="G43" s="91" t="s">
        <v>282</v>
      </c>
      <c r="H43" s="438">
        <v>1.6244610197200369</v>
      </c>
    </row>
    <row r="44" spans="3:27" x14ac:dyDescent="0.25">
      <c r="E44" t="s">
        <v>314</v>
      </c>
      <c r="G44" t="s">
        <v>276</v>
      </c>
      <c r="H44" s="141">
        <f>SUM(H40:H42)</f>
        <v>307402039.75434965</v>
      </c>
    </row>
    <row r="45" spans="3:27" x14ac:dyDescent="0.25">
      <c r="E45" t="s">
        <v>315</v>
      </c>
      <c r="G45" t="s">
        <v>276</v>
      </c>
      <c r="H45" s="141">
        <f>H44 * (H43 - 1)</f>
        <v>191960591.2090205</v>
      </c>
    </row>
    <row r="46" spans="3:27" x14ac:dyDescent="0.25">
      <c r="H46" s="101"/>
    </row>
    <row r="47" spans="3:27" x14ac:dyDescent="0.25">
      <c r="E47" t="s">
        <v>316</v>
      </c>
      <c r="G47" t="s">
        <v>276</v>
      </c>
      <c r="H47" s="436">
        <v>0</v>
      </c>
    </row>
    <row r="48" spans="3:27" x14ac:dyDescent="0.25">
      <c r="E48" t="s">
        <v>317</v>
      </c>
      <c r="G48" t="s">
        <v>276</v>
      </c>
      <c r="H48" s="436">
        <v>0</v>
      </c>
    </row>
    <row r="49" spans="1:8" x14ac:dyDescent="0.25">
      <c r="E49" t="s">
        <v>318</v>
      </c>
      <c r="G49" t="s">
        <v>276</v>
      </c>
      <c r="H49" s="436">
        <v>0</v>
      </c>
    </row>
    <row r="50" spans="1:8" x14ac:dyDescent="0.25">
      <c r="E50" t="s">
        <v>319</v>
      </c>
      <c r="G50" t="s">
        <v>276</v>
      </c>
      <c r="H50" s="436">
        <v>3612859.803660627</v>
      </c>
    </row>
    <row r="51" spans="1:8" x14ac:dyDescent="0.25">
      <c r="E51" t="s">
        <v>320</v>
      </c>
      <c r="G51" t="s">
        <v>276</v>
      </c>
      <c r="H51" s="436">
        <v>0</v>
      </c>
    </row>
    <row r="52" spans="1:8" x14ac:dyDescent="0.25">
      <c r="E52" t="s">
        <v>321</v>
      </c>
      <c r="G52" t="s">
        <v>276</v>
      </c>
      <c r="H52" s="436">
        <v>0</v>
      </c>
    </row>
    <row r="53" spans="1:8" x14ac:dyDescent="0.25">
      <c r="E53" t="s">
        <v>867</v>
      </c>
      <c r="G53" t="s">
        <v>276</v>
      </c>
      <c r="H53" s="436">
        <v>0</v>
      </c>
    </row>
    <row r="54" spans="1:8" x14ac:dyDescent="0.25">
      <c r="E54" t="s">
        <v>868</v>
      </c>
      <c r="G54" t="s">
        <v>276</v>
      </c>
      <c r="H54" s="436">
        <v>-21060.414469411629</v>
      </c>
    </row>
    <row r="55" spans="1:8" s="15" customFormat="1" x14ac:dyDescent="0.25">
      <c r="A55"/>
      <c r="E55" t="s">
        <v>1141</v>
      </c>
      <c r="G55" s="15" t="s">
        <v>276</v>
      </c>
      <c r="H55" s="436">
        <v>0</v>
      </c>
    </row>
    <row r="56" spans="1:8" x14ac:dyDescent="0.25">
      <c r="E56" s="91" t="s">
        <v>322</v>
      </c>
      <c r="F56" s="91"/>
      <c r="G56" s="91" t="s">
        <v>276</v>
      </c>
      <c r="H56" s="438">
        <v>0</v>
      </c>
    </row>
    <row r="57" spans="1:8" s="15" customFormat="1" x14ac:dyDescent="0.25">
      <c r="E57" s="15" t="s">
        <v>323</v>
      </c>
      <c r="G57" s="15" t="s">
        <v>276</v>
      </c>
      <c r="H57" s="142">
        <f>SUM(H47:H56)</f>
        <v>3591799.3891912154</v>
      </c>
    </row>
    <row r="58" spans="1:8" x14ac:dyDescent="0.25">
      <c r="H58" s="101"/>
    </row>
    <row r="59" spans="1:8" x14ac:dyDescent="0.25">
      <c r="E59" t="s">
        <v>324</v>
      </c>
      <c r="G59" t="s">
        <v>276</v>
      </c>
      <c r="H59" s="436">
        <v>0</v>
      </c>
    </row>
    <row r="60" spans="1:8" x14ac:dyDescent="0.25">
      <c r="E60" t="s">
        <v>325</v>
      </c>
      <c r="G60" t="s">
        <v>276</v>
      </c>
      <c r="H60" s="436">
        <v>0</v>
      </c>
    </row>
    <row r="61" spans="1:8" x14ac:dyDescent="0.25">
      <c r="E61" t="s">
        <v>326</v>
      </c>
      <c r="G61" t="s">
        <v>276</v>
      </c>
      <c r="H61" s="436">
        <v>0</v>
      </c>
    </row>
    <row r="62" spans="1:8" x14ac:dyDescent="0.25">
      <c r="E62" t="s">
        <v>327</v>
      </c>
      <c r="G62" t="s">
        <v>276</v>
      </c>
      <c r="H62" s="436">
        <v>0</v>
      </c>
    </row>
    <row r="63" spans="1:8" x14ac:dyDescent="0.25">
      <c r="E63" t="s">
        <v>328</v>
      </c>
      <c r="G63" t="s">
        <v>276</v>
      </c>
      <c r="H63" s="436">
        <v>0</v>
      </c>
    </row>
    <row r="64" spans="1:8" x14ac:dyDescent="0.25">
      <c r="E64" t="s">
        <v>329</v>
      </c>
      <c r="G64" t="s">
        <v>276</v>
      </c>
      <c r="H64" s="436">
        <v>0</v>
      </c>
    </row>
    <row r="65" spans="5:8" x14ac:dyDescent="0.25">
      <c r="E65" t="s">
        <v>330</v>
      </c>
      <c r="G65" t="s">
        <v>276</v>
      </c>
      <c r="H65" s="436">
        <v>0</v>
      </c>
    </row>
    <row r="66" spans="5:8" x14ac:dyDescent="0.25">
      <c r="E66" t="s">
        <v>331</v>
      </c>
      <c r="G66" t="s">
        <v>276</v>
      </c>
      <c r="H66" s="436">
        <v>0</v>
      </c>
    </row>
    <row r="67" spans="5:8" x14ac:dyDescent="0.25">
      <c r="E67" t="s">
        <v>332</v>
      </c>
      <c r="G67" t="s">
        <v>276</v>
      </c>
      <c r="H67" s="436">
        <v>0</v>
      </c>
    </row>
    <row r="68" spans="5:8" x14ac:dyDescent="0.25">
      <c r="E68" t="s">
        <v>333</v>
      </c>
      <c r="G68" t="s">
        <v>276</v>
      </c>
      <c r="H68" s="436">
        <v>0</v>
      </c>
    </row>
    <row r="69" spans="5:8" x14ac:dyDescent="0.25">
      <c r="E69" s="91" t="s">
        <v>334</v>
      </c>
      <c r="F69" s="91"/>
      <c r="G69" s="91" t="s">
        <v>276</v>
      </c>
      <c r="H69" s="438">
        <v>0</v>
      </c>
    </row>
    <row r="70" spans="5:8" x14ac:dyDescent="0.25">
      <c r="E70" t="s">
        <v>335</v>
      </c>
      <c r="G70" t="s">
        <v>276</v>
      </c>
      <c r="H70" s="141">
        <f>SUM(H59:H69)</f>
        <v>0</v>
      </c>
    </row>
    <row r="71" spans="5:8" x14ac:dyDescent="0.25">
      <c r="H71" s="101"/>
    </row>
    <row r="72" spans="5:8" x14ac:dyDescent="0.25">
      <c r="E72" s="91" t="s">
        <v>336</v>
      </c>
      <c r="F72" s="91"/>
      <c r="G72" s="91" t="s">
        <v>276</v>
      </c>
      <c r="H72" s="438">
        <v>-59146290.717110634</v>
      </c>
    </row>
    <row r="73" spans="5:8" x14ac:dyDescent="0.25">
      <c r="E73" t="s">
        <v>337</v>
      </c>
      <c r="G73" t="s">
        <v>276</v>
      </c>
      <c r="H73" s="141">
        <f>H72 + H70 + H57 + H45 + H44</f>
        <v>443808139.63545072</v>
      </c>
    </row>
    <row r="74" spans="5:8" x14ac:dyDescent="0.25">
      <c r="H74" s="101"/>
    </row>
    <row r="75" spans="5:8" x14ac:dyDescent="0.25">
      <c r="E75" t="s">
        <v>338</v>
      </c>
      <c r="G75" t="s">
        <v>276</v>
      </c>
      <c r="H75" s="436">
        <v>0</v>
      </c>
    </row>
    <row r="76" spans="5:8" x14ac:dyDescent="0.25">
      <c r="E76" t="s">
        <v>339</v>
      </c>
      <c r="G76" t="s">
        <v>276</v>
      </c>
      <c r="H76" s="436">
        <v>0</v>
      </c>
    </row>
    <row r="77" spans="5:8" x14ac:dyDescent="0.25">
      <c r="E77" t="s">
        <v>340</v>
      </c>
      <c r="G77" t="s">
        <v>276</v>
      </c>
      <c r="H77" s="436">
        <v>0</v>
      </c>
    </row>
    <row r="78" spans="5:8" x14ac:dyDescent="0.25">
      <c r="E78" t="s">
        <v>341</v>
      </c>
      <c r="G78" t="s">
        <v>276</v>
      </c>
      <c r="H78" s="436">
        <v>0</v>
      </c>
    </row>
    <row r="79" spans="5:8" x14ac:dyDescent="0.25">
      <c r="E79" s="91" t="s">
        <v>342</v>
      </c>
      <c r="F79" s="91"/>
      <c r="G79" s="91" t="s">
        <v>276</v>
      </c>
      <c r="H79" s="438">
        <v>0</v>
      </c>
    </row>
    <row r="80" spans="5:8" x14ac:dyDescent="0.25">
      <c r="E80" s="91" t="s">
        <v>343</v>
      </c>
      <c r="F80" s="91"/>
      <c r="G80" s="91" t="s">
        <v>276</v>
      </c>
      <c r="H80" s="143">
        <f>SUM(H75:H79)</f>
        <v>0</v>
      </c>
    </row>
    <row r="81" spans="3:27" x14ac:dyDescent="0.25">
      <c r="E81" t="s">
        <v>344</v>
      </c>
      <c r="G81" t="s">
        <v>276</v>
      </c>
      <c r="H81" s="144">
        <f>H73+H80</f>
        <v>443808139.63545072</v>
      </c>
    </row>
    <row r="82" spans="3:27" x14ac:dyDescent="0.25">
      <c r="H82" s="101"/>
    </row>
    <row r="83" spans="3:27" x14ac:dyDescent="0.25">
      <c r="E83" t="s">
        <v>345</v>
      </c>
      <c r="G83" t="s">
        <v>276</v>
      </c>
      <c r="H83" s="436">
        <v>11542529.809211664</v>
      </c>
    </row>
    <row r="84" spans="3:27" x14ac:dyDescent="0.25">
      <c r="E84" t="s">
        <v>346</v>
      </c>
      <c r="G84" t="s">
        <v>276</v>
      </c>
      <c r="H84" s="436">
        <v>0</v>
      </c>
    </row>
    <row r="85" spans="3:27" x14ac:dyDescent="0.25">
      <c r="E85" t="s">
        <v>347</v>
      </c>
      <c r="G85" t="s">
        <v>276</v>
      </c>
      <c r="H85" s="436">
        <v>0</v>
      </c>
    </row>
    <row r="86" spans="3:27" x14ac:dyDescent="0.25">
      <c r="E86" s="91" t="s">
        <v>348</v>
      </c>
      <c r="F86" s="91"/>
      <c r="G86" s="91" t="s">
        <v>276</v>
      </c>
      <c r="H86" s="438">
        <v>0</v>
      </c>
    </row>
    <row r="87" spans="3:27" x14ac:dyDescent="0.25">
      <c r="E87" t="s">
        <v>349</v>
      </c>
      <c r="G87" t="s">
        <v>276</v>
      </c>
      <c r="H87" s="141">
        <f>SUM(H83:H86)</f>
        <v>11542529.809211664</v>
      </c>
    </row>
    <row r="88" spans="3:27" x14ac:dyDescent="0.25">
      <c r="E88" s="90" t="s">
        <v>350</v>
      </c>
      <c r="F88" s="90"/>
      <c r="G88" s="90" t="s">
        <v>276</v>
      </c>
      <c r="H88" s="145">
        <f>H81-H87</f>
        <v>432265609.82623905</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351</v>
      </c>
      <c r="G92" t="s">
        <v>166</v>
      </c>
      <c r="H92" s="444">
        <v>4.9000000000000002E-2</v>
      </c>
      <c r="I92" t="s">
        <v>153</v>
      </c>
      <c r="J92" s="3" t="s">
        <v>164</v>
      </c>
    </row>
    <row r="93" spans="3:27" x14ac:dyDescent="0.25">
      <c r="E93" s="89" t="s">
        <v>126</v>
      </c>
      <c r="G93" s="89" t="s">
        <v>352</v>
      </c>
      <c r="H93" s="428">
        <v>365</v>
      </c>
    </row>
    <row r="94" spans="3:27" x14ac:dyDescent="0.25">
      <c r="E94" t="s">
        <v>353</v>
      </c>
      <c r="G94" t="s">
        <v>146</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354</v>
      </c>
      <c r="G98" t="s">
        <v>355</v>
      </c>
      <c r="H98" s="436">
        <v>16529252.902402336</v>
      </c>
      <c r="I98" t="s">
        <v>153</v>
      </c>
      <c r="J98" t="s">
        <v>356</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357</v>
      </c>
      <c r="F102" s="60"/>
      <c r="H102" s="101"/>
      <c r="I102" t="s">
        <v>153</v>
      </c>
      <c r="J102" t="s">
        <v>169</v>
      </c>
    </row>
    <row r="103" spans="2:27" x14ac:dyDescent="0.25">
      <c r="F103" s="93" t="s">
        <v>358</v>
      </c>
      <c r="G103" s="90" t="s">
        <v>355</v>
      </c>
      <c r="H103" s="435">
        <v>46850147.59137518</v>
      </c>
    </row>
    <row r="104" spans="2:27" x14ac:dyDescent="0.25">
      <c r="F104" s="89" t="s">
        <v>359</v>
      </c>
      <c r="G104" t="s">
        <v>355</v>
      </c>
      <c r="H104" s="436">
        <v>144197542.74988344</v>
      </c>
      <c r="R104" s="100"/>
      <c r="S104" s="100"/>
    </row>
    <row r="105" spans="2:27" x14ac:dyDescent="0.25">
      <c r="F105" s="96" t="s">
        <v>360</v>
      </c>
      <c r="G105" s="91" t="s">
        <v>355</v>
      </c>
      <c r="H105" s="438">
        <v>35371516.645660847</v>
      </c>
      <c r="R105" s="100"/>
      <c r="S105" s="100"/>
    </row>
    <row r="107" spans="2:27" x14ac:dyDescent="0.25">
      <c r="B107" s="70" t="s">
        <v>230</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231</v>
      </c>
      <c r="G109" s="6" t="s">
        <v>54</v>
      </c>
      <c r="H109" s="104">
        <f t="array" ref="H109">SUM(IF(ISERROR(H6:H106), 1))</f>
        <v>0</v>
      </c>
    </row>
    <row r="111" spans="2:27" x14ac:dyDescent="0.25">
      <c r="E111" s="60" t="s">
        <v>361</v>
      </c>
    </row>
    <row r="112" spans="2:27" x14ac:dyDescent="0.25">
      <c r="F112" s="90" t="s">
        <v>362</v>
      </c>
      <c r="G112" s="105" t="s">
        <v>54</v>
      </c>
      <c r="H112" s="106">
        <f>IF(SUM(H16:H18) = hours_in_year, 0, 1)</f>
        <v>0</v>
      </c>
    </row>
    <row r="113" spans="2:27" x14ac:dyDescent="0.25">
      <c r="F113" s="91" t="s">
        <v>363</v>
      </c>
      <c r="G113" s="62" t="s">
        <v>54</v>
      </c>
      <c r="H113" s="107">
        <f>IF(SUM(H21:H23) = hours_in_year, 0, 1)</f>
        <v>0</v>
      </c>
    </row>
    <row r="115" spans="2:27" x14ac:dyDescent="0.25">
      <c r="E115" t="s">
        <v>238</v>
      </c>
      <c r="G115" s="6" t="s">
        <v>54</v>
      </c>
      <c r="H115" s="108">
        <f>SUM(H109,H112:H113)</f>
        <v>0</v>
      </c>
    </row>
    <row r="117" spans="2:27" x14ac:dyDescent="0.25">
      <c r="B117" s="70" t="s">
        <v>105</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364</v>
      </c>
      <c r="E9"/>
    </row>
    <row r="10" spans="1:27" x14ac:dyDescent="0.25">
      <c r="C10" s="71" t="s">
        <v>365</v>
      </c>
      <c r="E10"/>
    </row>
    <row r="11" spans="1:27" x14ac:dyDescent="0.25">
      <c r="C11" s="71" t="s">
        <v>366</v>
      </c>
      <c r="E11"/>
    </row>
    <row r="12" spans="1:27" x14ac:dyDescent="0.25">
      <c r="C12" s="71" t="s">
        <v>367</v>
      </c>
      <c r="E12"/>
    </row>
    <row r="13" spans="1:27" x14ac:dyDescent="0.25">
      <c r="C13" s="71"/>
      <c r="E13"/>
    </row>
    <row r="14" spans="1:27" x14ac:dyDescent="0.25">
      <c r="C14" s="71" t="s">
        <v>368</v>
      </c>
      <c r="E14"/>
    </row>
    <row r="15" spans="1:27" x14ac:dyDescent="0.25">
      <c r="C15" s="71" t="s">
        <v>369</v>
      </c>
      <c r="E15"/>
    </row>
    <row r="17" spans="2:27" x14ac:dyDescent="0.25">
      <c r="B17" s="70" t="s">
        <v>370</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371</v>
      </c>
      <c r="F21" s="2"/>
    </row>
    <row r="22" spans="2:27" x14ac:dyDescent="0.25">
      <c r="D22" s="100"/>
      <c r="F22" s="2"/>
    </row>
    <row r="23" spans="2:27" x14ac:dyDescent="0.25">
      <c r="D23"/>
      <c r="E23" s="60" t="s">
        <v>372</v>
      </c>
      <c r="F23" s="60"/>
      <c r="I23" t="s">
        <v>153</v>
      </c>
      <c r="AA23" t="s">
        <v>202</v>
      </c>
    </row>
    <row r="24" spans="2:27" x14ac:dyDescent="0.25">
      <c r="D24"/>
      <c r="E24" s="71" t="s">
        <v>373</v>
      </c>
    </row>
    <row r="25" spans="2:27" x14ac:dyDescent="0.25">
      <c r="D25" s="100"/>
      <c r="F25" s="90" t="s">
        <v>188</v>
      </c>
      <c r="G25" s="90" t="s">
        <v>166</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190</v>
      </c>
      <c r="G26" t="s">
        <v>166</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191</v>
      </c>
      <c r="G27" t="s">
        <v>166</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192</v>
      </c>
      <c r="G28" t="s">
        <v>166</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193</v>
      </c>
      <c r="G29" t="s">
        <v>166</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194</v>
      </c>
      <c r="G30" t="s">
        <v>166</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195</v>
      </c>
      <c r="G31" t="s">
        <v>166</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196</v>
      </c>
      <c r="G32" t="s">
        <v>166</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197</v>
      </c>
      <c r="G33" t="s">
        <v>166</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198</v>
      </c>
      <c r="G34" t="s">
        <v>166</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374</v>
      </c>
      <c r="G35" t="s">
        <v>166</v>
      </c>
      <c r="J35" s="95"/>
      <c r="K35" s="95"/>
      <c r="L35" s="95"/>
      <c r="M35" s="95"/>
      <c r="N35" s="95"/>
      <c r="O35" s="95"/>
      <c r="P35" s="95"/>
      <c r="Q35" s="95"/>
      <c r="R35" s="95"/>
      <c r="S35" s="95"/>
      <c r="T35" s="95"/>
      <c r="U35" s="95"/>
      <c r="V35" s="95"/>
      <c r="W35" s="95"/>
      <c r="X35" s="95"/>
      <c r="Y35" s="95"/>
    </row>
    <row r="36" spans="4:27" x14ac:dyDescent="0.25">
      <c r="D36" s="100"/>
      <c r="F36" s="91" t="s">
        <v>375</v>
      </c>
      <c r="G36" s="91" t="s">
        <v>166</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280</v>
      </c>
      <c r="F38" s="2"/>
    </row>
    <row r="39" spans="4:27" x14ac:dyDescent="0.25">
      <c r="D39" s="100"/>
      <c r="E39"/>
      <c r="F39" s="89" t="s">
        <v>280</v>
      </c>
      <c r="G39" s="89" t="s">
        <v>166</v>
      </c>
      <c r="H39" s="150">
        <f>'Inputs by network level'!P17</f>
        <v>0</v>
      </c>
    </row>
    <row r="40" spans="4:27" x14ac:dyDescent="0.25">
      <c r="D40" s="100"/>
      <c r="F40" s="2"/>
    </row>
    <row r="41" spans="4:27" x14ac:dyDescent="0.25">
      <c r="D41"/>
      <c r="E41" s="60" t="s">
        <v>376</v>
      </c>
      <c r="F41" s="60"/>
    </row>
    <row r="42" spans="4:27" x14ac:dyDescent="0.25">
      <c r="D42"/>
      <c r="E42" s="71" t="s">
        <v>377</v>
      </c>
    </row>
    <row r="43" spans="4:27" x14ac:dyDescent="0.25">
      <c r="D43" s="100"/>
      <c r="F43" s="90" t="s">
        <v>188</v>
      </c>
      <c r="G43" s="90" t="s">
        <v>166</v>
      </c>
      <c r="H43" s="90"/>
      <c r="I43" s="90"/>
      <c r="J43" s="94"/>
      <c r="K43" s="94"/>
      <c r="L43" s="94"/>
      <c r="M43" s="94"/>
      <c r="N43" s="94"/>
      <c r="O43" s="94"/>
      <c r="P43" s="94"/>
      <c r="Q43" s="94"/>
      <c r="R43" s="94"/>
      <c r="S43" s="94"/>
      <c r="T43" s="94"/>
      <c r="U43" s="94"/>
      <c r="V43" s="94"/>
      <c r="W43" s="94"/>
      <c r="X43" s="94"/>
      <c r="Y43" s="94"/>
    </row>
    <row r="44" spans="4:27" x14ac:dyDescent="0.25">
      <c r="D44" s="100"/>
      <c r="F44" t="s">
        <v>190</v>
      </c>
      <c r="G44" t="s">
        <v>166</v>
      </c>
      <c r="J44" s="95"/>
      <c r="K44" s="95"/>
      <c r="L44" s="95"/>
      <c r="M44" s="95"/>
      <c r="N44" s="95"/>
      <c r="O44" s="95"/>
      <c r="P44" s="95"/>
      <c r="Q44" s="95"/>
      <c r="R44" s="95"/>
      <c r="S44" s="95"/>
      <c r="T44" s="95"/>
      <c r="U44" s="95"/>
      <c r="V44" s="95"/>
      <c r="W44" s="95"/>
      <c r="X44" s="95"/>
      <c r="Y44" s="95"/>
    </row>
    <row r="45" spans="4:27" x14ac:dyDescent="0.25">
      <c r="D45" s="100"/>
      <c r="F45" s="151" t="s">
        <v>191</v>
      </c>
      <c r="G45" s="151" t="s">
        <v>166</v>
      </c>
      <c r="H45" s="151"/>
      <c r="I45" s="151" t="s">
        <v>153</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378</v>
      </c>
    </row>
    <row r="46" spans="4:27" x14ac:dyDescent="0.25">
      <c r="D46" s="100"/>
      <c r="F46" t="s">
        <v>192</v>
      </c>
      <c r="G46" t="s">
        <v>166</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193</v>
      </c>
      <c r="G47" t="s">
        <v>166</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194</v>
      </c>
      <c r="G48" t="s">
        <v>166</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195</v>
      </c>
      <c r="G49" s="151" t="s">
        <v>166</v>
      </c>
      <c r="H49" s="151"/>
      <c r="I49" s="151" t="s">
        <v>153</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379</v>
      </c>
    </row>
    <row r="50" spans="2:27" x14ac:dyDescent="0.25">
      <c r="D50" s="100"/>
      <c r="F50" t="s">
        <v>196</v>
      </c>
      <c r="G50" t="s">
        <v>166</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197</v>
      </c>
      <c r="G51" t="s">
        <v>166</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198</v>
      </c>
      <c r="G52" t="s">
        <v>166</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374</v>
      </c>
      <c r="G53" t="s">
        <v>166</v>
      </c>
      <c r="J53" s="95"/>
      <c r="K53" s="95"/>
      <c r="L53" s="95"/>
      <c r="M53" s="95"/>
      <c r="N53" s="95"/>
      <c r="O53" s="95"/>
      <c r="P53" s="95"/>
      <c r="Q53" s="95"/>
      <c r="R53" s="95"/>
      <c r="S53" s="95"/>
      <c r="T53" s="95"/>
      <c r="U53" s="95"/>
      <c r="V53" s="95"/>
      <c r="W53" s="95"/>
      <c r="X53" s="95"/>
      <c r="Y53" s="95"/>
    </row>
    <row r="54" spans="2:27" x14ac:dyDescent="0.25">
      <c r="D54" s="100"/>
      <c r="F54" s="91" t="s">
        <v>375</v>
      </c>
      <c r="G54" s="91" t="s">
        <v>166</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230</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231</v>
      </c>
      <c r="G58" s="6" t="s">
        <v>54</v>
      </c>
      <c r="H58" s="108">
        <f t="array" ref="H58">SUM(IF(ISERROR(H25:Y54), 1))</f>
        <v>0</v>
      </c>
    </row>
    <row r="59" spans="2:27" x14ac:dyDescent="0.25">
      <c r="D59"/>
      <c r="E59"/>
    </row>
    <row r="60" spans="2:27" x14ac:dyDescent="0.25">
      <c r="B60" s="70" t="s">
        <v>105</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I5" s="157"/>
      <c r="J5" s="102" t="s">
        <v>188</v>
      </c>
      <c r="K5" s="102" t="s">
        <v>190</v>
      </c>
      <c r="L5" s="102" t="s">
        <v>191</v>
      </c>
      <c r="M5" s="102" t="s">
        <v>192</v>
      </c>
      <c r="N5" s="102" t="s">
        <v>193</v>
      </c>
      <c r="O5" s="102" t="s">
        <v>194</v>
      </c>
      <c r="P5" s="102" t="s">
        <v>195</v>
      </c>
      <c r="Q5" s="102" t="s">
        <v>196</v>
      </c>
      <c r="R5" s="102" t="s">
        <v>197</v>
      </c>
      <c r="S5" s="102" t="s">
        <v>198</v>
      </c>
      <c r="T5" s="102" t="s">
        <v>374</v>
      </c>
      <c r="U5" s="102" t="s">
        <v>375</v>
      </c>
      <c r="W5" s="85" t="s">
        <v>144</v>
      </c>
    </row>
    <row r="6" spans="1:23" x14ac:dyDescent="0.25">
      <c r="H6" s="3"/>
      <c r="I6" s="71"/>
      <c r="J6" s="3"/>
      <c r="K6" s="3"/>
      <c r="L6" s="3"/>
      <c r="M6" s="3"/>
      <c r="N6" s="3"/>
      <c r="O6" s="3"/>
      <c r="P6" s="3"/>
      <c r="Q6" s="3"/>
      <c r="R6" s="3"/>
      <c r="S6" s="3"/>
      <c r="T6" s="3"/>
      <c r="U6" s="3"/>
      <c r="W6" s="3"/>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380</v>
      </c>
    </row>
    <row r="10" spans="1:23" x14ac:dyDescent="0.25">
      <c r="C10" s="71" t="s">
        <v>381</v>
      </c>
    </row>
    <row r="11" spans="1:23" x14ac:dyDescent="0.25">
      <c r="C11" s="71" t="s">
        <v>382</v>
      </c>
    </row>
    <row r="13" spans="1:23" x14ac:dyDescent="0.25">
      <c r="B13" s="70" t="s">
        <v>383</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385</v>
      </c>
      <c r="F19" s="158"/>
      <c r="G19" s="46" t="s">
        <v>166</v>
      </c>
      <c r="H19" s="3"/>
      <c r="I19" s="3"/>
      <c r="J19" s="134"/>
      <c r="K19" s="159">
        <f>'Inputs by network level'!K15</f>
        <v>0.19143992204560414</v>
      </c>
      <c r="L19" s="159">
        <f>'Inputs by network level'!L15</f>
        <v>0.29211301826742003</v>
      </c>
      <c r="M19" s="134"/>
      <c r="N19" s="159">
        <f>'Inputs by network level'!N15</f>
        <v>0.35322343504875292</v>
      </c>
      <c r="O19" s="134"/>
      <c r="P19" s="134"/>
      <c r="Q19" s="159">
        <f>'Inputs by network level'!Q15</f>
        <v>0.34</v>
      </c>
      <c r="R19" s="134"/>
      <c r="S19" s="134"/>
      <c r="T19" s="95"/>
      <c r="U19" s="95"/>
    </row>
    <row r="20" spans="2:23" x14ac:dyDescent="0.25">
      <c r="E20" t="s">
        <v>242</v>
      </c>
      <c r="F20" s="158"/>
      <c r="G20" s="46" t="s">
        <v>166</v>
      </c>
      <c r="H20" s="3"/>
      <c r="I20" s="3"/>
      <c r="J20" s="160">
        <f t="shared" ref="J20" si="0">IF(I20 = "", 1, I20 / (1 + J19))</f>
        <v>1</v>
      </c>
      <c r="K20" s="160">
        <f>IF(J20 = "", 1, J20 / (1 + K19))</f>
        <v>0.83932054105009535</v>
      </c>
      <c r="L20" s="160">
        <f t="shared" ref="L20:S20" si="1">IF(K20 = "", 1, K20 / (1 + L19))</f>
        <v>0.64957208013857093</v>
      </c>
      <c r="M20" s="160">
        <f t="shared" si="1"/>
        <v>0.64957208013857093</v>
      </c>
      <c r="N20" s="160">
        <f t="shared" si="1"/>
        <v>0.48001834975254376</v>
      </c>
      <c r="O20" s="160">
        <f t="shared" si="1"/>
        <v>0.48001834975254376</v>
      </c>
      <c r="P20" s="160">
        <f t="shared" si="1"/>
        <v>0.48001834975254376</v>
      </c>
      <c r="Q20" s="160">
        <f t="shared" si="1"/>
        <v>0.35822264906906248</v>
      </c>
      <c r="R20" s="160">
        <f t="shared" si="1"/>
        <v>0.35822264906906248</v>
      </c>
      <c r="S20" s="160">
        <f t="shared" si="1"/>
        <v>0.35822264906906248</v>
      </c>
      <c r="T20" s="95"/>
      <c r="U20" s="95"/>
    </row>
    <row r="21" spans="2:23" x14ac:dyDescent="0.25">
      <c r="E21" t="s">
        <v>386</v>
      </c>
      <c r="F21" s="158"/>
      <c r="G21" s="46" t="s">
        <v>166</v>
      </c>
      <c r="H21" s="3"/>
      <c r="I21" s="3"/>
      <c r="J21" s="160">
        <f>1 / J20 - 1</f>
        <v>0</v>
      </c>
      <c r="K21" s="160">
        <f t="shared" ref="K21:S21" si="2">1 / K20 - 1</f>
        <v>0.19143992204560423</v>
      </c>
      <c r="L21" s="160">
        <f t="shared" si="2"/>
        <v>0.53947503375864536</v>
      </c>
      <c r="M21" s="160">
        <f t="shared" si="2"/>
        <v>0.53947503375864536</v>
      </c>
      <c r="N21" s="160">
        <f t="shared" si="2"/>
        <v>1.0832536933546688</v>
      </c>
      <c r="O21" s="160">
        <f t="shared" si="2"/>
        <v>1.0832536933546688</v>
      </c>
      <c r="P21" s="160">
        <f t="shared" si="2"/>
        <v>1.0832536933546688</v>
      </c>
      <c r="Q21" s="160">
        <f t="shared" si="2"/>
        <v>1.7915599490952565</v>
      </c>
      <c r="R21" s="160">
        <f t="shared" si="2"/>
        <v>1.7915599490952565</v>
      </c>
      <c r="S21" s="160">
        <f t="shared" si="2"/>
        <v>1.7915599490952565</v>
      </c>
      <c r="T21" s="95"/>
      <c r="U21" s="95"/>
    </row>
    <row r="22" spans="2:23" x14ac:dyDescent="0.25">
      <c r="E22" t="s">
        <v>387</v>
      </c>
      <c r="F22" s="158"/>
      <c r="G22" s="46" t="s">
        <v>166</v>
      </c>
      <c r="H22" s="3"/>
      <c r="I22" s="3"/>
      <c r="J22" s="134"/>
      <c r="K22" s="134"/>
      <c r="L22" s="134"/>
      <c r="M22" s="134"/>
      <c r="N22" s="134"/>
      <c r="O22" s="134"/>
      <c r="P22" s="160">
        <f>M21</f>
        <v>0.53947503375864536</v>
      </c>
      <c r="Q22" s="134"/>
      <c r="R22" s="134"/>
      <c r="S22" s="134"/>
      <c r="T22" s="95"/>
      <c r="U22" s="95"/>
    </row>
    <row r="23" spans="2:23" x14ac:dyDescent="0.25">
      <c r="E23" t="s">
        <v>388</v>
      </c>
      <c r="F23" s="158"/>
      <c r="G23" s="46" t="s">
        <v>166</v>
      </c>
      <c r="H23" s="3"/>
      <c r="I23" s="3" t="s">
        <v>153</v>
      </c>
      <c r="J23" s="161">
        <f t="shared" ref="J23:S23" si="3">IF(J22 = "", J21, J22)</f>
        <v>0</v>
      </c>
      <c r="K23" s="161">
        <f t="shared" si="3"/>
        <v>0.19143992204560423</v>
      </c>
      <c r="L23" s="161">
        <f t="shared" si="3"/>
        <v>0.53947503375864536</v>
      </c>
      <c r="M23" s="161">
        <f t="shared" si="3"/>
        <v>0.53947503375864536</v>
      </c>
      <c r="N23" s="161">
        <f t="shared" si="3"/>
        <v>1.0832536933546688</v>
      </c>
      <c r="O23" s="161">
        <f t="shared" si="3"/>
        <v>1.0832536933546688</v>
      </c>
      <c r="P23" s="161">
        <f t="shared" si="3"/>
        <v>0.53947503375864536</v>
      </c>
      <c r="Q23" s="161">
        <f t="shared" si="3"/>
        <v>1.7915599490952565</v>
      </c>
      <c r="R23" s="161">
        <f t="shared" si="3"/>
        <v>1.7915599490952565</v>
      </c>
      <c r="S23" s="161">
        <f t="shared" si="3"/>
        <v>1.7915599490952565</v>
      </c>
      <c r="T23" s="95"/>
      <c r="U23" s="95"/>
      <c r="W23" s="92" t="s">
        <v>389</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390</v>
      </c>
      <c r="F27" s="162"/>
      <c r="G27" s="113" t="s">
        <v>282</v>
      </c>
      <c r="H27" s="3"/>
      <c r="I27" s="3"/>
      <c r="J27" s="114"/>
      <c r="K27" s="163">
        <f>'Inputs by network level'!K19</f>
        <v>1</v>
      </c>
      <c r="L27" s="163">
        <f>'Inputs by network level'!L19</f>
        <v>1.0069999999999999</v>
      </c>
      <c r="M27" s="163">
        <f>'Inputs by network level'!M19</f>
        <v>1.01</v>
      </c>
      <c r="N27" s="163">
        <f>'Inputs by network level'!N19</f>
        <v>1.0129999999999999</v>
      </c>
      <c r="O27" s="163">
        <f>'Inputs by network level'!O19</f>
        <v>1.0189999999999999</v>
      </c>
      <c r="P27" s="114"/>
      <c r="Q27" s="163">
        <f>'Inputs by network level'!Q19</f>
        <v>1.0289999999999999</v>
      </c>
      <c r="R27" s="163">
        <f>'Inputs by network level'!R19</f>
        <v>1.044</v>
      </c>
      <c r="S27" s="163">
        <f>'Inputs by network level'!S19</f>
        <v>1.1379999999999999</v>
      </c>
      <c r="T27" s="114"/>
      <c r="U27" s="114"/>
    </row>
    <row r="28" spans="2:23" x14ac:dyDescent="0.25">
      <c r="E28" t="s">
        <v>391</v>
      </c>
      <c r="F28" s="162"/>
      <c r="G28" s="113" t="s">
        <v>282</v>
      </c>
      <c r="H28" s="3"/>
      <c r="I28" s="3"/>
      <c r="J28" s="141">
        <f>K27</f>
        <v>1</v>
      </c>
      <c r="K28" s="114"/>
      <c r="L28" s="114"/>
      <c r="M28" s="114"/>
      <c r="N28" s="114"/>
      <c r="O28" s="114"/>
      <c r="P28" s="141">
        <f>O27</f>
        <v>1.0189999999999999</v>
      </c>
      <c r="Q28" s="114"/>
      <c r="R28" s="114"/>
      <c r="S28" s="114"/>
      <c r="T28" s="114"/>
      <c r="U28" s="114"/>
    </row>
    <row r="29" spans="2:23" x14ac:dyDescent="0.25">
      <c r="E29" t="s">
        <v>392</v>
      </c>
      <c r="F29" s="162"/>
      <c r="G29" s="113" t="s">
        <v>282</v>
      </c>
      <c r="H29" s="3"/>
      <c r="I29" s="3" t="s">
        <v>153</v>
      </c>
      <c r="J29" s="164">
        <f t="shared" ref="J29:S29" si="4">J27 + J28</f>
        <v>1</v>
      </c>
      <c r="K29" s="164">
        <f t="shared" si="4"/>
        <v>1</v>
      </c>
      <c r="L29" s="164">
        <f t="shared" si="4"/>
        <v>1.0069999999999999</v>
      </c>
      <c r="M29" s="164">
        <f t="shared" si="4"/>
        <v>1.01</v>
      </c>
      <c r="N29" s="164">
        <f t="shared" si="4"/>
        <v>1.0129999999999999</v>
      </c>
      <c r="O29" s="164">
        <f t="shared" si="4"/>
        <v>1.0189999999999999</v>
      </c>
      <c r="P29" s="164">
        <f t="shared" si="4"/>
        <v>1.0189999999999999</v>
      </c>
      <c r="Q29" s="164">
        <f t="shared" si="4"/>
        <v>1.0289999999999999</v>
      </c>
      <c r="R29" s="164">
        <f t="shared" si="4"/>
        <v>1.044</v>
      </c>
      <c r="S29" s="164">
        <f t="shared" si="4"/>
        <v>1.1379999999999999</v>
      </c>
      <c r="T29" s="114"/>
      <c r="U29" s="114"/>
      <c r="W29" s="92" t="s">
        <v>283</v>
      </c>
    </row>
    <row r="30" spans="2:23" x14ac:dyDescent="0.25">
      <c r="F30" s="158"/>
      <c r="G30" s="46"/>
      <c r="H30" s="3"/>
      <c r="I30" s="3"/>
      <c r="J30" s="3"/>
      <c r="K30" s="3"/>
      <c r="L30" s="3"/>
      <c r="M30" s="3"/>
      <c r="N30" s="3"/>
      <c r="O30" s="3"/>
      <c r="Q30" s="3"/>
      <c r="R30" s="3"/>
      <c r="S30" s="3"/>
      <c r="T30" s="3"/>
      <c r="U30" s="3"/>
    </row>
    <row r="31" spans="2:23" x14ac:dyDescent="0.25">
      <c r="B31" s="70" t="s">
        <v>393</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394</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195</v>
      </c>
      <c r="F37" s="89"/>
      <c r="G37" s="113" t="s">
        <v>166</v>
      </c>
      <c r="H37" s="159">
        <f>'Inputs by network level'!P17</f>
        <v>0</v>
      </c>
      <c r="I37" s="3"/>
    </row>
    <row r="38" spans="3:23" x14ac:dyDescent="0.25">
      <c r="E38" t="s">
        <v>395</v>
      </c>
      <c r="F38" s="158"/>
      <c r="G38" s="46" t="s">
        <v>166</v>
      </c>
      <c r="H38" s="3"/>
      <c r="I38" s="3"/>
      <c r="J38" s="95"/>
      <c r="K38" s="95"/>
      <c r="L38" s="95"/>
      <c r="M38" s="165">
        <f>1 - $H$37</f>
        <v>1</v>
      </c>
      <c r="N38" s="165">
        <f>1 - $H$37</f>
        <v>1</v>
      </c>
      <c r="O38" s="165">
        <f>1 - $H$37</f>
        <v>1</v>
      </c>
      <c r="P38" s="166">
        <f>H37</f>
        <v>0</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396</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186</v>
      </c>
      <c r="G44" s="46"/>
    </row>
    <row r="45" spans="3:23" x14ac:dyDescent="0.25">
      <c r="E45" s="71" t="s">
        <v>397</v>
      </c>
      <c r="G45" s="46"/>
    </row>
    <row r="46" spans="3:23" x14ac:dyDescent="0.25">
      <c r="F46" s="90" t="s">
        <v>1158</v>
      </c>
      <c r="G46" s="111" t="s">
        <v>189</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825</v>
      </c>
      <c r="G47" s="113" t="s">
        <v>189</v>
      </c>
      <c r="J47" s="163">
        <v>1</v>
      </c>
      <c r="K47" s="163">
        <v>1</v>
      </c>
      <c r="L47" s="163">
        <v>1</v>
      </c>
      <c r="M47" s="163">
        <v>1</v>
      </c>
      <c r="N47" s="163">
        <v>1</v>
      </c>
      <c r="O47" s="163">
        <v>1</v>
      </c>
      <c r="P47" s="163">
        <v>1</v>
      </c>
      <c r="Q47" s="163">
        <v>1</v>
      </c>
      <c r="R47" s="163">
        <v>1</v>
      </c>
      <c r="S47" s="163">
        <v>1</v>
      </c>
      <c r="T47" s="114"/>
      <c r="U47" s="114"/>
    </row>
    <row r="48" spans="3:23" x14ac:dyDescent="0.25">
      <c r="F48" t="s">
        <v>1159</v>
      </c>
      <c r="G48" s="113" t="s">
        <v>189</v>
      </c>
      <c r="J48" s="163">
        <v>1</v>
      </c>
      <c r="K48" s="163">
        <v>1</v>
      </c>
      <c r="L48" s="163">
        <v>1</v>
      </c>
      <c r="M48" s="163">
        <v>1</v>
      </c>
      <c r="N48" s="163">
        <v>1</v>
      </c>
      <c r="O48" s="163">
        <v>1</v>
      </c>
      <c r="P48" s="163">
        <v>1</v>
      </c>
      <c r="Q48" s="163">
        <v>1</v>
      </c>
      <c r="R48" s="163">
        <v>1</v>
      </c>
      <c r="S48" s="163">
        <v>1</v>
      </c>
      <c r="T48" s="114"/>
      <c r="U48" s="114"/>
    </row>
    <row r="49" spans="5:21" x14ac:dyDescent="0.25">
      <c r="F49" t="s">
        <v>826</v>
      </c>
      <c r="G49" s="113" t="s">
        <v>189</v>
      </c>
      <c r="J49" s="163">
        <v>1</v>
      </c>
      <c r="K49" s="163">
        <v>1</v>
      </c>
      <c r="L49" s="163">
        <v>1</v>
      </c>
      <c r="M49" s="163">
        <v>1</v>
      </c>
      <c r="N49" s="163">
        <v>1</v>
      </c>
      <c r="O49" s="163">
        <v>1</v>
      </c>
      <c r="P49" s="163">
        <v>1</v>
      </c>
      <c r="Q49" s="163">
        <v>1</v>
      </c>
      <c r="R49" s="163">
        <v>1</v>
      </c>
      <c r="S49" s="163">
        <v>1</v>
      </c>
      <c r="T49" s="114"/>
      <c r="U49" s="114"/>
    </row>
    <row r="50" spans="5:21" x14ac:dyDescent="0.25">
      <c r="F50" t="s">
        <v>832</v>
      </c>
      <c r="G50" s="113" t="s">
        <v>189</v>
      </c>
      <c r="J50" s="163">
        <v>1</v>
      </c>
      <c r="K50" s="163">
        <v>1</v>
      </c>
      <c r="L50" s="163">
        <v>1</v>
      </c>
      <c r="M50" s="163">
        <v>1</v>
      </c>
      <c r="N50" s="163">
        <v>1</v>
      </c>
      <c r="O50" s="163">
        <v>1</v>
      </c>
      <c r="P50" s="163">
        <v>1</v>
      </c>
      <c r="Q50" s="163">
        <v>1</v>
      </c>
      <c r="R50" s="163">
        <v>1</v>
      </c>
      <c r="S50" s="163">
        <v>1</v>
      </c>
      <c r="T50" s="114"/>
      <c r="U50" s="114"/>
    </row>
    <row r="51" spans="5:21" x14ac:dyDescent="0.25">
      <c r="F51" t="s">
        <v>833</v>
      </c>
      <c r="G51" s="113" t="s">
        <v>189</v>
      </c>
      <c r="J51" s="163">
        <v>1</v>
      </c>
      <c r="K51" s="163">
        <v>1</v>
      </c>
      <c r="L51" s="163">
        <v>1</v>
      </c>
      <c r="M51" s="163">
        <v>1</v>
      </c>
      <c r="N51" s="163">
        <v>1</v>
      </c>
      <c r="O51" s="163">
        <v>1</v>
      </c>
      <c r="P51" s="163">
        <v>1</v>
      </c>
      <c r="Q51" s="163">
        <v>1</v>
      </c>
      <c r="R51" s="163">
        <v>1</v>
      </c>
      <c r="S51" s="163">
        <v>0</v>
      </c>
      <c r="T51" s="114"/>
      <c r="U51" s="114"/>
    </row>
    <row r="52" spans="5:21" x14ac:dyDescent="0.25">
      <c r="F52" t="s">
        <v>834</v>
      </c>
      <c r="G52" s="113" t="s">
        <v>189</v>
      </c>
      <c r="J52" s="163">
        <v>1</v>
      </c>
      <c r="K52" s="163">
        <v>1</v>
      </c>
      <c r="L52" s="163">
        <v>1</v>
      </c>
      <c r="M52" s="163">
        <v>1</v>
      </c>
      <c r="N52" s="163">
        <v>1</v>
      </c>
      <c r="O52" s="163">
        <v>1</v>
      </c>
      <c r="P52" s="163">
        <v>1</v>
      </c>
      <c r="Q52" s="163">
        <v>1</v>
      </c>
      <c r="R52" s="163">
        <v>0</v>
      </c>
      <c r="S52" s="163">
        <v>0</v>
      </c>
      <c r="T52" s="114"/>
      <c r="U52" s="114"/>
    </row>
    <row r="53" spans="5:21" x14ac:dyDescent="0.25">
      <c r="F53" t="s">
        <v>835</v>
      </c>
      <c r="G53" s="113" t="s">
        <v>189</v>
      </c>
      <c r="J53" s="163">
        <v>1</v>
      </c>
      <c r="K53" s="163">
        <v>1</v>
      </c>
      <c r="L53" s="163">
        <v>1</v>
      </c>
      <c r="M53" s="163">
        <v>1</v>
      </c>
      <c r="N53" s="163">
        <v>1</v>
      </c>
      <c r="O53" s="163">
        <v>1</v>
      </c>
      <c r="P53" s="163">
        <v>1</v>
      </c>
      <c r="Q53" s="163">
        <v>1</v>
      </c>
      <c r="R53" s="163">
        <v>1</v>
      </c>
      <c r="S53" s="163">
        <v>1</v>
      </c>
      <c r="T53" s="114"/>
      <c r="U53" s="114"/>
    </row>
    <row r="54" spans="5:21" x14ac:dyDescent="0.25">
      <c r="F54" t="s">
        <v>827</v>
      </c>
      <c r="G54" s="113" t="s">
        <v>189</v>
      </c>
      <c r="J54" s="163">
        <v>-1</v>
      </c>
      <c r="K54" s="163">
        <v>-1</v>
      </c>
      <c r="L54" s="163">
        <v>-1</v>
      </c>
      <c r="M54" s="163">
        <v>-1</v>
      </c>
      <c r="N54" s="163">
        <v>-1</v>
      </c>
      <c r="O54" s="163">
        <v>-1</v>
      </c>
      <c r="P54" s="163">
        <v>-1</v>
      </c>
      <c r="Q54" s="163">
        <v>-1</v>
      </c>
      <c r="R54" s="163">
        <v>-1</v>
      </c>
      <c r="S54" s="163">
        <v>-1</v>
      </c>
      <c r="T54" s="114"/>
      <c r="U54" s="114"/>
    </row>
    <row r="55" spans="5:21" x14ac:dyDescent="0.25">
      <c r="F55" t="s">
        <v>828</v>
      </c>
      <c r="G55" s="113" t="s">
        <v>189</v>
      </c>
      <c r="J55" s="163">
        <v>-1</v>
      </c>
      <c r="K55" s="163">
        <v>-1</v>
      </c>
      <c r="L55" s="163">
        <v>-1</v>
      </c>
      <c r="M55" s="163">
        <v>-1</v>
      </c>
      <c r="N55" s="163">
        <v>-1</v>
      </c>
      <c r="O55" s="163">
        <v>-1</v>
      </c>
      <c r="P55" s="163">
        <v>-1</v>
      </c>
      <c r="Q55" s="163">
        <v>-1</v>
      </c>
      <c r="R55" s="163">
        <v>-1</v>
      </c>
      <c r="S55" s="163">
        <v>0</v>
      </c>
      <c r="T55" s="114"/>
      <c r="U55" s="114"/>
    </row>
    <row r="56" spans="5:21" x14ac:dyDescent="0.25">
      <c r="F56" t="s">
        <v>829</v>
      </c>
      <c r="G56" s="113" t="s">
        <v>189</v>
      </c>
      <c r="J56" s="163">
        <v>-1</v>
      </c>
      <c r="K56" s="163">
        <v>-1</v>
      </c>
      <c r="L56" s="163">
        <v>-1</v>
      </c>
      <c r="M56" s="163">
        <v>-1</v>
      </c>
      <c r="N56" s="163">
        <v>-1</v>
      </c>
      <c r="O56" s="163">
        <v>-1</v>
      </c>
      <c r="P56" s="163">
        <v>-1</v>
      </c>
      <c r="Q56" s="163">
        <v>-1</v>
      </c>
      <c r="R56" s="163">
        <v>-1</v>
      </c>
      <c r="S56" s="163">
        <v>-1</v>
      </c>
      <c r="T56" s="114"/>
      <c r="U56" s="114"/>
    </row>
    <row r="57" spans="5:21" x14ac:dyDescent="0.25">
      <c r="F57" t="s">
        <v>838</v>
      </c>
      <c r="G57" s="113" t="s">
        <v>189</v>
      </c>
      <c r="J57" s="163">
        <v>-1</v>
      </c>
      <c r="K57" s="163">
        <v>-1</v>
      </c>
      <c r="L57" s="163">
        <v>-1</v>
      </c>
      <c r="M57" s="163">
        <v>-1</v>
      </c>
      <c r="N57" s="163">
        <v>-1</v>
      </c>
      <c r="O57" s="163">
        <v>-1</v>
      </c>
      <c r="P57" s="163">
        <v>-1</v>
      </c>
      <c r="Q57" s="163">
        <v>-1</v>
      </c>
      <c r="R57" s="163">
        <v>-1</v>
      </c>
      <c r="S57" s="163">
        <v>-1</v>
      </c>
      <c r="T57" s="114"/>
      <c r="U57" s="114"/>
    </row>
    <row r="58" spans="5:21" x14ac:dyDescent="0.25">
      <c r="F58" t="s">
        <v>830</v>
      </c>
      <c r="G58" s="113" t="s">
        <v>189</v>
      </c>
      <c r="J58" s="163">
        <v>-1</v>
      </c>
      <c r="K58" s="163">
        <v>-1</v>
      </c>
      <c r="L58" s="163">
        <v>-1</v>
      </c>
      <c r="M58" s="163">
        <v>-1</v>
      </c>
      <c r="N58" s="163">
        <v>-1</v>
      </c>
      <c r="O58" s="163">
        <v>-1</v>
      </c>
      <c r="P58" s="163">
        <v>-1</v>
      </c>
      <c r="Q58" s="163">
        <v>-1</v>
      </c>
      <c r="R58" s="163">
        <v>-1</v>
      </c>
      <c r="S58" s="163">
        <v>0</v>
      </c>
      <c r="T58" s="114"/>
      <c r="U58" s="114"/>
    </row>
    <row r="59" spans="5:21" x14ac:dyDescent="0.25">
      <c r="F59" t="s">
        <v>837</v>
      </c>
      <c r="G59" s="113" t="s">
        <v>189</v>
      </c>
      <c r="J59" s="163">
        <v>-1</v>
      </c>
      <c r="K59" s="163">
        <v>-1</v>
      </c>
      <c r="L59" s="163">
        <v>-1</v>
      </c>
      <c r="M59" s="163">
        <v>-1</v>
      </c>
      <c r="N59" s="163">
        <v>-1</v>
      </c>
      <c r="O59" s="163">
        <v>-1</v>
      </c>
      <c r="P59" s="163">
        <v>-1</v>
      </c>
      <c r="Q59" s="163">
        <v>-1</v>
      </c>
      <c r="R59" s="163">
        <v>-1</v>
      </c>
      <c r="S59" s="163">
        <v>0</v>
      </c>
      <c r="T59" s="114"/>
      <c r="U59" s="114"/>
    </row>
    <row r="60" spans="5:21" x14ac:dyDescent="0.25">
      <c r="F60" t="s">
        <v>831</v>
      </c>
      <c r="G60" s="113" t="s">
        <v>189</v>
      </c>
      <c r="J60" s="163">
        <v>-1</v>
      </c>
      <c r="K60" s="163">
        <v>-1</v>
      </c>
      <c r="L60" s="163">
        <v>-1</v>
      </c>
      <c r="M60" s="163">
        <v>-1</v>
      </c>
      <c r="N60" s="163">
        <v>-1</v>
      </c>
      <c r="O60" s="163">
        <v>-1</v>
      </c>
      <c r="P60" s="163">
        <v>-1</v>
      </c>
      <c r="Q60" s="163">
        <v>-1</v>
      </c>
      <c r="R60" s="163">
        <v>0</v>
      </c>
      <c r="S60" s="163">
        <v>0</v>
      </c>
      <c r="T60" s="114"/>
      <c r="U60" s="114"/>
    </row>
    <row r="61" spans="5:21" x14ac:dyDescent="0.25">
      <c r="F61" s="91" t="s">
        <v>836</v>
      </c>
      <c r="G61" s="115" t="s">
        <v>189</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398</v>
      </c>
      <c r="G63" s="46"/>
      <c r="J63" s="101"/>
      <c r="K63" s="101"/>
      <c r="L63" s="101"/>
      <c r="M63" s="101"/>
      <c r="N63" s="101"/>
      <c r="O63" s="101"/>
      <c r="P63" s="101"/>
      <c r="Q63" s="101"/>
      <c r="R63" s="101"/>
      <c r="S63" s="101"/>
      <c r="T63" s="101"/>
      <c r="U63" s="101"/>
    </row>
    <row r="64" spans="5:21" x14ac:dyDescent="0.25">
      <c r="E64" s="71" t="s">
        <v>399</v>
      </c>
      <c r="G64" s="46"/>
      <c r="J64" s="101"/>
      <c r="K64" s="101"/>
      <c r="L64" s="101"/>
      <c r="M64" s="101"/>
      <c r="N64" s="101"/>
      <c r="O64" s="101"/>
      <c r="P64" s="101"/>
      <c r="Q64" s="101"/>
      <c r="R64" s="101"/>
      <c r="S64" s="101"/>
      <c r="T64" s="101"/>
      <c r="U64" s="101"/>
    </row>
    <row r="65" spans="6:23" x14ac:dyDescent="0.25">
      <c r="F65" s="90" t="s">
        <v>1158</v>
      </c>
      <c r="G65" s="111" t="s">
        <v>189</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25">
      <c r="F66" t="s">
        <v>825</v>
      </c>
      <c r="G66" s="113" t="s">
        <v>189</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25">
      <c r="F67" t="s">
        <v>1159</v>
      </c>
      <c r="G67" s="113" t="s">
        <v>189</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25">
      <c r="F68" t="s">
        <v>826</v>
      </c>
      <c r="G68" s="113" t="s">
        <v>189</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25">
      <c r="F69" t="s">
        <v>832</v>
      </c>
      <c r="G69" s="113" t="s">
        <v>189</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25">
      <c r="F70" t="s">
        <v>833</v>
      </c>
      <c r="G70" s="113" t="s">
        <v>189</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25">
      <c r="F71" t="s">
        <v>834</v>
      </c>
      <c r="G71" s="113" t="s">
        <v>189</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25">
      <c r="F72" t="s">
        <v>835</v>
      </c>
      <c r="G72" s="113" t="s">
        <v>189</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25">
      <c r="F73" t="s">
        <v>827</v>
      </c>
      <c r="G73" s="113" t="s">
        <v>189</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25">
      <c r="F74" t="s">
        <v>828</v>
      </c>
      <c r="G74" s="113" t="s">
        <v>189</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25">
      <c r="F75" t="s">
        <v>829</v>
      </c>
      <c r="G75" s="113" t="s">
        <v>189</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25">
      <c r="F76" t="s">
        <v>838</v>
      </c>
      <c r="G76" s="113" t="s">
        <v>189</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25">
      <c r="F77" t="s">
        <v>830</v>
      </c>
      <c r="G77" s="113" t="s">
        <v>189</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25">
      <c r="F78" t="s">
        <v>837</v>
      </c>
      <c r="G78" s="113" t="s">
        <v>189</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25">
      <c r="F79" t="s">
        <v>831</v>
      </c>
      <c r="G79" s="113" t="s">
        <v>189</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25">
      <c r="F80" s="91" t="s">
        <v>836</v>
      </c>
      <c r="G80" s="115" t="s">
        <v>189</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199</v>
      </c>
      <c r="G82" s="46"/>
      <c r="I82" t="s">
        <v>153</v>
      </c>
      <c r="J82" s="101"/>
      <c r="K82" s="101"/>
      <c r="L82" s="101"/>
      <c r="M82" s="101"/>
      <c r="N82" s="101"/>
      <c r="O82" s="101"/>
      <c r="P82" s="101"/>
      <c r="Q82" s="101"/>
      <c r="R82" s="101"/>
      <c r="S82" s="101"/>
      <c r="T82" s="101"/>
      <c r="U82" s="101"/>
      <c r="W82" s="3" t="s">
        <v>400</v>
      </c>
    </row>
    <row r="83" spans="5:23" x14ac:dyDescent="0.25">
      <c r="E83" s="71" t="s">
        <v>201</v>
      </c>
      <c r="G83" s="46"/>
      <c r="J83" s="101"/>
      <c r="K83" s="101"/>
      <c r="L83" s="101"/>
      <c r="M83" s="101"/>
      <c r="N83" s="101"/>
      <c r="O83" s="101"/>
      <c r="P83" s="101"/>
      <c r="Q83" s="101"/>
      <c r="R83" s="101"/>
      <c r="S83" s="101"/>
      <c r="T83" s="101"/>
      <c r="U83" s="101"/>
    </row>
    <row r="84" spans="5:23" x14ac:dyDescent="0.25">
      <c r="F84" s="90" t="s">
        <v>1158</v>
      </c>
      <c r="G84" s="111" t="s">
        <v>175</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825</v>
      </c>
      <c r="G85" s="113" t="s">
        <v>175</v>
      </c>
      <c r="J85" s="163">
        <v>1</v>
      </c>
      <c r="K85" s="163">
        <v>1</v>
      </c>
      <c r="L85" s="163">
        <v>1</v>
      </c>
      <c r="M85" s="163">
        <v>1</v>
      </c>
      <c r="N85" s="163">
        <v>1</v>
      </c>
      <c r="O85" s="163">
        <v>1</v>
      </c>
      <c r="P85" s="163">
        <v>1</v>
      </c>
      <c r="Q85" s="163">
        <v>1</v>
      </c>
      <c r="R85" s="163">
        <v>1</v>
      </c>
      <c r="S85" s="163">
        <v>1</v>
      </c>
      <c r="T85" s="114"/>
      <c r="U85" s="114"/>
    </row>
    <row r="86" spans="5:23" x14ac:dyDescent="0.25">
      <c r="F86" t="s">
        <v>1159</v>
      </c>
      <c r="G86" s="113" t="s">
        <v>175</v>
      </c>
      <c r="J86" s="163">
        <v>1</v>
      </c>
      <c r="K86" s="163">
        <v>1</v>
      </c>
      <c r="L86" s="163">
        <v>1</v>
      </c>
      <c r="M86" s="163">
        <v>1</v>
      </c>
      <c r="N86" s="163">
        <v>1</v>
      </c>
      <c r="O86" s="163">
        <v>1</v>
      </c>
      <c r="P86" s="163">
        <v>1</v>
      </c>
      <c r="Q86" s="163">
        <v>1</v>
      </c>
      <c r="R86" s="163">
        <v>1</v>
      </c>
      <c r="S86" s="163">
        <v>1</v>
      </c>
      <c r="T86" s="114"/>
      <c r="U86" s="114"/>
    </row>
    <row r="87" spans="5:23" x14ac:dyDescent="0.25">
      <c r="F87" t="s">
        <v>826</v>
      </c>
      <c r="G87" s="113" t="s">
        <v>175</v>
      </c>
      <c r="J87" s="163">
        <v>1</v>
      </c>
      <c r="K87" s="163">
        <v>1</v>
      </c>
      <c r="L87" s="163">
        <v>1</v>
      </c>
      <c r="M87" s="163">
        <v>1</v>
      </c>
      <c r="N87" s="163">
        <v>1</v>
      </c>
      <c r="O87" s="163">
        <v>1</v>
      </c>
      <c r="P87" s="163">
        <v>1</v>
      </c>
      <c r="Q87" s="163">
        <v>1</v>
      </c>
      <c r="R87" s="163">
        <v>1</v>
      </c>
      <c r="S87" s="163">
        <v>1</v>
      </c>
      <c r="T87" s="114"/>
      <c r="U87" s="114"/>
    </row>
    <row r="88" spans="5:23" x14ac:dyDescent="0.25">
      <c r="F88" t="s">
        <v>832</v>
      </c>
      <c r="G88" s="113" t="s">
        <v>175</v>
      </c>
      <c r="J88" s="163">
        <v>1</v>
      </c>
      <c r="K88" s="163">
        <v>1</v>
      </c>
      <c r="L88" s="163">
        <v>1</v>
      </c>
      <c r="M88" s="163">
        <v>1</v>
      </c>
      <c r="N88" s="163">
        <v>1</v>
      </c>
      <c r="O88" s="163">
        <v>1</v>
      </c>
      <c r="P88" s="163">
        <v>1</v>
      </c>
      <c r="Q88" s="163">
        <v>1</v>
      </c>
      <c r="R88" s="163">
        <v>1</v>
      </c>
      <c r="S88" s="163">
        <v>1</v>
      </c>
      <c r="T88" s="114"/>
      <c r="U88" s="114"/>
    </row>
    <row r="89" spans="5:23" x14ac:dyDescent="0.25">
      <c r="F89" t="s">
        <v>833</v>
      </c>
      <c r="G89" s="113" t="s">
        <v>175</v>
      </c>
      <c r="J89" s="163">
        <v>1</v>
      </c>
      <c r="K89" s="163">
        <v>1</v>
      </c>
      <c r="L89" s="163">
        <v>1</v>
      </c>
      <c r="M89" s="163">
        <v>1</v>
      </c>
      <c r="N89" s="163">
        <v>1</v>
      </c>
      <c r="O89" s="163">
        <v>1</v>
      </c>
      <c r="P89" s="163">
        <v>1</v>
      </c>
      <c r="Q89" s="163">
        <v>1</v>
      </c>
      <c r="R89" s="163">
        <v>1</v>
      </c>
      <c r="S89" s="163">
        <v>0</v>
      </c>
      <c r="T89" s="114"/>
      <c r="U89" s="114"/>
    </row>
    <row r="90" spans="5:23" x14ac:dyDescent="0.25">
      <c r="F90" t="s">
        <v>834</v>
      </c>
      <c r="G90" s="113" t="s">
        <v>175</v>
      </c>
      <c r="J90" s="163">
        <v>1</v>
      </c>
      <c r="K90" s="163">
        <v>1</v>
      </c>
      <c r="L90" s="163">
        <v>1</v>
      </c>
      <c r="M90" s="163">
        <v>1</v>
      </c>
      <c r="N90" s="163">
        <v>1</v>
      </c>
      <c r="O90" s="163">
        <v>1</v>
      </c>
      <c r="P90" s="163">
        <v>1</v>
      </c>
      <c r="Q90" s="163">
        <v>1</v>
      </c>
      <c r="R90" s="163">
        <v>0</v>
      </c>
      <c r="S90" s="163">
        <v>0</v>
      </c>
      <c r="T90" s="114"/>
      <c r="U90" s="114"/>
    </row>
    <row r="91" spans="5:23" x14ac:dyDescent="0.25">
      <c r="F91" t="s">
        <v>835</v>
      </c>
      <c r="G91" s="113" t="s">
        <v>175</v>
      </c>
      <c r="J91" s="163">
        <v>1</v>
      </c>
      <c r="K91" s="163">
        <v>1</v>
      </c>
      <c r="L91" s="163">
        <v>1</v>
      </c>
      <c r="M91" s="163">
        <v>1</v>
      </c>
      <c r="N91" s="163">
        <v>1</v>
      </c>
      <c r="O91" s="163">
        <v>1</v>
      </c>
      <c r="P91" s="163">
        <v>1</v>
      </c>
      <c r="Q91" s="163">
        <v>1</v>
      </c>
      <c r="R91" s="163">
        <v>1</v>
      </c>
      <c r="S91" s="163">
        <v>1</v>
      </c>
      <c r="T91" s="114"/>
      <c r="U91" s="114"/>
    </row>
    <row r="92" spans="5:23" x14ac:dyDescent="0.25">
      <c r="F92" t="s">
        <v>827</v>
      </c>
      <c r="G92" s="113" t="s">
        <v>175</v>
      </c>
      <c r="J92" s="163">
        <v>-1</v>
      </c>
      <c r="K92" s="163">
        <v>-1</v>
      </c>
      <c r="L92" s="163">
        <v>-1</v>
      </c>
      <c r="M92" s="163">
        <v>-1</v>
      </c>
      <c r="N92" s="163">
        <v>-1</v>
      </c>
      <c r="O92" s="163">
        <v>-1</v>
      </c>
      <c r="P92" s="163">
        <v>-1</v>
      </c>
      <c r="Q92" s="163">
        <v>-1</v>
      </c>
      <c r="R92" s="163">
        <v>-1</v>
      </c>
      <c r="S92" s="163">
        <v>0</v>
      </c>
      <c r="T92" s="114"/>
      <c r="U92" s="114"/>
    </row>
    <row r="93" spans="5:23" x14ac:dyDescent="0.25">
      <c r="F93" t="s">
        <v>828</v>
      </c>
      <c r="G93" s="113" t="s">
        <v>175</v>
      </c>
      <c r="J93" s="163">
        <v>-1</v>
      </c>
      <c r="K93" s="163">
        <v>-1</v>
      </c>
      <c r="L93" s="163">
        <v>-1</v>
      </c>
      <c r="M93" s="163">
        <v>-1</v>
      </c>
      <c r="N93" s="163">
        <v>-1</v>
      </c>
      <c r="O93" s="163">
        <v>-1</v>
      </c>
      <c r="P93" s="163">
        <v>-1</v>
      </c>
      <c r="Q93" s="163">
        <v>-1</v>
      </c>
      <c r="R93" s="163">
        <v>0</v>
      </c>
      <c r="S93" s="163">
        <v>0</v>
      </c>
      <c r="T93" s="114"/>
      <c r="U93" s="114"/>
    </row>
    <row r="94" spans="5:23" x14ac:dyDescent="0.25">
      <c r="F94" t="s">
        <v>829</v>
      </c>
      <c r="G94" s="113" t="s">
        <v>175</v>
      </c>
      <c r="J94" s="163">
        <v>-1</v>
      </c>
      <c r="K94" s="163">
        <v>-1</v>
      </c>
      <c r="L94" s="163">
        <v>-1</v>
      </c>
      <c r="M94" s="163">
        <v>-1</v>
      </c>
      <c r="N94" s="163">
        <v>-1</v>
      </c>
      <c r="O94" s="163">
        <v>-1</v>
      </c>
      <c r="P94" s="163">
        <v>-1</v>
      </c>
      <c r="Q94" s="163">
        <v>-1</v>
      </c>
      <c r="R94" s="163">
        <v>-1</v>
      </c>
      <c r="S94" s="163">
        <v>0</v>
      </c>
      <c r="T94" s="114"/>
      <c r="U94" s="114"/>
    </row>
    <row r="95" spans="5:23" x14ac:dyDescent="0.25">
      <c r="F95" t="s">
        <v>838</v>
      </c>
      <c r="G95" s="113" t="s">
        <v>175</v>
      </c>
      <c r="J95" s="163">
        <v>-1</v>
      </c>
      <c r="K95" s="163">
        <v>-1</v>
      </c>
      <c r="L95" s="163">
        <v>-1</v>
      </c>
      <c r="M95" s="163">
        <v>-1</v>
      </c>
      <c r="N95" s="163">
        <v>-1</v>
      </c>
      <c r="O95" s="163">
        <v>-1</v>
      </c>
      <c r="P95" s="163">
        <v>-1</v>
      </c>
      <c r="Q95" s="163">
        <v>-1</v>
      </c>
      <c r="R95" s="163">
        <v>-1</v>
      </c>
      <c r="S95" s="163">
        <v>0</v>
      </c>
      <c r="T95" s="114"/>
      <c r="U95" s="114"/>
    </row>
    <row r="96" spans="5:23" x14ac:dyDescent="0.25">
      <c r="F96" t="s">
        <v>830</v>
      </c>
      <c r="G96" s="113" t="s">
        <v>175</v>
      </c>
      <c r="J96" s="163">
        <v>-1</v>
      </c>
      <c r="K96" s="163">
        <v>-1</v>
      </c>
      <c r="L96" s="163">
        <v>-1</v>
      </c>
      <c r="M96" s="163">
        <v>-1</v>
      </c>
      <c r="N96" s="163">
        <v>-1</v>
      </c>
      <c r="O96" s="163">
        <v>-1</v>
      </c>
      <c r="P96" s="163">
        <v>-1</v>
      </c>
      <c r="Q96" s="163">
        <v>-1</v>
      </c>
      <c r="R96" s="163">
        <v>0</v>
      </c>
      <c r="S96" s="163">
        <v>0</v>
      </c>
      <c r="T96" s="114"/>
      <c r="U96" s="114"/>
    </row>
    <row r="97" spans="5:23" x14ac:dyDescent="0.25">
      <c r="F97" t="s">
        <v>837</v>
      </c>
      <c r="G97" s="113" t="s">
        <v>175</v>
      </c>
      <c r="J97" s="163">
        <v>-1</v>
      </c>
      <c r="K97" s="163">
        <v>-1</v>
      </c>
      <c r="L97" s="163">
        <v>-1</v>
      </c>
      <c r="M97" s="163">
        <v>-1</v>
      </c>
      <c r="N97" s="163">
        <v>-1</v>
      </c>
      <c r="O97" s="163">
        <v>-1</v>
      </c>
      <c r="P97" s="163">
        <v>-1</v>
      </c>
      <c r="Q97" s="163">
        <v>-1</v>
      </c>
      <c r="R97" s="163">
        <v>0</v>
      </c>
      <c r="S97" s="163">
        <v>0</v>
      </c>
      <c r="T97" s="114"/>
      <c r="U97" s="114"/>
    </row>
    <row r="98" spans="5:23" x14ac:dyDescent="0.25">
      <c r="F98" t="s">
        <v>831</v>
      </c>
      <c r="G98" s="113" t="s">
        <v>175</v>
      </c>
      <c r="J98" s="163">
        <v>-1</v>
      </c>
      <c r="K98" s="163">
        <v>-1</v>
      </c>
      <c r="L98" s="163">
        <v>-1</v>
      </c>
      <c r="M98" s="163">
        <v>-1</v>
      </c>
      <c r="N98" s="163">
        <v>-1</v>
      </c>
      <c r="O98" s="163">
        <v>-1</v>
      </c>
      <c r="P98" s="163">
        <v>-1</v>
      </c>
      <c r="Q98" s="163">
        <v>0</v>
      </c>
      <c r="R98" s="163">
        <v>0</v>
      </c>
      <c r="S98" s="163">
        <v>0</v>
      </c>
      <c r="T98" s="114"/>
      <c r="U98" s="114"/>
    </row>
    <row r="99" spans="5:23" x14ac:dyDescent="0.25">
      <c r="F99" s="91" t="s">
        <v>836</v>
      </c>
      <c r="G99" s="115" t="s">
        <v>175</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401</v>
      </c>
      <c r="G101" s="46"/>
      <c r="I101" t="s">
        <v>153</v>
      </c>
      <c r="J101" s="101"/>
      <c r="K101" s="101"/>
      <c r="L101" s="101"/>
      <c r="M101" s="101"/>
      <c r="N101" s="101"/>
      <c r="O101" s="101"/>
      <c r="P101" s="101"/>
      <c r="Q101" s="101"/>
      <c r="R101" s="101"/>
      <c r="S101" s="101"/>
      <c r="T101" s="101"/>
      <c r="U101" s="101"/>
      <c r="W101" s="3" t="s">
        <v>400</v>
      </c>
    </row>
    <row r="102" spans="5:23" x14ac:dyDescent="0.25">
      <c r="E102" s="71" t="s">
        <v>201</v>
      </c>
      <c r="G102" s="46"/>
      <c r="J102" s="101"/>
      <c r="K102" s="101"/>
      <c r="L102" s="101"/>
      <c r="M102" s="101"/>
      <c r="N102" s="101"/>
      <c r="O102" s="101"/>
      <c r="P102" s="101"/>
      <c r="Q102" s="101"/>
      <c r="R102" s="101"/>
      <c r="S102" s="101"/>
      <c r="T102" s="101"/>
      <c r="U102" s="101"/>
    </row>
    <row r="103" spans="5:23" x14ac:dyDescent="0.25">
      <c r="E103" s="71" t="s">
        <v>399</v>
      </c>
      <c r="G103" s="46"/>
      <c r="J103" s="101"/>
      <c r="K103" s="101"/>
      <c r="L103" s="101"/>
      <c r="M103" s="101"/>
      <c r="N103" s="101"/>
      <c r="O103" s="101"/>
      <c r="P103" s="101"/>
      <c r="Q103" s="101"/>
      <c r="R103" s="101"/>
      <c r="S103" s="101"/>
      <c r="T103" s="101"/>
      <c r="U103" s="101"/>
    </row>
    <row r="104" spans="5:23" x14ac:dyDescent="0.25">
      <c r="F104" s="90" t="s">
        <v>1158</v>
      </c>
      <c r="G104" s="111" t="s">
        <v>175</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25">
      <c r="F105" t="s">
        <v>825</v>
      </c>
      <c r="G105" s="113" t="s">
        <v>175</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25">
      <c r="F106" t="s">
        <v>1159</v>
      </c>
      <c r="G106" s="113" t="s">
        <v>175</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25">
      <c r="F107" t="s">
        <v>826</v>
      </c>
      <c r="G107" s="113" t="s">
        <v>175</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25">
      <c r="F108" t="s">
        <v>832</v>
      </c>
      <c r="G108" s="113" t="s">
        <v>175</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25">
      <c r="F109" t="s">
        <v>833</v>
      </c>
      <c r="G109" s="113" t="s">
        <v>175</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25">
      <c r="F110" t="s">
        <v>834</v>
      </c>
      <c r="G110" s="113" t="s">
        <v>175</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25">
      <c r="F111" t="s">
        <v>835</v>
      </c>
      <c r="G111" s="113" t="s">
        <v>175</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25">
      <c r="F112" t="s">
        <v>827</v>
      </c>
      <c r="G112" s="113" t="s">
        <v>175</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25">
      <c r="F113" t="s">
        <v>828</v>
      </c>
      <c r="G113" s="113" t="s">
        <v>175</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25">
      <c r="F114" t="s">
        <v>829</v>
      </c>
      <c r="G114" s="113" t="s">
        <v>175</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25">
      <c r="F115" t="s">
        <v>838</v>
      </c>
      <c r="G115" s="113" t="s">
        <v>175</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25">
      <c r="F116" t="s">
        <v>830</v>
      </c>
      <c r="G116" s="113" t="s">
        <v>175</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25">
      <c r="F117" t="s">
        <v>837</v>
      </c>
      <c r="G117" s="113" t="s">
        <v>175</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25">
      <c r="F118" t="s">
        <v>831</v>
      </c>
      <c r="G118" s="113" t="s">
        <v>175</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25">
      <c r="F119" s="91" t="s">
        <v>836</v>
      </c>
      <c r="G119" s="115" t="s">
        <v>175</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402</v>
      </c>
      <c r="G123" s="46"/>
      <c r="J123" s="101"/>
      <c r="K123" s="101"/>
      <c r="L123" s="101"/>
      <c r="M123" s="101"/>
      <c r="N123" s="101"/>
      <c r="O123" s="101"/>
      <c r="P123" s="101"/>
      <c r="Q123" s="101"/>
      <c r="R123" s="101"/>
      <c r="S123" s="101"/>
      <c r="T123" s="101"/>
      <c r="U123" s="101"/>
      <c r="W123" s="3"/>
    </row>
    <row r="124" spans="3:23" x14ac:dyDescent="0.25">
      <c r="E124" s="71" t="s">
        <v>403</v>
      </c>
      <c r="G124" s="46"/>
      <c r="J124" s="101"/>
      <c r="K124" s="101"/>
      <c r="L124" s="101"/>
      <c r="M124" s="101"/>
      <c r="N124" s="101"/>
      <c r="O124" s="101"/>
      <c r="P124" s="101"/>
      <c r="Q124" s="101"/>
      <c r="R124" s="101"/>
      <c r="S124" s="101"/>
      <c r="T124" s="101"/>
      <c r="U124" s="101"/>
    </row>
    <row r="125" spans="3:23" x14ac:dyDescent="0.25">
      <c r="E125" s="71" t="s">
        <v>404</v>
      </c>
      <c r="G125" s="46"/>
      <c r="H125" s="171" t="s">
        <v>405</v>
      </c>
      <c r="J125" s="101"/>
      <c r="K125" s="101"/>
      <c r="L125" s="101"/>
      <c r="M125" s="101"/>
      <c r="N125" s="101"/>
      <c r="O125" s="101"/>
      <c r="P125" s="101"/>
      <c r="Q125" s="101"/>
      <c r="R125" s="101"/>
      <c r="S125" s="101"/>
      <c r="T125" s="101"/>
      <c r="U125" s="101"/>
    </row>
    <row r="126" spans="3:23" x14ac:dyDescent="0.25">
      <c r="F126" s="90" t="s">
        <v>1158</v>
      </c>
      <c r="G126" s="111" t="s">
        <v>282</v>
      </c>
      <c r="H126" s="169">
        <f t="shared" ref="H126:H141" si="37">MAX(J126:S126)</f>
        <v>1.1379999999999999</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1.1379999999999999</v>
      </c>
      <c r="T126" s="112"/>
      <c r="U126" s="112"/>
      <c r="W126" s="3"/>
    </row>
    <row r="127" spans="3:23" x14ac:dyDescent="0.25">
      <c r="F127" t="s">
        <v>825</v>
      </c>
      <c r="G127" s="113" t="s">
        <v>282</v>
      </c>
      <c r="H127" s="141">
        <f t="shared" si="37"/>
        <v>1.1379999999999999</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1.1379999999999999</v>
      </c>
      <c r="T127" s="114"/>
      <c r="U127" s="114"/>
      <c r="W127" s="3"/>
    </row>
    <row r="128" spans="3:23" x14ac:dyDescent="0.25">
      <c r="F128" t="s">
        <v>1159</v>
      </c>
      <c r="G128" s="113" t="s">
        <v>282</v>
      </c>
      <c r="H128" s="141">
        <f t="shared" si="37"/>
        <v>1.1379999999999999</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1.1379999999999999</v>
      </c>
      <c r="T128" s="114"/>
      <c r="U128" s="114"/>
      <c r="W128" s="3"/>
    </row>
    <row r="129" spans="5:23" x14ac:dyDescent="0.25">
      <c r="F129" t="s">
        <v>826</v>
      </c>
      <c r="G129" s="113" t="s">
        <v>282</v>
      </c>
      <c r="H129" s="141">
        <f t="shared" si="37"/>
        <v>1.1379999999999999</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1.1379999999999999</v>
      </c>
      <c r="T129" s="114"/>
      <c r="U129" s="114"/>
    </row>
    <row r="130" spans="5:23" x14ac:dyDescent="0.25">
      <c r="F130" t="s">
        <v>832</v>
      </c>
      <c r="G130" s="113" t="s">
        <v>282</v>
      </c>
      <c r="H130" s="141">
        <f t="shared" si="37"/>
        <v>1.1379999999999999</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1.1379999999999999</v>
      </c>
      <c r="T130" s="114"/>
      <c r="U130" s="114"/>
    </row>
    <row r="131" spans="5:23" x14ac:dyDescent="0.25">
      <c r="F131" t="s">
        <v>833</v>
      </c>
      <c r="G131" s="113" t="s">
        <v>282</v>
      </c>
      <c r="H131" s="141">
        <f t="shared" si="37"/>
        <v>1.044</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1.044</v>
      </c>
      <c r="S131" s="141">
        <f>OR(SUM(S70:$S70) = 1, SUM(S70:$S70) = -1) * S$29</f>
        <v>0</v>
      </c>
      <c r="T131" s="114"/>
      <c r="U131" s="114"/>
    </row>
    <row r="132" spans="5:23" x14ac:dyDescent="0.25">
      <c r="F132" t="s">
        <v>834</v>
      </c>
      <c r="G132" s="113" t="s">
        <v>282</v>
      </c>
      <c r="H132" s="141">
        <f t="shared" si="37"/>
        <v>1.0289999999999999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1.0189999999999999</v>
      </c>
      <c r="Q132" s="141">
        <f>OR(SUM(Q71:$S71) = 1, SUM(Q71:$S71) = -1) * Q$29</f>
        <v>1.0289999999999999</v>
      </c>
      <c r="R132" s="141">
        <f>OR(SUM(R71:$S71) = 1, SUM(R71:$S71) = -1) * R$29</f>
        <v>0</v>
      </c>
      <c r="S132" s="141">
        <f>OR(SUM(S71:$S71) = 1, SUM(S71:$S71) = -1) * S$29</f>
        <v>0</v>
      </c>
      <c r="T132" s="114"/>
      <c r="U132" s="114"/>
    </row>
    <row r="133" spans="5:23" x14ac:dyDescent="0.25">
      <c r="F133" t="s">
        <v>835</v>
      </c>
      <c r="G133" s="113" t="s">
        <v>282</v>
      </c>
      <c r="H133" s="141">
        <f t="shared" si="37"/>
        <v>1.1379999999999999</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1.1379999999999999</v>
      </c>
      <c r="T133" s="114"/>
      <c r="U133" s="114"/>
    </row>
    <row r="134" spans="5:23" x14ac:dyDescent="0.25">
      <c r="F134" t="s">
        <v>827</v>
      </c>
      <c r="G134" s="113" t="s">
        <v>282</v>
      </c>
      <c r="H134" s="141">
        <f t="shared" si="37"/>
        <v>1.1379999999999999</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1.1379999999999999</v>
      </c>
      <c r="T134" s="114"/>
      <c r="U134" s="114"/>
    </row>
    <row r="135" spans="5:23" x14ac:dyDescent="0.25">
      <c r="F135" t="s">
        <v>828</v>
      </c>
      <c r="G135" s="113" t="s">
        <v>282</v>
      </c>
      <c r="H135" s="141">
        <f t="shared" si="37"/>
        <v>1.044</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1.044</v>
      </c>
      <c r="S135" s="141">
        <f>OR(SUM(S74:$S74) = 1, SUM(S74:$S74) = -1) * S$29</f>
        <v>0</v>
      </c>
      <c r="T135" s="114"/>
      <c r="U135" s="114"/>
    </row>
    <row r="136" spans="5:23" x14ac:dyDescent="0.25">
      <c r="F136" t="s">
        <v>829</v>
      </c>
      <c r="G136" s="113" t="s">
        <v>282</v>
      </c>
      <c r="H136" s="141">
        <f t="shared" si="37"/>
        <v>1.1379999999999999</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1.1379999999999999</v>
      </c>
      <c r="T136" s="114"/>
      <c r="U136" s="114"/>
    </row>
    <row r="137" spans="5:23" x14ac:dyDescent="0.25">
      <c r="F137" t="s">
        <v>838</v>
      </c>
      <c r="G137" s="113" t="s">
        <v>282</v>
      </c>
      <c r="H137" s="141">
        <f t="shared" si="37"/>
        <v>1.1379999999999999</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1.1379999999999999</v>
      </c>
      <c r="T137" s="114"/>
      <c r="U137" s="114"/>
    </row>
    <row r="138" spans="5:23" x14ac:dyDescent="0.25">
      <c r="F138" t="s">
        <v>830</v>
      </c>
      <c r="G138" s="113" t="s">
        <v>282</v>
      </c>
      <c r="H138" s="141">
        <f t="shared" si="37"/>
        <v>1.044</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1.044</v>
      </c>
      <c r="S138" s="141">
        <f>OR(SUM(S77:$S77) = 1, SUM(S77:$S77) = -1) * S$29</f>
        <v>0</v>
      </c>
      <c r="T138" s="114"/>
      <c r="U138" s="114"/>
    </row>
    <row r="139" spans="5:23" x14ac:dyDescent="0.25">
      <c r="F139" t="s">
        <v>837</v>
      </c>
      <c r="G139" s="113" t="s">
        <v>282</v>
      </c>
      <c r="H139" s="141">
        <f t="shared" si="37"/>
        <v>1.044</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1.044</v>
      </c>
      <c r="S139" s="141">
        <f>OR(SUM(S78:$S78) = 1, SUM(S78:$S78) = -1) * S$29</f>
        <v>0</v>
      </c>
      <c r="T139" s="114"/>
      <c r="U139" s="114"/>
    </row>
    <row r="140" spans="5:23" x14ac:dyDescent="0.25">
      <c r="F140" t="s">
        <v>831</v>
      </c>
      <c r="G140" s="113" t="s">
        <v>282</v>
      </c>
      <c r="H140" s="141">
        <f t="shared" si="37"/>
        <v>1.0289999999999999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1.0189999999999999</v>
      </c>
      <c r="Q140" s="141">
        <f>OR(SUM(Q79:$S79) = 1, SUM(Q79:$S79) = -1) * Q$29</f>
        <v>1.0289999999999999</v>
      </c>
      <c r="R140" s="141">
        <f>OR(SUM(R79:$S79) = 1, SUM(R79:$S79) = -1) * R$29</f>
        <v>0</v>
      </c>
      <c r="S140" s="141">
        <f>OR(SUM(S79:$S79) = 1, SUM(S79:$S79) = -1) * S$29</f>
        <v>0</v>
      </c>
      <c r="T140" s="114"/>
      <c r="U140" s="114"/>
    </row>
    <row r="141" spans="5:23" x14ac:dyDescent="0.25">
      <c r="F141" s="91" t="s">
        <v>836</v>
      </c>
      <c r="G141" s="115" t="s">
        <v>282</v>
      </c>
      <c r="H141" s="143">
        <f t="shared" si="37"/>
        <v>1.0289999999999999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1.0189999999999999</v>
      </c>
      <c r="Q141" s="143">
        <f>OR(SUM(Q80:$S80) = 1, SUM(Q80:$S80) = -1) * Q$29</f>
        <v>1.0289999999999999</v>
      </c>
      <c r="R141" s="143">
        <f>OR(SUM(R80:$S80) = 1, SUM(R80:$S80) = -1) * R$29</f>
        <v>0</v>
      </c>
      <c r="S141" s="143">
        <f>OR(SUM(S80:$S80) = 1, SUM(S80:$S80) = -1) * S$29</f>
        <v>0</v>
      </c>
      <c r="T141" s="116"/>
      <c r="U141" s="116"/>
    </row>
    <row r="142" spans="5:23" x14ac:dyDescent="0.25">
      <c r="G142" s="46"/>
    </row>
    <row r="143" spans="5:23" x14ac:dyDescent="0.25">
      <c r="E143" s="60" t="s">
        <v>406</v>
      </c>
      <c r="G143" s="46"/>
      <c r="I143" t="s">
        <v>153</v>
      </c>
      <c r="W143" s="3" t="s">
        <v>407</v>
      </c>
    </row>
    <row r="144" spans="5:23" x14ac:dyDescent="0.25">
      <c r="E144" s="71" t="s">
        <v>399</v>
      </c>
      <c r="G144" s="46"/>
    </row>
    <row r="145" spans="6:23" x14ac:dyDescent="0.25">
      <c r="F145" s="90" t="s">
        <v>1158</v>
      </c>
      <c r="G145" s="111" t="s">
        <v>282</v>
      </c>
      <c r="H145" s="172"/>
      <c r="I145" s="90"/>
      <c r="J145" s="145">
        <f t="shared" ref="J145:S145" si="38">$H126 * J104</f>
        <v>1.1379999999999999</v>
      </c>
      <c r="K145" s="145">
        <f t="shared" si="38"/>
        <v>1.1379999999999999</v>
      </c>
      <c r="L145" s="145">
        <f t="shared" si="38"/>
        <v>1.1379999999999999</v>
      </c>
      <c r="M145" s="145">
        <f t="shared" si="38"/>
        <v>1.1379999999999999</v>
      </c>
      <c r="N145" s="145">
        <f t="shared" si="38"/>
        <v>1.1379999999999999</v>
      </c>
      <c r="O145" s="145">
        <f t="shared" si="38"/>
        <v>1.1379999999999999</v>
      </c>
      <c r="P145" s="145">
        <f t="shared" si="38"/>
        <v>0</v>
      </c>
      <c r="Q145" s="145">
        <f t="shared" si="38"/>
        <v>1.1379999999999999</v>
      </c>
      <c r="R145" s="145">
        <f t="shared" si="38"/>
        <v>1.1379999999999999</v>
      </c>
      <c r="S145" s="145">
        <f t="shared" si="38"/>
        <v>1.1379999999999999</v>
      </c>
      <c r="T145" s="112"/>
      <c r="U145" s="112"/>
    </row>
    <row r="146" spans="6:23" x14ac:dyDescent="0.25">
      <c r="F146" t="s">
        <v>825</v>
      </c>
      <c r="G146" s="113" t="s">
        <v>282</v>
      </c>
      <c r="H146" s="92"/>
      <c r="J146" s="164">
        <f t="shared" ref="J146:S146" si="39">$H127 * J105</f>
        <v>1.1379999999999999</v>
      </c>
      <c r="K146" s="164">
        <f t="shared" si="39"/>
        <v>1.1379999999999999</v>
      </c>
      <c r="L146" s="164">
        <f t="shared" si="39"/>
        <v>1.1379999999999999</v>
      </c>
      <c r="M146" s="164">
        <f t="shared" si="39"/>
        <v>1.1379999999999999</v>
      </c>
      <c r="N146" s="164">
        <f t="shared" si="39"/>
        <v>1.1379999999999999</v>
      </c>
      <c r="O146" s="164">
        <f t="shared" si="39"/>
        <v>1.1379999999999999</v>
      </c>
      <c r="P146" s="164">
        <f t="shared" si="39"/>
        <v>0</v>
      </c>
      <c r="Q146" s="164">
        <f t="shared" si="39"/>
        <v>1.1379999999999999</v>
      </c>
      <c r="R146" s="164">
        <f t="shared" si="39"/>
        <v>1.1379999999999999</v>
      </c>
      <c r="S146" s="164">
        <f t="shared" si="39"/>
        <v>1.1379999999999999</v>
      </c>
      <c r="T146" s="114"/>
      <c r="U146" s="114"/>
      <c r="W146" s="3"/>
    </row>
    <row r="147" spans="6:23" x14ac:dyDescent="0.25">
      <c r="F147" t="s">
        <v>1159</v>
      </c>
      <c r="G147" s="113" t="s">
        <v>282</v>
      </c>
      <c r="H147" s="92"/>
      <c r="J147" s="164">
        <f t="shared" ref="J147:S147" si="40">$H128 * J106</f>
        <v>1.1379999999999999</v>
      </c>
      <c r="K147" s="164">
        <f t="shared" si="40"/>
        <v>1.1379999999999999</v>
      </c>
      <c r="L147" s="164">
        <f t="shared" si="40"/>
        <v>1.1379999999999999</v>
      </c>
      <c r="M147" s="164">
        <f t="shared" si="40"/>
        <v>1.1379999999999999</v>
      </c>
      <c r="N147" s="164">
        <f t="shared" si="40"/>
        <v>1.1379999999999999</v>
      </c>
      <c r="O147" s="164">
        <f t="shared" si="40"/>
        <v>1.1379999999999999</v>
      </c>
      <c r="P147" s="164">
        <f t="shared" si="40"/>
        <v>0</v>
      </c>
      <c r="Q147" s="164">
        <f t="shared" si="40"/>
        <v>1.1379999999999999</v>
      </c>
      <c r="R147" s="164">
        <f t="shared" si="40"/>
        <v>1.1379999999999999</v>
      </c>
      <c r="S147" s="164">
        <f t="shared" si="40"/>
        <v>1.1379999999999999</v>
      </c>
      <c r="T147" s="114"/>
      <c r="U147" s="114"/>
      <c r="W147" s="3"/>
    </row>
    <row r="148" spans="6:23" x14ac:dyDescent="0.25">
      <c r="F148" t="s">
        <v>826</v>
      </c>
      <c r="G148" s="113" t="s">
        <v>282</v>
      </c>
      <c r="H148" s="92"/>
      <c r="J148" s="164">
        <f t="shared" ref="J148:S148" si="41">$H129 * J107</f>
        <v>1.1379999999999999</v>
      </c>
      <c r="K148" s="164">
        <f t="shared" si="41"/>
        <v>1.1379999999999999</v>
      </c>
      <c r="L148" s="164">
        <f t="shared" si="41"/>
        <v>1.1379999999999999</v>
      </c>
      <c r="M148" s="164">
        <f t="shared" si="41"/>
        <v>1.1379999999999999</v>
      </c>
      <c r="N148" s="164">
        <f t="shared" si="41"/>
        <v>1.1379999999999999</v>
      </c>
      <c r="O148" s="164">
        <f t="shared" si="41"/>
        <v>1.1379999999999999</v>
      </c>
      <c r="P148" s="164">
        <f t="shared" si="41"/>
        <v>0</v>
      </c>
      <c r="Q148" s="164">
        <f t="shared" si="41"/>
        <v>1.1379999999999999</v>
      </c>
      <c r="R148" s="164">
        <f t="shared" si="41"/>
        <v>1.1379999999999999</v>
      </c>
      <c r="S148" s="164">
        <f t="shared" si="41"/>
        <v>1.1379999999999999</v>
      </c>
      <c r="T148" s="114"/>
      <c r="U148" s="114"/>
    </row>
    <row r="149" spans="6:23" x14ac:dyDescent="0.25">
      <c r="F149" t="s">
        <v>832</v>
      </c>
      <c r="G149" s="113" t="s">
        <v>282</v>
      </c>
      <c r="H149" s="92"/>
      <c r="J149" s="164">
        <f t="shared" ref="J149:S149" si="42">$H130 * J108</f>
        <v>1.1379999999999999</v>
      </c>
      <c r="K149" s="164">
        <f t="shared" si="42"/>
        <v>1.1379999999999999</v>
      </c>
      <c r="L149" s="164">
        <f t="shared" si="42"/>
        <v>1.1379999999999999</v>
      </c>
      <c r="M149" s="164">
        <f t="shared" si="42"/>
        <v>1.1379999999999999</v>
      </c>
      <c r="N149" s="164">
        <f t="shared" si="42"/>
        <v>1.1379999999999999</v>
      </c>
      <c r="O149" s="164">
        <f t="shared" si="42"/>
        <v>1.1379999999999999</v>
      </c>
      <c r="P149" s="164">
        <f t="shared" si="42"/>
        <v>0</v>
      </c>
      <c r="Q149" s="164">
        <f t="shared" si="42"/>
        <v>1.1379999999999999</v>
      </c>
      <c r="R149" s="164">
        <f t="shared" si="42"/>
        <v>1.1379999999999999</v>
      </c>
      <c r="S149" s="164">
        <f t="shared" si="42"/>
        <v>1.1379999999999999</v>
      </c>
      <c r="T149" s="114"/>
      <c r="U149" s="114"/>
    </row>
    <row r="150" spans="6:23" x14ac:dyDescent="0.25">
      <c r="F150" t="s">
        <v>833</v>
      </c>
      <c r="G150" s="113" t="s">
        <v>282</v>
      </c>
      <c r="H150" s="92"/>
      <c r="J150" s="164">
        <f t="shared" ref="J150:S150" si="43">$H131 * J109</f>
        <v>1.044</v>
      </c>
      <c r="K150" s="164">
        <f t="shared" si="43"/>
        <v>1.044</v>
      </c>
      <c r="L150" s="164">
        <f t="shared" si="43"/>
        <v>1.044</v>
      </c>
      <c r="M150" s="164">
        <f t="shared" si="43"/>
        <v>1.044</v>
      </c>
      <c r="N150" s="164">
        <f t="shared" si="43"/>
        <v>1.044</v>
      </c>
      <c r="O150" s="164">
        <f t="shared" si="43"/>
        <v>1.044</v>
      </c>
      <c r="P150" s="164">
        <f t="shared" si="43"/>
        <v>0</v>
      </c>
      <c r="Q150" s="164">
        <f t="shared" si="43"/>
        <v>1.044</v>
      </c>
      <c r="R150" s="164">
        <f t="shared" si="43"/>
        <v>1.044</v>
      </c>
      <c r="S150" s="164">
        <f t="shared" si="43"/>
        <v>0</v>
      </c>
      <c r="T150" s="114"/>
      <c r="U150" s="114"/>
    </row>
    <row r="151" spans="6:23" x14ac:dyDescent="0.25">
      <c r="F151" t="s">
        <v>834</v>
      </c>
      <c r="G151" s="113" t="s">
        <v>282</v>
      </c>
      <c r="H151" s="92"/>
      <c r="J151" s="164">
        <f t="shared" ref="J151:S151" si="44">$H132 * J110</f>
        <v>1.0289999999999999</v>
      </c>
      <c r="K151" s="164">
        <f t="shared" si="44"/>
        <v>1.0289999999999999</v>
      </c>
      <c r="L151" s="164">
        <f t="shared" si="44"/>
        <v>1.0289999999999999</v>
      </c>
      <c r="M151" s="164">
        <f t="shared" si="44"/>
        <v>1.0289999999999999</v>
      </c>
      <c r="N151" s="164">
        <f t="shared" si="44"/>
        <v>1.0289999999999999</v>
      </c>
      <c r="O151" s="164">
        <f t="shared" si="44"/>
        <v>1.0289999999999999</v>
      </c>
      <c r="P151" s="164">
        <f t="shared" si="44"/>
        <v>0</v>
      </c>
      <c r="Q151" s="164">
        <f t="shared" si="44"/>
        <v>1.0289999999999999</v>
      </c>
      <c r="R151" s="164">
        <f t="shared" si="44"/>
        <v>0</v>
      </c>
      <c r="S151" s="164">
        <f t="shared" si="44"/>
        <v>0</v>
      </c>
      <c r="T151" s="114"/>
      <c r="U151" s="114"/>
    </row>
    <row r="152" spans="6:23" x14ac:dyDescent="0.25">
      <c r="F152" t="s">
        <v>835</v>
      </c>
      <c r="G152" s="113" t="s">
        <v>282</v>
      </c>
      <c r="H152" s="92"/>
      <c r="J152" s="164">
        <f t="shared" ref="J152:S152" si="45">$H133 * J111</f>
        <v>1.1379999999999999</v>
      </c>
      <c r="K152" s="164">
        <f t="shared" si="45"/>
        <v>1.1379999999999999</v>
      </c>
      <c r="L152" s="164">
        <f t="shared" si="45"/>
        <v>1.1379999999999999</v>
      </c>
      <c r="M152" s="164">
        <f t="shared" si="45"/>
        <v>1.1379999999999999</v>
      </c>
      <c r="N152" s="164">
        <f t="shared" si="45"/>
        <v>1.1379999999999999</v>
      </c>
      <c r="O152" s="164">
        <f t="shared" si="45"/>
        <v>1.1379999999999999</v>
      </c>
      <c r="P152" s="164">
        <f t="shared" si="45"/>
        <v>0</v>
      </c>
      <c r="Q152" s="164">
        <f t="shared" si="45"/>
        <v>1.1379999999999999</v>
      </c>
      <c r="R152" s="164">
        <f t="shared" si="45"/>
        <v>1.1379999999999999</v>
      </c>
      <c r="S152" s="164">
        <f t="shared" si="45"/>
        <v>1.1379999999999999</v>
      </c>
      <c r="T152" s="114"/>
      <c r="U152" s="114"/>
    </row>
    <row r="153" spans="6:23" x14ac:dyDescent="0.25">
      <c r="F153" t="s">
        <v>827</v>
      </c>
      <c r="G153" s="113" t="s">
        <v>282</v>
      </c>
      <c r="H153" s="92"/>
      <c r="J153" s="164">
        <f t="shared" ref="J153:S153" si="46">$H134 * J112</f>
        <v>-1.1379999999999999</v>
      </c>
      <c r="K153" s="164">
        <f t="shared" si="46"/>
        <v>-1.1379999999999999</v>
      </c>
      <c r="L153" s="164">
        <f t="shared" si="46"/>
        <v>-1.1379999999999999</v>
      </c>
      <c r="M153" s="164">
        <f t="shared" si="46"/>
        <v>-1.1379999999999999</v>
      </c>
      <c r="N153" s="164">
        <f t="shared" si="46"/>
        <v>-1.1379999999999999</v>
      </c>
      <c r="O153" s="164">
        <f t="shared" si="46"/>
        <v>-1.1379999999999999</v>
      </c>
      <c r="P153" s="164">
        <f t="shared" si="46"/>
        <v>0</v>
      </c>
      <c r="Q153" s="164">
        <f t="shared" si="46"/>
        <v>-1.1379999999999999</v>
      </c>
      <c r="R153" s="164">
        <f t="shared" si="46"/>
        <v>-1.1379999999999999</v>
      </c>
      <c r="S153" s="164">
        <f t="shared" si="46"/>
        <v>0</v>
      </c>
      <c r="T153" s="114"/>
      <c r="U153" s="114"/>
    </row>
    <row r="154" spans="6:23" x14ac:dyDescent="0.25">
      <c r="F154" t="s">
        <v>828</v>
      </c>
      <c r="G154" s="113" t="s">
        <v>282</v>
      </c>
      <c r="H154" s="92"/>
      <c r="J154" s="164">
        <f t="shared" ref="J154:S154" si="47">$H135 * J113</f>
        <v>-1.044</v>
      </c>
      <c r="K154" s="164">
        <f t="shared" si="47"/>
        <v>-1.044</v>
      </c>
      <c r="L154" s="164">
        <f t="shared" si="47"/>
        <v>-1.044</v>
      </c>
      <c r="M154" s="164">
        <f t="shared" si="47"/>
        <v>-1.044</v>
      </c>
      <c r="N154" s="164">
        <f t="shared" si="47"/>
        <v>-1.044</v>
      </c>
      <c r="O154" s="164">
        <f t="shared" si="47"/>
        <v>-1.044</v>
      </c>
      <c r="P154" s="164">
        <f t="shared" si="47"/>
        <v>0</v>
      </c>
      <c r="Q154" s="164">
        <f t="shared" si="47"/>
        <v>-1.044</v>
      </c>
      <c r="R154" s="164">
        <f t="shared" si="47"/>
        <v>0</v>
      </c>
      <c r="S154" s="164">
        <f t="shared" si="47"/>
        <v>0</v>
      </c>
      <c r="T154" s="114"/>
      <c r="U154" s="114"/>
    </row>
    <row r="155" spans="6:23" x14ac:dyDescent="0.25">
      <c r="F155" t="s">
        <v>829</v>
      </c>
      <c r="G155" s="113" t="s">
        <v>282</v>
      </c>
      <c r="H155" s="92"/>
      <c r="J155" s="164">
        <f t="shared" ref="J155:S155" si="48">$H136 * J114</f>
        <v>-1.1379999999999999</v>
      </c>
      <c r="K155" s="164">
        <f t="shared" si="48"/>
        <v>-1.1379999999999999</v>
      </c>
      <c r="L155" s="164">
        <f t="shared" si="48"/>
        <v>-1.1379999999999999</v>
      </c>
      <c r="M155" s="164">
        <f t="shared" si="48"/>
        <v>-1.1379999999999999</v>
      </c>
      <c r="N155" s="164">
        <f t="shared" si="48"/>
        <v>-1.1379999999999999</v>
      </c>
      <c r="O155" s="164">
        <f t="shared" si="48"/>
        <v>-1.1379999999999999</v>
      </c>
      <c r="P155" s="164">
        <f t="shared" si="48"/>
        <v>0</v>
      </c>
      <c r="Q155" s="164">
        <f t="shared" si="48"/>
        <v>-1.1379999999999999</v>
      </c>
      <c r="R155" s="164">
        <f t="shared" si="48"/>
        <v>-1.1379999999999999</v>
      </c>
      <c r="S155" s="164">
        <f t="shared" si="48"/>
        <v>0</v>
      </c>
      <c r="T155" s="114"/>
      <c r="U155" s="114"/>
    </row>
    <row r="156" spans="6:23" x14ac:dyDescent="0.25">
      <c r="F156" t="s">
        <v>838</v>
      </c>
      <c r="G156" s="113" t="s">
        <v>282</v>
      </c>
      <c r="H156" s="92"/>
      <c r="J156" s="164">
        <f t="shared" ref="J156:S156" si="49">$H137 * J115</f>
        <v>-1.1379999999999999</v>
      </c>
      <c r="K156" s="164">
        <f t="shared" si="49"/>
        <v>-1.1379999999999999</v>
      </c>
      <c r="L156" s="164">
        <f t="shared" si="49"/>
        <v>-1.1379999999999999</v>
      </c>
      <c r="M156" s="164">
        <f t="shared" si="49"/>
        <v>-1.1379999999999999</v>
      </c>
      <c r="N156" s="164">
        <f t="shared" si="49"/>
        <v>-1.1379999999999999</v>
      </c>
      <c r="O156" s="164">
        <f t="shared" si="49"/>
        <v>-1.1379999999999999</v>
      </c>
      <c r="P156" s="164">
        <f t="shared" si="49"/>
        <v>0</v>
      </c>
      <c r="Q156" s="164">
        <f t="shared" si="49"/>
        <v>-1.1379999999999999</v>
      </c>
      <c r="R156" s="164">
        <f t="shared" si="49"/>
        <v>-1.1379999999999999</v>
      </c>
      <c r="S156" s="164">
        <f t="shared" si="49"/>
        <v>0</v>
      </c>
      <c r="T156" s="114"/>
      <c r="U156" s="114"/>
    </row>
    <row r="157" spans="6:23" x14ac:dyDescent="0.25">
      <c r="F157" t="s">
        <v>830</v>
      </c>
      <c r="G157" s="113" t="s">
        <v>282</v>
      </c>
      <c r="H157" s="92"/>
      <c r="J157" s="164">
        <f t="shared" ref="J157:S157" si="50">$H138 * J116</f>
        <v>-1.044</v>
      </c>
      <c r="K157" s="164">
        <f t="shared" si="50"/>
        <v>-1.044</v>
      </c>
      <c r="L157" s="164">
        <f t="shared" si="50"/>
        <v>-1.044</v>
      </c>
      <c r="M157" s="164">
        <f t="shared" si="50"/>
        <v>-1.044</v>
      </c>
      <c r="N157" s="164">
        <f t="shared" si="50"/>
        <v>-1.044</v>
      </c>
      <c r="O157" s="164">
        <f t="shared" si="50"/>
        <v>-1.044</v>
      </c>
      <c r="P157" s="164">
        <f t="shared" si="50"/>
        <v>0</v>
      </c>
      <c r="Q157" s="164">
        <f t="shared" si="50"/>
        <v>-1.044</v>
      </c>
      <c r="R157" s="164">
        <f t="shared" si="50"/>
        <v>0</v>
      </c>
      <c r="S157" s="164">
        <f t="shared" si="50"/>
        <v>0</v>
      </c>
      <c r="T157" s="114"/>
      <c r="U157" s="114"/>
    </row>
    <row r="158" spans="6:23" x14ac:dyDescent="0.25">
      <c r="F158" t="s">
        <v>837</v>
      </c>
      <c r="G158" s="113" t="s">
        <v>282</v>
      </c>
      <c r="H158" s="92"/>
      <c r="J158" s="164">
        <f t="shared" ref="J158:S158" si="51">$H139 * J117</f>
        <v>-1.044</v>
      </c>
      <c r="K158" s="164">
        <f t="shared" si="51"/>
        <v>-1.044</v>
      </c>
      <c r="L158" s="164">
        <f t="shared" si="51"/>
        <v>-1.044</v>
      </c>
      <c r="M158" s="164">
        <f t="shared" si="51"/>
        <v>-1.044</v>
      </c>
      <c r="N158" s="164">
        <f t="shared" si="51"/>
        <v>-1.044</v>
      </c>
      <c r="O158" s="164">
        <f t="shared" si="51"/>
        <v>-1.044</v>
      </c>
      <c r="P158" s="164">
        <f t="shared" si="51"/>
        <v>0</v>
      </c>
      <c r="Q158" s="164">
        <f t="shared" si="51"/>
        <v>-1.044</v>
      </c>
      <c r="R158" s="164">
        <f t="shared" si="51"/>
        <v>0</v>
      </c>
      <c r="S158" s="164">
        <f t="shared" si="51"/>
        <v>0</v>
      </c>
      <c r="T158" s="114"/>
      <c r="U158" s="114"/>
    </row>
    <row r="159" spans="6:23" x14ac:dyDescent="0.25">
      <c r="F159" t="s">
        <v>831</v>
      </c>
      <c r="G159" s="113" t="s">
        <v>282</v>
      </c>
      <c r="H159" s="92"/>
      <c r="J159" s="164">
        <f t="shared" ref="J159:S159" si="52">$H140 * J118</f>
        <v>-1.0289999999999999</v>
      </c>
      <c r="K159" s="164">
        <f t="shared" si="52"/>
        <v>-1.0289999999999999</v>
      </c>
      <c r="L159" s="164">
        <f t="shared" si="52"/>
        <v>-1.0289999999999999</v>
      </c>
      <c r="M159" s="164">
        <f t="shared" si="52"/>
        <v>-1.0289999999999999</v>
      </c>
      <c r="N159" s="164">
        <f t="shared" si="52"/>
        <v>-1.0289999999999999</v>
      </c>
      <c r="O159" s="164">
        <f t="shared" si="52"/>
        <v>-1.0289999999999999</v>
      </c>
      <c r="P159" s="164">
        <f t="shared" si="52"/>
        <v>0</v>
      </c>
      <c r="Q159" s="164">
        <f t="shared" si="52"/>
        <v>0</v>
      </c>
      <c r="R159" s="164">
        <f t="shared" si="52"/>
        <v>0</v>
      </c>
      <c r="S159" s="164">
        <f t="shared" si="52"/>
        <v>0</v>
      </c>
      <c r="T159" s="114"/>
      <c r="U159" s="114"/>
    </row>
    <row r="160" spans="6:23" x14ac:dyDescent="0.25">
      <c r="F160" s="91" t="s">
        <v>836</v>
      </c>
      <c r="G160" s="115" t="s">
        <v>282</v>
      </c>
      <c r="H160" s="173"/>
      <c r="I160" s="91"/>
      <c r="J160" s="174">
        <f t="shared" ref="J160:S160" si="53">$H141 * J119</f>
        <v>-1.0289999999999999</v>
      </c>
      <c r="K160" s="174">
        <f t="shared" si="53"/>
        <v>-1.0289999999999999</v>
      </c>
      <c r="L160" s="174">
        <f t="shared" si="53"/>
        <v>-1.0289999999999999</v>
      </c>
      <c r="M160" s="174">
        <f t="shared" si="53"/>
        <v>-1.0289999999999999</v>
      </c>
      <c r="N160" s="174">
        <f t="shared" si="53"/>
        <v>-1.0289999999999999</v>
      </c>
      <c r="O160" s="174">
        <f t="shared" si="53"/>
        <v>-1.0289999999999999</v>
      </c>
      <c r="P160" s="174">
        <f t="shared" si="53"/>
        <v>0</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402</v>
      </c>
      <c r="G162" s="46"/>
      <c r="I162" t="s">
        <v>153</v>
      </c>
      <c r="J162" s="101"/>
      <c r="K162" s="101"/>
      <c r="L162" s="101"/>
      <c r="M162" s="101"/>
      <c r="N162" s="101"/>
      <c r="O162" s="101"/>
      <c r="P162" s="101"/>
      <c r="Q162" s="101"/>
      <c r="R162" s="101"/>
      <c r="S162" s="101"/>
      <c r="T162" s="101"/>
      <c r="U162" s="101"/>
      <c r="W162" s="3" t="s">
        <v>407</v>
      </c>
    </row>
    <row r="163" spans="5:23" x14ac:dyDescent="0.25">
      <c r="E163" s="71" t="s">
        <v>399</v>
      </c>
      <c r="G163" s="46"/>
      <c r="J163" s="101"/>
      <c r="K163" s="101"/>
      <c r="L163" s="101"/>
      <c r="M163" s="101"/>
      <c r="N163" s="101"/>
      <c r="O163" s="101"/>
      <c r="P163" s="101"/>
      <c r="Q163" s="101"/>
      <c r="R163" s="101"/>
      <c r="S163" s="101"/>
      <c r="T163" s="101"/>
      <c r="U163" s="101"/>
    </row>
    <row r="164" spans="5:23" x14ac:dyDescent="0.25">
      <c r="F164" s="90" t="s">
        <v>1158</v>
      </c>
      <c r="G164" s="111" t="s">
        <v>282</v>
      </c>
      <c r="H164" s="172"/>
      <c r="I164" s="90"/>
      <c r="J164" s="112"/>
      <c r="K164" s="112"/>
      <c r="L164" s="112"/>
      <c r="M164" s="112"/>
      <c r="N164" s="112"/>
      <c r="O164" s="112"/>
      <c r="P164" s="112"/>
      <c r="Q164" s="112"/>
      <c r="R164" s="112"/>
      <c r="S164" s="112"/>
      <c r="T164" s="112"/>
      <c r="U164" s="112"/>
    </row>
    <row r="165" spans="5:23" x14ac:dyDescent="0.25">
      <c r="F165" t="s">
        <v>825</v>
      </c>
      <c r="G165" s="113" t="s">
        <v>282</v>
      </c>
      <c r="H165" s="92"/>
      <c r="J165" s="114"/>
      <c r="K165" s="114"/>
      <c r="L165" s="114"/>
      <c r="M165" s="114"/>
      <c r="N165" s="114"/>
      <c r="O165" s="114"/>
      <c r="P165" s="114"/>
      <c r="Q165" s="114"/>
      <c r="R165" s="114"/>
      <c r="S165" s="114"/>
      <c r="T165" s="114"/>
      <c r="U165" s="114"/>
      <c r="W165" s="3"/>
    </row>
    <row r="166" spans="5:23" x14ac:dyDescent="0.25">
      <c r="F166" t="s">
        <v>1159</v>
      </c>
      <c r="G166" s="113" t="s">
        <v>282</v>
      </c>
      <c r="H166" s="92"/>
      <c r="J166" s="114"/>
      <c r="K166" s="114"/>
      <c r="L166" s="114"/>
      <c r="M166" s="114"/>
      <c r="N166" s="114"/>
      <c r="O166" s="114"/>
      <c r="P166" s="114"/>
      <c r="Q166" s="114"/>
      <c r="R166" s="114"/>
      <c r="S166" s="114"/>
      <c r="T166" s="114"/>
      <c r="U166" s="114"/>
      <c r="W166" s="3"/>
    </row>
    <row r="167" spans="5:23" x14ac:dyDescent="0.25">
      <c r="F167" t="s">
        <v>826</v>
      </c>
      <c r="G167" s="113" t="s">
        <v>282</v>
      </c>
      <c r="H167" s="92"/>
      <c r="J167" s="114"/>
      <c r="K167" s="114"/>
      <c r="L167" s="114"/>
      <c r="M167" s="114"/>
      <c r="N167" s="114"/>
      <c r="O167" s="114"/>
      <c r="P167" s="114"/>
      <c r="Q167" s="114"/>
      <c r="R167" s="114"/>
      <c r="S167" s="114"/>
      <c r="T167" s="114"/>
      <c r="U167" s="114"/>
    </row>
    <row r="168" spans="5:23" x14ac:dyDescent="0.25">
      <c r="F168" t="s">
        <v>832</v>
      </c>
      <c r="G168" s="113" t="s">
        <v>282</v>
      </c>
      <c r="H168" s="92"/>
      <c r="J168" s="114"/>
      <c r="K168" s="114"/>
      <c r="L168" s="114"/>
      <c r="M168" s="114"/>
      <c r="N168" s="114"/>
      <c r="O168" s="114"/>
      <c r="P168" s="114"/>
      <c r="Q168" s="114"/>
      <c r="R168" s="114"/>
      <c r="S168" s="114"/>
      <c r="T168" s="114"/>
      <c r="U168" s="114"/>
    </row>
    <row r="169" spans="5:23" x14ac:dyDescent="0.25">
      <c r="F169" t="s">
        <v>833</v>
      </c>
      <c r="G169" s="113" t="s">
        <v>282</v>
      </c>
      <c r="H169" s="92"/>
      <c r="J169" s="114"/>
      <c r="K169" s="114"/>
      <c r="L169" s="114"/>
      <c r="M169" s="114"/>
      <c r="N169" s="114"/>
      <c r="O169" s="114"/>
      <c r="P169" s="114"/>
      <c r="Q169" s="114"/>
      <c r="R169" s="114"/>
      <c r="S169" s="114"/>
      <c r="T169" s="114"/>
      <c r="U169" s="114"/>
    </row>
    <row r="170" spans="5:23" x14ac:dyDescent="0.25">
      <c r="F170" t="s">
        <v>834</v>
      </c>
      <c r="G170" s="113" t="s">
        <v>282</v>
      </c>
      <c r="H170" s="92"/>
      <c r="J170" s="114"/>
      <c r="K170" s="114"/>
      <c r="L170" s="114"/>
      <c r="M170" s="114"/>
      <c r="N170" s="114"/>
      <c r="O170" s="114"/>
      <c r="P170" s="114"/>
      <c r="Q170" s="114"/>
      <c r="R170" s="114"/>
      <c r="S170" s="114"/>
      <c r="T170" s="114"/>
      <c r="U170" s="114"/>
    </row>
    <row r="171" spans="5:23" x14ac:dyDescent="0.25">
      <c r="F171" t="s">
        <v>835</v>
      </c>
      <c r="G171" s="113" t="s">
        <v>282</v>
      </c>
      <c r="H171" s="92"/>
      <c r="J171" s="114"/>
      <c r="K171" s="114"/>
      <c r="L171" s="114"/>
      <c r="M171" s="114"/>
      <c r="N171" s="114"/>
      <c r="O171" s="114"/>
      <c r="P171" s="114"/>
      <c r="Q171" s="114"/>
      <c r="R171" s="114"/>
      <c r="S171" s="114"/>
      <c r="T171" s="114"/>
      <c r="U171" s="114"/>
    </row>
    <row r="172" spans="5:23" x14ac:dyDescent="0.25">
      <c r="F172" t="s">
        <v>827</v>
      </c>
      <c r="G172" s="113" t="s">
        <v>282</v>
      </c>
      <c r="H172" s="92"/>
      <c r="J172" s="164">
        <f t="shared" ref="J172:S172" si="54">$H134 * J73</f>
        <v>-1.1379999999999999</v>
      </c>
      <c r="K172" s="164">
        <f t="shared" si="54"/>
        <v>-1.1379999999999999</v>
      </c>
      <c r="L172" s="164">
        <f t="shared" si="54"/>
        <v>-1.1379999999999999</v>
      </c>
      <c r="M172" s="164">
        <f t="shared" si="54"/>
        <v>-1.1379999999999999</v>
      </c>
      <c r="N172" s="164">
        <f t="shared" si="54"/>
        <v>-1.1379999999999999</v>
      </c>
      <c r="O172" s="164">
        <f t="shared" si="54"/>
        <v>-1.1379999999999999</v>
      </c>
      <c r="P172" s="164">
        <f t="shared" si="54"/>
        <v>0</v>
      </c>
      <c r="Q172" s="164">
        <f t="shared" si="54"/>
        <v>-1.1379999999999999</v>
      </c>
      <c r="R172" s="164">
        <f t="shared" si="54"/>
        <v>-1.1379999999999999</v>
      </c>
      <c r="S172" s="164">
        <f t="shared" si="54"/>
        <v>-1.1379999999999999</v>
      </c>
      <c r="T172" s="114"/>
      <c r="U172" s="114"/>
    </row>
    <row r="173" spans="5:23" x14ac:dyDescent="0.25">
      <c r="F173" t="s">
        <v>828</v>
      </c>
      <c r="G173" s="113" t="s">
        <v>282</v>
      </c>
      <c r="H173" s="92"/>
      <c r="J173" s="164">
        <f t="shared" ref="J173:S173" si="55">$H135 * J74</f>
        <v>-1.044</v>
      </c>
      <c r="K173" s="164">
        <f t="shared" si="55"/>
        <v>-1.044</v>
      </c>
      <c r="L173" s="164">
        <f t="shared" si="55"/>
        <v>-1.044</v>
      </c>
      <c r="M173" s="164">
        <f t="shared" si="55"/>
        <v>-1.044</v>
      </c>
      <c r="N173" s="164">
        <f t="shared" si="55"/>
        <v>-1.044</v>
      </c>
      <c r="O173" s="164">
        <f t="shared" si="55"/>
        <v>-1.044</v>
      </c>
      <c r="P173" s="164">
        <f t="shared" si="55"/>
        <v>0</v>
      </c>
      <c r="Q173" s="164">
        <f t="shared" si="55"/>
        <v>-1.044</v>
      </c>
      <c r="R173" s="164">
        <f t="shared" si="55"/>
        <v>-1.044</v>
      </c>
      <c r="S173" s="164">
        <f t="shared" si="55"/>
        <v>0</v>
      </c>
      <c r="T173" s="114"/>
      <c r="U173" s="114"/>
    </row>
    <row r="174" spans="5:23" x14ac:dyDescent="0.25">
      <c r="F174" t="s">
        <v>829</v>
      </c>
      <c r="G174" s="113" t="s">
        <v>282</v>
      </c>
      <c r="H174" s="92"/>
      <c r="J174" s="164">
        <f t="shared" ref="J174:S174" si="56">$H136 * J75</f>
        <v>-1.1379999999999999</v>
      </c>
      <c r="K174" s="164">
        <f t="shared" si="56"/>
        <v>-1.1379999999999999</v>
      </c>
      <c r="L174" s="164">
        <f t="shared" si="56"/>
        <v>-1.1379999999999999</v>
      </c>
      <c r="M174" s="164">
        <f t="shared" si="56"/>
        <v>-1.1379999999999999</v>
      </c>
      <c r="N174" s="164">
        <f t="shared" si="56"/>
        <v>-1.1379999999999999</v>
      </c>
      <c r="O174" s="164">
        <f t="shared" si="56"/>
        <v>-1.1379999999999999</v>
      </c>
      <c r="P174" s="164">
        <f t="shared" si="56"/>
        <v>0</v>
      </c>
      <c r="Q174" s="164">
        <f t="shared" si="56"/>
        <v>-1.1379999999999999</v>
      </c>
      <c r="R174" s="164">
        <f t="shared" si="56"/>
        <v>-1.1379999999999999</v>
      </c>
      <c r="S174" s="164">
        <f t="shared" si="56"/>
        <v>-1.1379999999999999</v>
      </c>
      <c r="T174" s="114"/>
      <c r="U174" s="114"/>
    </row>
    <row r="175" spans="5:23" x14ac:dyDescent="0.25">
      <c r="F175" t="s">
        <v>838</v>
      </c>
      <c r="G175" s="113" t="s">
        <v>282</v>
      </c>
      <c r="H175" s="92"/>
      <c r="J175" s="164">
        <f t="shared" ref="J175:S175" si="57">$H137 * J76</f>
        <v>-1.1379999999999999</v>
      </c>
      <c r="K175" s="164">
        <f t="shared" si="57"/>
        <v>-1.1379999999999999</v>
      </c>
      <c r="L175" s="164">
        <f t="shared" si="57"/>
        <v>-1.1379999999999999</v>
      </c>
      <c r="M175" s="164">
        <f t="shared" si="57"/>
        <v>-1.1379999999999999</v>
      </c>
      <c r="N175" s="164">
        <f t="shared" si="57"/>
        <v>-1.1379999999999999</v>
      </c>
      <c r="O175" s="164">
        <f t="shared" si="57"/>
        <v>-1.1379999999999999</v>
      </c>
      <c r="P175" s="164">
        <f t="shared" si="57"/>
        <v>0</v>
      </c>
      <c r="Q175" s="164">
        <f t="shared" si="57"/>
        <v>-1.1379999999999999</v>
      </c>
      <c r="R175" s="164">
        <f t="shared" si="57"/>
        <v>-1.1379999999999999</v>
      </c>
      <c r="S175" s="164">
        <f t="shared" si="57"/>
        <v>-1.1379999999999999</v>
      </c>
      <c r="T175" s="114"/>
      <c r="U175" s="114"/>
    </row>
    <row r="176" spans="5:23" x14ac:dyDescent="0.25">
      <c r="F176" t="s">
        <v>830</v>
      </c>
      <c r="G176" s="113" t="s">
        <v>282</v>
      </c>
      <c r="H176" s="92"/>
      <c r="J176" s="164">
        <f t="shared" ref="J176:S176" si="58">$H138 * J77</f>
        <v>-1.044</v>
      </c>
      <c r="K176" s="164">
        <f t="shared" si="58"/>
        <v>-1.044</v>
      </c>
      <c r="L176" s="164">
        <f t="shared" si="58"/>
        <v>-1.044</v>
      </c>
      <c r="M176" s="164">
        <f t="shared" si="58"/>
        <v>-1.044</v>
      </c>
      <c r="N176" s="164">
        <f t="shared" si="58"/>
        <v>-1.044</v>
      </c>
      <c r="O176" s="164">
        <f t="shared" si="58"/>
        <v>-1.044</v>
      </c>
      <c r="P176" s="164">
        <f t="shared" si="58"/>
        <v>0</v>
      </c>
      <c r="Q176" s="164">
        <f t="shared" si="58"/>
        <v>-1.044</v>
      </c>
      <c r="R176" s="164">
        <f t="shared" si="58"/>
        <v>-1.044</v>
      </c>
      <c r="S176" s="164">
        <f t="shared" si="58"/>
        <v>0</v>
      </c>
      <c r="T176" s="114"/>
      <c r="U176" s="114"/>
    </row>
    <row r="177" spans="2:23" x14ac:dyDescent="0.25">
      <c r="F177" t="s">
        <v>837</v>
      </c>
      <c r="G177" s="113" t="s">
        <v>282</v>
      </c>
      <c r="H177" s="92"/>
      <c r="J177" s="164">
        <f t="shared" ref="J177:S177" si="59">$H139 * J78</f>
        <v>-1.044</v>
      </c>
      <c r="K177" s="164">
        <f t="shared" si="59"/>
        <v>-1.044</v>
      </c>
      <c r="L177" s="164">
        <f t="shared" si="59"/>
        <v>-1.044</v>
      </c>
      <c r="M177" s="164">
        <f t="shared" si="59"/>
        <v>-1.044</v>
      </c>
      <c r="N177" s="164">
        <f t="shared" si="59"/>
        <v>-1.044</v>
      </c>
      <c r="O177" s="164">
        <f t="shared" si="59"/>
        <v>-1.044</v>
      </c>
      <c r="P177" s="164">
        <f t="shared" si="59"/>
        <v>0</v>
      </c>
      <c r="Q177" s="164">
        <f t="shared" si="59"/>
        <v>-1.044</v>
      </c>
      <c r="R177" s="164">
        <f t="shared" si="59"/>
        <v>-1.044</v>
      </c>
      <c r="S177" s="164">
        <f t="shared" si="59"/>
        <v>0</v>
      </c>
      <c r="T177" s="114"/>
      <c r="U177" s="114"/>
    </row>
    <row r="178" spans="2:23" x14ac:dyDescent="0.25">
      <c r="F178" t="s">
        <v>831</v>
      </c>
      <c r="G178" s="113" t="s">
        <v>282</v>
      </c>
      <c r="H178" s="92"/>
      <c r="J178" s="164">
        <f t="shared" ref="J178:S178" si="60">$H140 * J79</f>
        <v>-1.0289999999999999</v>
      </c>
      <c r="K178" s="164">
        <f t="shared" si="60"/>
        <v>-1.0289999999999999</v>
      </c>
      <c r="L178" s="164">
        <f t="shared" si="60"/>
        <v>-1.0289999999999999</v>
      </c>
      <c r="M178" s="164">
        <f t="shared" si="60"/>
        <v>-1.0289999999999999</v>
      </c>
      <c r="N178" s="164">
        <f t="shared" si="60"/>
        <v>-1.0289999999999999</v>
      </c>
      <c r="O178" s="164">
        <f t="shared" si="60"/>
        <v>-1.0289999999999999</v>
      </c>
      <c r="P178" s="164">
        <f t="shared" si="60"/>
        <v>0</v>
      </c>
      <c r="Q178" s="164">
        <f t="shared" si="60"/>
        <v>-1.0289999999999999</v>
      </c>
      <c r="R178" s="164">
        <f t="shared" si="60"/>
        <v>0</v>
      </c>
      <c r="S178" s="164">
        <f t="shared" si="60"/>
        <v>0</v>
      </c>
      <c r="T178" s="114"/>
      <c r="U178" s="114"/>
    </row>
    <row r="179" spans="2:23" x14ac:dyDescent="0.25">
      <c r="F179" s="91" t="s">
        <v>836</v>
      </c>
      <c r="G179" s="115" t="s">
        <v>282</v>
      </c>
      <c r="H179" s="173"/>
      <c r="I179" s="91"/>
      <c r="J179" s="174">
        <f t="shared" ref="J179:S179" si="61">$H141 * J80</f>
        <v>-1.0289999999999999</v>
      </c>
      <c r="K179" s="174">
        <f t="shared" si="61"/>
        <v>-1.0289999999999999</v>
      </c>
      <c r="L179" s="174">
        <f t="shared" si="61"/>
        <v>-1.0289999999999999</v>
      </c>
      <c r="M179" s="174">
        <f t="shared" si="61"/>
        <v>-1.0289999999999999</v>
      </c>
      <c r="N179" s="174">
        <f t="shared" si="61"/>
        <v>-1.0289999999999999</v>
      </c>
      <c r="O179" s="174">
        <f t="shared" si="61"/>
        <v>-1.0289999999999999</v>
      </c>
      <c r="P179" s="174">
        <f t="shared" si="61"/>
        <v>0</v>
      </c>
      <c r="Q179" s="174">
        <f t="shared" si="61"/>
        <v>-1.0289999999999999</v>
      </c>
      <c r="R179" s="174">
        <f t="shared" si="61"/>
        <v>0</v>
      </c>
      <c r="S179" s="174">
        <f t="shared" si="61"/>
        <v>0</v>
      </c>
      <c r="T179" s="116"/>
      <c r="U179" s="116"/>
    </row>
    <row r="180" spans="2:23" x14ac:dyDescent="0.25">
      <c r="G180" s="46"/>
    </row>
    <row r="181" spans="2:23" x14ac:dyDescent="0.25">
      <c r="B181" s="70" t="s">
        <v>230</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231</v>
      </c>
      <c r="G183" s="6" t="s">
        <v>54</v>
      </c>
      <c r="H183" s="108">
        <f t="array" ref="H183">SUM(IF(ISERROR(H19:W181), 1))</f>
        <v>0</v>
      </c>
    </row>
    <row r="185" spans="2:23" x14ac:dyDescent="0.25">
      <c r="B185" s="70" t="s">
        <v>105</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W5" s="86" t="s">
        <v>144</v>
      </c>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408</v>
      </c>
    </row>
    <row r="10" spans="1:23" x14ac:dyDescent="0.25">
      <c r="C10" s="71" t="s">
        <v>1157</v>
      </c>
    </row>
    <row r="12" spans="1:23" x14ac:dyDescent="0.25">
      <c r="B12" s="70" t="s">
        <v>65</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409</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179</v>
      </c>
      <c r="H18" s="3"/>
      <c r="I18" s="3" t="s">
        <v>153</v>
      </c>
      <c r="J18" s="3"/>
      <c r="K18" s="3"/>
      <c r="L18" s="3"/>
      <c r="M18" s="3"/>
      <c r="N18" s="3"/>
      <c r="O18" s="3"/>
      <c r="P18" s="3"/>
      <c r="Q18" s="3"/>
      <c r="R18" s="3"/>
      <c r="S18" s="3"/>
      <c r="T18" s="3"/>
      <c r="U18" s="3"/>
      <c r="W18" s="3" t="s">
        <v>180</v>
      </c>
    </row>
    <row r="19" spans="5:23" x14ac:dyDescent="0.25">
      <c r="E19" s="71" t="s">
        <v>181</v>
      </c>
      <c r="H19" s="3"/>
      <c r="I19" s="3"/>
      <c r="J19" s="3"/>
      <c r="K19" s="3"/>
      <c r="L19" s="3"/>
      <c r="M19" s="3"/>
      <c r="N19" s="3"/>
      <c r="O19" s="3"/>
      <c r="P19" s="3"/>
      <c r="Q19" s="3"/>
      <c r="R19" s="3"/>
      <c r="S19" s="3"/>
      <c r="T19" s="3"/>
      <c r="U19" s="3"/>
      <c r="W19" s="3"/>
    </row>
    <row r="20" spans="5:23" x14ac:dyDescent="0.25">
      <c r="F20" s="177"/>
      <c r="G20" s="177"/>
      <c r="H20" s="178"/>
      <c r="I20" s="178"/>
      <c r="J20" s="179" t="s">
        <v>182</v>
      </c>
      <c r="K20" s="179" t="s">
        <v>183</v>
      </c>
      <c r="L20" s="179" t="s">
        <v>184</v>
      </c>
      <c r="M20" s="179" t="s">
        <v>185</v>
      </c>
      <c r="O20" s="3"/>
      <c r="P20" s="3"/>
      <c r="Q20" s="3"/>
      <c r="R20" s="3"/>
      <c r="S20" s="3"/>
      <c r="T20" s="3"/>
      <c r="U20" s="3"/>
    </row>
    <row r="21" spans="5:23" x14ac:dyDescent="0.25">
      <c r="F21" s="89" t="s">
        <v>1158</v>
      </c>
      <c r="G21" s="46" t="s">
        <v>175</v>
      </c>
      <c r="H21" s="3"/>
      <c r="I21" s="3"/>
      <c r="J21" s="180">
        <f t="array" ref="J21:M36">TRANSPOSE('Fixed inputs'!J53:Y56)</f>
        <v>0</v>
      </c>
      <c r="K21" s="180">
        <v>0</v>
      </c>
      <c r="L21" s="180">
        <v>0</v>
      </c>
      <c r="M21" s="180">
        <v>1</v>
      </c>
      <c r="S21" s="3"/>
      <c r="T21" s="3"/>
      <c r="U21" s="3"/>
      <c r="W21" s="3"/>
    </row>
    <row r="22" spans="5:23" x14ac:dyDescent="0.25">
      <c r="F22" s="89" t="s">
        <v>825</v>
      </c>
      <c r="G22" s="46" t="s">
        <v>175</v>
      </c>
      <c r="H22" s="3"/>
      <c r="I22" s="3"/>
      <c r="J22" s="180">
        <v>0</v>
      </c>
      <c r="K22" s="180">
        <v>0</v>
      </c>
      <c r="L22" s="180">
        <v>0</v>
      </c>
      <c r="M22" s="180">
        <v>1</v>
      </c>
      <c r="S22" s="3"/>
      <c r="T22" s="3"/>
      <c r="U22" s="3"/>
      <c r="W22" s="3"/>
    </row>
    <row r="23" spans="5:23" x14ac:dyDescent="0.25">
      <c r="F23" s="89" t="s">
        <v>1159</v>
      </c>
      <c r="G23" s="46" t="s">
        <v>175</v>
      </c>
      <c r="H23" s="3"/>
      <c r="I23" s="3"/>
      <c r="J23" s="180">
        <v>0</v>
      </c>
      <c r="K23" s="180">
        <v>0</v>
      </c>
      <c r="L23" s="180">
        <v>0</v>
      </c>
      <c r="M23" s="180">
        <v>1</v>
      </c>
      <c r="S23" s="3"/>
      <c r="T23" s="3"/>
      <c r="U23" s="3"/>
      <c r="W23" s="3"/>
    </row>
    <row r="24" spans="5:23" x14ac:dyDescent="0.25">
      <c r="F24" s="89" t="s">
        <v>826</v>
      </c>
      <c r="G24" s="46" t="s">
        <v>175</v>
      </c>
      <c r="H24" s="3"/>
      <c r="I24" s="3"/>
      <c r="J24" s="180">
        <v>0</v>
      </c>
      <c r="K24" s="180">
        <v>0</v>
      </c>
      <c r="L24" s="180">
        <v>0</v>
      </c>
      <c r="M24" s="180">
        <v>1</v>
      </c>
      <c r="S24" s="3"/>
      <c r="T24" s="3"/>
      <c r="U24" s="3"/>
      <c r="W24" s="3"/>
    </row>
    <row r="25" spans="5:23" x14ac:dyDescent="0.25">
      <c r="F25" s="89" t="s">
        <v>832</v>
      </c>
      <c r="G25" s="46" t="s">
        <v>175</v>
      </c>
      <c r="H25" s="3"/>
      <c r="I25" s="3"/>
      <c r="J25" s="180">
        <v>0</v>
      </c>
      <c r="K25" s="180">
        <v>0</v>
      </c>
      <c r="L25" s="180">
        <v>0</v>
      </c>
      <c r="M25" s="180">
        <v>1</v>
      </c>
      <c r="S25" s="3"/>
      <c r="T25" s="3"/>
      <c r="U25" s="3"/>
      <c r="W25" s="3"/>
    </row>
    <row r="26" spans="5:23" x14ac:dyDescent="0.25">
      <c r="F26" s="89" t="s">
        <v>833</v>
      </c>
      <c r="G26" s="46" t="s">
        <v>175</v>
      </c>
      <c r="H26" s="3"/>
      <c r="I26" s="3"/>
      <c r="J26" s="180">
        <v>0</v>
      </c>
      <c r="K26" s="180">
        <v>0</v>
      </c>
      <c r="L26" s="180">
        <v>1</v>
      </c>
      <c r="M26" s="180">
        <v>0</v>
      </c>
      <c r="S26" s="3"/>
      <c r="T26" s="3"/>
      <c r="U26" s="3"/>
      <c r="W26" s="3"/>
    </row>
    <row r="27" spans="5:23" x14ac:dyDescent="0.25">
      <c r="F27" s="89" t="s">
        <v>834</v>
      </c>
      <c r="G27" s="46" t="s">
        <v>175</v>
      </c>
      <c r="H27" s="3"/>
      <c r="I27" s="3"/>
      <c r="J27" s="180">
        <v>0</v>
      </c>
      <c r="K27" s="180">
        <v>1</v>
      </c>
      <c r="L27" s="180">
        <v>0</v>
      </c>
      <c r="M27" s="180">
        <v>0</v>
      </c>
      <c r="S27" s="3"/>
      <c r="T27" s="3"/>
      <c r="U27" s="3"/>
      <c r="W27" s="3"/>
    </row>
    <row r="28" spans="5:23" x14ac:dyDescent="0.25">
      <c r="F28" s="89" t="s">
        <v>835</v>
      </c>
      <c r="G28" s="46" t="s">
        <v>175</v>
      </c>
      <c r="H28" s="3"/>
      <c r="I28" s="3"/>
      <c r="J28" s="180">
        <v>0</v>
      </c>
      <c r="K28" s="180">
        <v>0</v>
      </c>
      <c r="L28" s="180">
        <v>0</v>
      </c>
      <c r="M28" s="180">
        <v>1</v>
      </c>
      <c r="S28" s="3"/>
      <c r="T28" s="3"/>
      <c r="U28" s="3"/>
      <c r="W28" s="3"/>
    </row>
    <row r="29" spans="5:23" x14ac:dyDescent="0.25">
      <c r="F29" s="89" t="s">
        <v>827</v>
      </c>
      <c r="G29" s="46" t="s">
        <v>175</v>
      </c>
      <c r="H29" s="3"/>
      <c r="I29" s="3"/>
      <c r="J29" s="180">
        <v>0</v>
      </c>
      <c r="K29" s="180">
        <v>0</v>
      </c>
      <c r="L29" s="180">
        <v>0</v>
      </c>
      <c r="M29" s="180">
        <v>1</v>
      </c>
      <c r="S29" s="3"/>
      <c r="T29" s="3"/>
      <c r="U29" s="3"/>
      <c r="W29" s="3"/>
    </row>
    <row r="30" spans="5:23" x14ac:dyDescent="0.25">
      <c r="F30" s="89" t="s">
        <v>828</v>
      </c>
      <c r="G30" s="46" t="s">
        <v>175</v>
      </c>
      <c r="H30" s="3"/>
      <c r="I30" s="3"/>
      <c r="J30" s="180">
        <v>0</v>
      </c>
      <c r="K30" s="180">
        <v>0</v>
      </c>
      <c r="L30" s="180">
        <v>1</v>
      </c>
      <c r="M30" s="180">
        <v>0</v>
      </c>
      <c r="S30" s="3"/>
      <c r="T30" s="3"/>
      <c r="U30" s="3"/>
      <c r="W30" s="3"/>
    </row>
    <row r="31" spans="5:23" x14ac:dyDescent="0.25">
      <c r="F31" s="89" t="s">
        <v>829</v>
      </c>
      <c r="G31" s="46" t="s">
        <v>175</v>
      </c>
      <c r="H31" s="3"/>
      <c r="I31" s="3"/>
      <c r="J31" s="180">
        <v>0</v>
      </c>
      <c r="K31" s="180">
        <v>0</v>
      </c>
      <c r="L31" s="180">
        <v>0</v>
      </c>
      <c r="M31" s="180">
        <v>1</v>
      </c>
      <c r="S31" s="3"/>
      <c r="T31" s="3"/>
      <c r="U31" s="3"/>
      <c r="W31" s="3"/>
    </row>
    <row r="32" spans="5:23" x14ac:dyDescent="0.25">
      <c r="F32" s="89" t="s">
        <v>838</v>
      </c>
      <c r="G32" s="46" t="s">
        <v>175</v>
      </c>
      <c r="H32" s="3"/>
      <c r="I32" s="3"/>
      <c r="J32" s="180">
        <v>0</v>
      </c>
      <c r="K32" s="180">
        <v>0</v>
      </c>
      <c r="L32" s="180">
        <v>0</v>
      </c>
      <c r="M32" s="180">
        <v>1</v>
      </c>
      <c r="S32" s="3"/>
      <c r="T32" s="3"/>
      <c r="U32" s="3"/>
      <c r="W32" s="3"/>
    </row>
    <row r="33" spans="3:23" x14ac:dyDescent="0.25">
      <c r="F33" s="89" t="s">
        <v>830</v>
      </c>
      <c r="G33" s="46" t="s">
        <v>175</v>
      </c>
      <c r="H33" s="3"/>
      <c r="I33" s="3"/>
      <c r="J33" s="180">
        <v>0</v>
      </c>
      <c r="K33" s="180">
        <v>0</v>
      </c>
      <c r="L33" s="180">
        <v>1</v>
      </c>
      <c r="M33" s="180">
        <v>0</v>
      </c>
      <c r="S33" s="3"/>
      <c r="T33" s="3"/>
      <c r="U33" s="3"/>
      <c r="W33" s="3"/>
    </row>
    <row r="34" spans="3:23" x14ac:dyDescent="0.25">
      <c r="F34" s="89" t="s">
        <v>837</v>
      </c>
      <c r="G34" s="46" t="s">
        <v>175</v>
      </c>
      <c r="H34" s="3"/>
      <c r="I34" s="3"/>
      <c r="J34" s="180">
        <v>0</v>
      </c>
      <c r="K34" s="180">
        <v>0</v>
      </c>
      <c r="L34" s="180">
        <v>1</v>
      </c>
      <c r="M34" s="180">
        <v>0</v>
      </c>
      <c r="S34" s="3"/>
      <c r="T34" s="3"/>
      <c r="U34" s="3"/>
      <c r="W34" s="3"/>
    </row>
    <row r="35" spans="3:23" x14ac:dyDescent="0.25">
      <c r="F35" s="89" t="s">
        <v>831</v>
      </c>
      <c r="G35" s="46" t="s">
        <v>175</v>
      </c>
      <c r="H35" s="3"/>
      <c r="I35" s="3"/>
      <c r="J35" s="180">
        <v>0</v>
      </c>
      <c r="K35" s="180">
        <v>1</v>
      </c>
      <c r="L35" s="180">
        <v>0</v>
      </c>
      <c r="M35" s="180">
        <v>0</v>
      </c>
      <c r="S35" s="3"/>
      <c r="T35" s="3"/>
      <c r="U35" s="3"/>
      <c r="W35" s="3"/>
    </row>
    <row r="36" spans="3:23" x14ac:dyDescent="0.25">
      <c r="F36" s="96" t="s">
        <v>836</v>
      </c>
      <c r="G36" s="139" t="s">
        <v>175</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410</v>
      </c>
      <c r="H40" s="3"/>
      <c r="I40" s="3" t="s">
        <v>153</v>
      </c>
      <c r="J40" s="3"/>
      <c r="K40" s="3"/>
      <c r="L40" s="3"/>
      <c r="M40" s="3"/>
      <c r="N40" s="3"/>
      <c r="O40" s="3"/>
      <c r="P40" s="3"/>
      <c r="Q40" s="3"/>
      <c r="R40" s="3"/>
      <c r="S40" s="3"/>
      <c r="T40" s="3"/>
      <c r="U40" s="3"/>
      <c r="W40" s="3" t="s">
        <v>411</v>
      </c>
    </row>
    <row r="41" spans="3:23" x14ac:dyDescent="0.25">
      <c r="E41" s="71" t="s">
        <v>412</v>
      </c>
      <c r="H41" s="3"/>
      <c r="I41" s="3"/>
      <c r="J41" s="3"/>
      <c r="K41" s="3"/>
      <c r="L41" s="3"/>
      <c r="M41" s="3"/>
      <c r="N41" s="3"/>
      <c r="O41" s="3"/>
      <c r="P41" s="3"/>
      <c r="Q41" s="3"/>
      <c r="R41" s="3"/>
      <c r="S41" s="3"/>
      <c r="T41" s="3"/>
      <c r="U41" s="3"/>
      <c r="W41" s="3"/>
    </row>
    <row r="42" spans="3:23" x14ac:dyDescent="0.25">
      <c r="E42" s="60"/>
      <c r="F42" s="182"/>
      <c r="G42" s="182"/>
      <c r="H42" s="182"/>
      <c r="I42" s="182"/>
      <c r="J42" s="182" t="s">
        <v>188</v>
      </c>
      <c r="K42" s="183" t="s">
        <v>190</v>
      </c>
      <c r="L42" s="183" t="s">
        <v>191</v>
      </c>
      <c r="M42" s="183" t="s">
        <v>192</v>
      </c>
      <c r="N42" s="183" t="s">
        <v>193</v>
      </c>
      <c r="O42" s="183" t="s">
        <v>194</v>
      </c>
      <c r="P42" s="183" t="s">
        <v>195</v>
      </c>
      <c r="Q42" s="183" t="s">
        <v>196</v>
      </c>
      <c r="R42" s="183" t="s">
        <v>197</v>
      </c>
      <c r="S42" s="183" t="s">
        <v>198</v>
      </c>
      <c r="T42" s="183" t="s">
        <v>374</v>
      </c>
      <c r="U42" s="183" t="s">
        <v>375</v>
      </c>
    </row>
    <row r="43" spans="3:23" x14ac:dyDescent="0.25">
      <c r="F43" s="89" t="s">
        <v>185</v>
      </c>
      <c r="G43" s="113" t="s">
        <v>166</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184</v>
      </c>
      <c r="G44" s="113" t="s">
        <v>166</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183</v>
      </c>
      <c r="G45" s="113" t="s">
        <v>166</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182</v>
      </c>
      <c r="G46" s="115" t="s">
        <v>166</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413</v>
      </c>
      <c r="H48" s="46"/>
      <c r="I48" s="3"/>
      <c r="J48" s="3"/>
      <c r="K48" s="3"/>
      <c r="L48" s="3"/>
      <c r="M48" s="3"/>
      <c r="N48" s="3"/>
      <c r="O48" s="3"/>
      <c r="P48" s="3"/>
      <c r="Q48" s="3"/>
      <c r="R48" s="3"/>
      <c r="S48" s="3"/>
      <c r="T48" s="3"/>
      <c r="U48" s="3"/>
      <c r="W48" s="3"/>
    </row>
    <row r="49" spans="5:23" x14ac:dyDescent="0.25">
      <c r="E49" s="71" t="s">
        <v>414</v>
      </c>
      <c r="H49" s="46"/>
      <c r="I49" s="3"/>
      <c r="J49" s="3"/>
      <c r="K49" s="3"/>
      <c r="L49" s="3"/>
      <c r="M49" s="3"/>
      <c r="N49" s="3"/>
      <c r="O49" s="3"/>
      <c r="P49" s="3"/>
      <c r="Q49" s="3"/>
      <c r="R49" s="3"/>
      <c r="S49" s="3"/>
      <c r="T49" s="3"/>
      <c r="U49" s="3"/>
      <c r="W49" s="3"/>
    </row>
    <row r="50" spans="5:23" x14ac:dyDescent="0.25">
      <c r="F50" s="182"/>
      <c r="G50" s="182"/>
      <c r="H50" s="185"/>
      <c r="I50" s="182"/>
      <c r="J50" s="182" t="s">
        <v>188</v>
      </c>
      <c r="K50" s="183" t="s">
        <v>190</v>
      </c>
      <c r="L50" s="183" t="s">
        <v>191</v>
      </c>
      <c r="M50" s="183" t="s">
        <v>192</v>
      </c>
      <c r="N50" s="183" t="s">
        <v>193</v>
      </c>
      <c r="O50" s="183" t="s">
        <v>194</v>
      </c>
      <c r="P50" s="183" t="s">
        <v>195</v>
      </c>
      <c r="Q50" s="183" t="s">
        <v>196</v>
      </c>
      <c r="R50" s="183" t="s">
        <v>197</v>
      </c>
      <c r="S50" s="183" t="s">
        <v>198</v>
      </c>
      <c r="T50" s="183" t="s">
        <v>374</v>
      </c>
      <c r="U50" s="183" t="s">
        <v>375</v>
      </c>
      <c r="W50" s="3"/>
    </row>
    <row r="51" spans="5:23" x14ac:dyDescent="0.25">
      <c r="F51" s="89" t="s">
        <v>1158</v>
      </c>
      <c r="G51" s="89"/>
      <c r="H51" s="113" t="s">
        <v>166</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825</v>
      </c>
      <c r="G52" s="89"/>
      <c r="H52" s="113" t="s">
        <v>166</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1159</v>
      </c>
      <c r="G53" s="89"/>
      <c r="H53" s="113" t="s">
        <v>166</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826</v>
      </c>
      <c r="G54" s="89"/>
      <c r="H54" s="113" t="s">
        <v>166</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832</v>
      </c>
      <c r="G55" s="89"/>
      <c r="H55" s="113" t="s">
        <v>166</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833</v>
      </c>
      <c r="G56" s="89"/>
      <c r="H56" s="113" t="s">
        <v>166</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834</v>
      </c>
      <c r="G57" s="89"/>
      <c r="H57" s="113" t="s">
        <v>166</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835</v>
      </c>
      <c r="G58" s="89"/>
      <c r="H58" s="113" t="s">
        <v>166</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827</v>
      </c>
      <c r="G59" s="89"/>
      <c r="H59" s="113" t="s">
        <v>166</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828</v>
      </c>
      <c r="G60" s="89"/>
      <c r="H60" s="113" t="s">
        <v>166</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829</v>
      </c>
      <c r="G61" s="89"/>
      <c r="H61" s="113" t="s">
        <v>166</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838</v>
      </c>
      <c r="G62" s="89"/>
      <c r="H62" s="113" t="s">
        <v>166</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830</v>
      </c>
      <c r="G63" s="89"/>
      <c r="H63" s="113" t="s">
        <v>166</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837</v>
      </c>
      <c r="G64" s="89"/>
      <c r="H64" s="113" t="s">
        <v>166</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831</v>
      </c>
      <c r="G65" s="89"/>
      <c r="H65" s="113" t="s">
        <v>166</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836</v>
      </c>
      <c r="G66" s="96"/>
      <c r="H66" s="115" t="s">
        <v>166</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230</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231</v>
      </c>
      <c r="G70" s="6" t="s">
        <v>54</v>
      </c>
      <c r="H70" s="108">
        <f t="array" ref="H70">SUM(IF(ISERROR(H21:U66), 1))</f>
        <v>0</v>
      </c>
    </row>
    <row r="72" spans="2:23" x14ac:dyDescent="0.25">
      <c r="B72" s="70" t="s">
        <v>105</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415</v>
      </c>
    </row>
    <row r="10" spans="1:43" x14ac:dyDescent="0.25">
      <c r="C10" s="71" t="s">
        <v>416</v>
      </c>
    </row>
    <row r="11" spans="1:43" x14ac:dyDescent="0.25">
      <c r="C11" s="71" t="s">
        <v>417</v>
      </c>
    </row>
    <row r="13" spans="1:43" x14ac:dyDescent="0.25">
      <c r="B13" s="70" t="s">
        <v>418</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419</v>
      </c>
    </row>
    <row r="18" spans="4:43" x14ac:dyDescent="0.25">
      <c r="D18" s="71" t="s">
        <v>420</v>
      </c>
    </row>
    <row r="19" spans="4:43" x14ac:dyDescent="0.25">
      <c r="D19" s="71"/>
    </row>
    <row r="20" spans="4:43" x14ac:dyDescent="0.25">
      <c r="E20" s="100" t="s">
        <v>421</v>
      </c>
      <c r="I20" t="s">
        <v>153</v>
      </c>
      <c r="J20" s="92"/>
      <c r="K20" s="92"/>
      <c r="L20" s="92"/>
      <c r="M20" s="92"/>
      <c r="N20" s="92"/>
      <c r="O20" s="92"/>
      <c r="P20" s="92"/>
      <c r="Q20" s="92"/>
      <c r="R20" s="92"/>
      <c r="S20" s="92"/>
      <c r="T20" s="92"/>
      <c r="U20" s="92"/>
      <c r="V20" s="92"/>
      <c r="W20" s="92"/>
      <c r="X20" s="92"/>
      <c r="Y20" s="92"/>
    </row>
    <row r="21" spans="4:43" x14ac:dyDescent="0.25">
      <c r="E21" s="71" t="s">
        <v>422</v>
      </c>
      <c r="AA21" t="s">
        <v>423</v>
      </c>
    </row>
    <row r="22" spans="4:43" x14ac:dyDescent="0.25">
      <c r="F22" s="90" t="s">
        <v>174</v>
      </c>
      <c r="G22" s="90" t="s">
        <v>166</v>
      </c>
      <c r="H22" s="149">
        <f>'General inputs'!H30</f>
        <v>0.40611012535926394</v>
      </c>
      <c r="AQ22" s="3"/>
    </row>
    <row r="23" spans="4:43" x14ac:dyDescent="0.25">
      <c r="F23" t="s">
        <v>176</v>
      </c>
      <c r="G23" t="s">
        <v>166</v>
      </c>
      <c r="H23" s="150">
        <f>'General inputs'!H31</f>
        <v>0.58741903403166595</v>
      </c>
      <c r="AQ23" s="3"/>
    </row>
    <row r="24" spans="4:43" x14ac:dyDescent="0.25">
      <c r="F24" t="s">
        <v>177</v>
      </c>
      <c r="G24" t="s">
        <v>166</v>
      </c>
      <c r="H24" s="150">
        <f>'General inputs'!H32</f>
        <v>0.30208847695897212</v>
      </c>
      <c r="AQ24" s="3"/>
    </row>
    <row r="25" spans="4:43" x14ac:dyDescent="0.25">
      <c r="F25" s="91" t="s">
        <v>178</v>
      </c>
      <c r="G25" s="91" t="s">
        <v>166</v>
      </c>
      <c r="H25" s="184">
        <f>'General inputs'!H33</f>
        <v>0.12606452222036799</v>
      </c>
      <c r="AQ25" s="3"/>
    </row>
    <row r="27" spans="4:43" x14ac:dyDescent="0.25">
      <c r="E27" s="60" t="s">
        <v>424</v>
      </c>
      <c r="I27" t="s">
        <v>153</v>
      </c>
      <c r="AA27" t="s">
        <v>425</v>
      </c>
      <c r="AQ27" s="3"/>
    </row>
    <row r="28" spans="4:43" x14ac:dyDescent="0.25">
      <c r="E28" s="71" t="s">
        <v>426</v>
      </c>
    </row>
    <row r="29" spans="4:43" x14ac:dyDescent="0.25">
      <c r="E29" s="71" t="s">
        <v>427</v>
      </c>
    </row>
    <row r="30" spans="4:43" x14ac:dyDescent="0.25">
      <c r="F30" s="90" t="s">
        <v>174</v>
      </c>
      <c r="G30" s="90" t="s">
        <v>175</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176</v>
      </c>
      <c r="G31" t="s">
        <v>175</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177</v>
      </c>
      <c r="G32" t="s">
        <v>175</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178</v>
      </c>
      <c r="G33" s="91" t="s">
        <v>175</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428</v>
      </c>
      <c r="G34" s="89" t="s">
        <v>166</v>
      </c>
      <c r="J34" s="188">
        <f t="shared" ref="J34:Y34" si="0">J30 * $H$22</f>
        <v>0.40611012535926394</v>
      </c>
      <c r="K34" s="188">
        <f t="shared" si="0"/>
        <v>0.40611012535926394</v>
      </c>
      <c r="L34" s="188">
        <f t="shared" si="0"/>
        <v>0.40611012535926394</v>
      </c>
      <c r="M34" s="188">
        <f t="shared" si="0"/>
        <v>0.40611012535926394</v>
      </c>
      <c r="N34" s="188">
        <f t="shared" si="0"/>
        <v>0.40611012535926394</v>
      </c>
      <c r="O34" s="188">
        <f t="shared" si="0"/>
        <v>0</v>
      </c>
      <c r="P34" s="188">
        <f t="shared" si="0"/>
        <v>0</v>
      </c>
      <c r="Q34" s="188">
        <f t="shared" si="0"/>
        <v>0.40611012535926394</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429</v>
      </c>
      <c r="G35" s="89" t="s">
        <v>166</v>
      </c>
      <c r="J35" s="188">
        <f t="shared" ref="J35:Y35" si="1">SUMPRODUCT(J31:J33,$H$23:$H$25)</f>
        <v>0.58741903403166595</v>
      </c>
      <c r="K35" s="188">
        <f t="shared" si="1"/>
        <v>0.58741903403166595</v>
      </c>
      <c r="L35" s="188">
        <f t="shared" si="1"/>
        <v>0.58741903403166595</v>
      </c>
      <c r="M35" s="188">
        <f t="shared" si="1"/>
        <v>0.58741903403166595</v>
      </c>
      <c r="N35" s="188">
        <f t="shared" si="1"/>
        <v>0.58741903403166595</v>
      </c>
      <c r="O35" s="188">
        <f t="shared" si="1"/>
        <v>0.30208847695897212</v>
      </c>
      <c r="P35" s="188">
        <f t="shared" si="1"/>
        <v>0.12606452222036799</v>
      </c>
      <c r="Q35" s="188">
        <f t="shared" si="1"/>
        <v>0.58741903403166595</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430</v>
      </c>
      <c r="I37" t="s">
        <v>153</v>
      </c>
      <c r="AA37" t="s">
        <v>425</v>
      </c>
      <c r="AQ37" s="3"/>
    </row>
    <row r="38" spans="4:43" x14ac:dyDescent="0.25">
      <c r="E38" s="71" t="s">
        <v>431</v>
      </c>
    </row>
    <row r="39" spans="4:43" x14ac:dyDescent="0.25">
      <c r="F39" s="89" t="s">
        <v>432</v>
      </c>
      <c r="G39" s="89" t="s">
        <v>208</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433</v>
      </c>
      <c r="G40" s="89" t="s">
        <v>208</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434</v>
      </c>
      <c r="G41" s="89" t="s">
        <v>208</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435</v>
      </c>
      <c r="G42" s="89" t="s">
        <v>208</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436</v>
      </c>
      <c r="G43" s="89" t="s">
        <v>208</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437</v>
      </c>
      <c r="G45" s="89" t="s">
        <v>166</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438</v>
      </c>
      <c r="G46" s="89" t="s">
        <v>166</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439</v>
      </c>
      <c r="G47" s="89" t="s">
        <v>166</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440</v>
      </c>
      <c r="G48" s="89" t="s">
        <v>166</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441</v>
      </c>
      <c r="G49" s="89" t="s">
        <v>166</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442</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949</v>
      </c>
      <c r="AQ55" s="3"/>
    </row>
    <row r="56" spans="2:43" x14ac:dyDescent="0.25">
      <c r="C56" s="71"/>
      <c r="AQ56" s="3"/>
    </row>
    <row r="57" spans="2:43" x14ac:dyDescent="0.25">
      <c r="C57" s="71"/>
      <c r="E57" s="60" t="s">
        <v>900</v>
      </c>
      <c r="G57" s="46"/>
      <c r="I57" t="s">
        <v>153</v>
      </c>
      <c r="AQ57" s="3"/>
    </row>
    <row r="58" spans="2:43" x14ac:dyDescent="0.25">
      <c r="C58" s="71"/>
      <c r="E58" s="60"/>
      <c r="F58" s="111" t="s">
        <v>246</v>
      </c>
      <c r="G58" s="111" t="s">
        <v>206</v>
      </c>
      <c r="H58" s="90"/>
      <c r="I58" s="90"/>
      <c r="J58" s="112"/>
      <c r="K58" s="167">
        <f>'Inputs by customer type'!K23</f>
        <v>267.59944132442337</v>
      </c>
      <c r="L58" s="167">
        <f>'Inputs by customer type'!L23</f>
        <v>23.8864359599051</v>
      </c>
      <c r="M58" s="167">
        <f>'Inputs by customer type'!M23</f>
        <v>522.25619825826141</v>
      </c>
      <c r="N58" s="167">
        <f>'Inputs by customer type'!N23</f>
        <v>3.2128723712107869</v>
      </c>
      <c r="O58" s="167">
        <f>'Inputs by customer type'!O23</f>
        <v>8.8172625295477786E-2</v>
      </c>
      <c r="P58" s="167">
        <f>'Inputs by customer type'!P23</f>
        <v>541.96235961505158</v>
      </c>
      <c r="Q58" s="112"/>
      <c r="R58" s="167">
        <f>'Inputs by customer type'!R23</f>
        <v>19571.925278374503</v>
      </c>
      <c r="S58" s="167">
        <f>'Inputs by customer type'!S23</f>
        <v>0</v>
      </c>
      <c r="T58" s="167">
        <f>'Inputs by customer type'!T23</f>
        <v>5902.4038</v>
      </c>
      <c r="U58" s="167">
        <f>'Inputs by customer type'!U23</f>
        <v>0</v>
      </c>
      <c r="V58" s="167">
        <f>'Inputs by customer type'!V23</f>
        <v>1013.0288999999998</v>
      </c>
      <c r="W58" s="167">
        <f>'Inputs by customer type'!W23</f>
        <v>0</v>
      </c>
      <c r="X58" s="167">
        <f>'Inputs by customer type'!X23</f>
        <v>115980.32519999999</v>
      </c>
      <c r="Y58" s="167">
        <f>'Inputs by customer type'!Y23</f>
        <v>0</v>
      </c>
      <c r="AQ58" s="3"/>
    </row>
    <row r="59" spans="2:43" x14ac:dyDescent="0.25">
      <c r="E59" s="60"/>
      <c r="F59" s="113" t="s">
        <v>247</v>
      </c>
      <c r="G59" s="113" t="s">
        <v>206</v>
      </c>
      <c r="J59" s="121"/>
      <c r="K59" s="190">
        <f>'Inputs by customer type'!K24</f>
        <v>3009.1632577465161</v>
      </c>
      <c r="L59" s="190">
        <f>'Inputs by customer type'!L24</f>
        <v>84.429234480720567</v>
      </c>
      <c r="M59" s="190">
        <f>'Inputs by customer type'!M24</f>
        <v>2991.7411850243693</v>
      </c>
      <c r="N59" s="190">
        <f>'Inputs by customer type'!N24</f>
        <v>11.018313324190808</v>
      </c>
      <c r="O59" s="190">
        <f>'Inputs by customer type'!O24</f>
        <v>0.44361509342263367</v>
      </c>
      <c r="P59" s="190">
        <f>'Inputs by customer type'!P24</f>
        <v>1787.6325942714436</v>
      </c>
      <c r="Q59" s="121"/>
      <c r="R59" s="190">
        <f>'Inputs by customer type'!R24</f>
        <v>95791.600508721793</v>
      </c>
      <c r="S59" s="190">
        <f>'Inputs by customer type'!S24</f>
        <v>0</v>
      </c>
      <c r="T59" s="190">
        <f>'Inputs by customer type'!T24</f>
        <v>23799.629700000005</v>
      </c>
      <c r="U59" s="190">
        <f>'Inputs by customer type'!U24</f>
        <v>0</v>
      </c>
      <c r="V59" s="190">
        <f>'Inputs by customer type'!V24</f>
        <v>3224.2487000000001</v>
      </c>
      <c r="W59" s="190">
        <f>'Inputs by customer type'!W24</f>
        <v>0</v>
      </c>
      <c r="X59" s="190">
        <f>'Inputs by customer type'!X24</f>
        <v>309200.76439999999</v>
      </c>
      <c r="Y59" s="190">
        <f>'Inputs by customer type'!Y24</f>
        <v>0</v>
      </c>
      <c r="AQ59" s="3"/>
    </row>
    <row r="60" spans="2:43" x14ac:dyDescent="0.25">
      <c r="E60" s="60"/>
      <c r="F60" s="113" t="s">
        <v>248</v>
      </c>
      <c r="G60" s="113" t="s">
        <v>206</v>
      </c>
      <c r="J60" s="121"/>
      <c r="K60" s="190">
        <f>'Inputs by customer type'!K25</f>
        <v>7951.9525613351861</v>
      </c>
      <c r="L60" s="190">
        <f>'Inputs by customer type'!L25</f>
        <v>84.08467623411623</v>
      </c>
      <c r="M60" s="190">
        <f>'Inputs by customer type'!M25</f>
        <v>8895.6207003617601</v>
      </c>
      <c r="N60" s="190">
        <f>'Inputs by customer type'!N25</f>
        <v>19.264918608979336</v>
      </c>
      <c r="O60" s="190">
        <f>'Inputs by customer type'!O25</f>
        <v>0.50314829432551389</v>
      </c>
      <c r="P60" s="190">
        <f>'Inputs by customer type'!P25</f>
        <v>3484.4255497876861</v>
      </c>
      <c r="Q60" s="121"/>
      <c r="R60" s="190">
        <f>'Inputs by customer type'!R25</f>
        <v>54622.312445790958</v>
      </c>
      <c r="S60" s="190">
        <f>'Inputs by customer type'!S25</f>
        <v>0</v>
      </c>
      <c r="T60" s="190">
        <f>'Inputs by customer type'!T25</f>
        <v>25980.259299999998</v>
      </c>
      <c r="U60" s="190">
        <f>'Inputs by customer type'!U25</f>
        <v>0</v>
      </c>
      <c r="V60" s="190">
        <f>'Inputs by customer type'!V25</f>
        <v>5456.4781000000003</v>
      </c>
      <c r="W60" s="190">
        <f>'Inputs by customer type'!W25</f>
        <v>0</v>
      </c>
      <c r="X60" s="190">
        <f>'Inputs by customer type'!X25</f>
        <v>381710.65130000003</v>
      </c>
      <c r="Y60" s="190">
        <f>'Inputs by customer type'!Y25</f>
        <v>0</v>
      </c>
      <c r="AQ60" s="3"/>
    </row>
    <row r="61" spans="2:43" x14ac:dyDescent="0.25">
      <c r="E61" s="60"/>
      <c r="F61" s="113" t="s">
        <v>211</v>
      </c>
      <c r="G61" s="113" t="s">
        <v>211</v>
      </c>
      <c r="J61" s="121"/>
      <c r="K61" s="190">
        <f>'Inputs by customer type'!K26</f>
        <v>4043.2318793394506</v>
      </c>
      <c r="L61" s="190">
        <f>'Inputs by customer type'!L26</f>
        <v>21.99813867057907</v>
      </c>
      <c r="M61" s="190">
        <f>'Inputs by customer type'!M26</f>
        <v>1571.1666666666665</v>
      </c>
      <c r="N61" s="190">
        <f>'Inputs by customer type'!N26</f>
        <v>8.1262089826560899</v>
      </c>
      <c r="O61" s="190">
        <f>'Inputs by customer type'!O26</f>
        <v>1.1072850062440645</v>
      </c>
      <c r="P61" s="190">
        <f>'Inputs by customer type'!P26</f>
        <v>75.007576408708928</v>
      </c>
      <c r="Q61" s="121"/>
      <c r="R61" s="190">
        <f>'Inputs by customer type'!R26</f>
        <v>32972.366465964653</v>
      </c>
      <c r="S61" s="190">
        <f>'Inputs by customer type'!S26</f>
        <v>0</v>
      </c>
      <c r="T61" s="190">
        <f>'Inputs by customer type'!T26</f>
        <v>717</v>
      </c>
      <c r="U61" s="190">
        <f>'Inputs by customer type'!U26</f>
        <v>0</v>
      </c>
      <c r="V61" s="190">
        <f>'Inputs by customer type'!V26</f>
        <v>36</v>
      </c>
      <c r="W61" s="190">
        <f>'Inputs by customer type'!W26</f>
        <v>0</v>
      </c>
      <c r="X61" s="190">
        <f>'Inputs by customer type'!X26</f>
        <v>286</v>
      </c>
      <c r="Y61" s="190">
        <f>'Inputs by customer type'!Y26</f>
        <v>0</v>
      </c>
      <c r="AQ61" s="3"/>
    </row>
    <row r="62" spans="2:43" x14ac:dyDescent="0.25">
      <c r="E62" s="60"/>
      <c r="F62" s="113" t="s">
        <v>249</v>
      </c>
      <c r="G62" s="113" t="s">
        <v>250</v>
      </c>
      <c r="J62" s="121"/>
      <c r="K62" s="190">
        <f>'Inputs by customer type'!K27</f>
        <v>0</v>
      </c>
      <c r="L62" s="190">
        <f>'Inputs by customer type'!L27</f>
        <v>0</v>
      </c>
      <c r="M62" s="190">
        <f>'Inputs by customer type'!M27</f>
        <v>0</v>
      </c>
      <c r="N62" s="190">
        <f>'Inputs by customer type'!N27</f>
        <v>235</v>
      </c>
      <c r="O62" s="190">
        <f>'Inputs by customer type'!O27</f>
        <v>30</v>
      </c>
      <c r="P62" s="190">
        <f>'Inputs by customer type'!P27</f>
        <v>10815</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251</v>
      </c>
      <c r="G63" s="113" t="s">
        <v>250</v>
      </c>
      <c r="J63" s="121"/>
      <c r="K63" s="190">
        <f>'Inputs by customer type'!K28</f>
        <v>0</v>
      </c>
      <c r="L63" s="190">
        <f>'Inputs by customer type'!L28</f>
        <v>0</v>
      </c>
      <c r="M63" s="190">
        <f>'Inputs by customer type'!M28</f>
        <v>0</v>
      </c>
      <c r="N63" s="190">
        <f>'Inputs by customer type'!N28</f>
        <v>1.2328767123287672</v>
      </c>
      <c r="O63" s="190">
        <f>'Inputs by customer type'!O28</f>
        <v>0</v>
      </c>
      <c r="P63" s="190">
        <f>'Inputs by customer type'!P28</f>
        <v>1069.3095890410959</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252</v>
      </c>
      <c r="G64" s="115" t="s">
        <v>253</v>
      </c>
      <c r="H64" s="91"/>
      <c r="I64" s="91"/>
      <c r="J64" s="116"/>
      <c r="K64" s="168">
        <f>'Inputs by customer type'!K29</f>
        <v>0</v>
      </c>
      <c r="L64" s="168">
        <f>'Inputs by customer type'!L29</f>
        <v>0</v>
      </c>
      <c r="M64" s="168">
        <f>'Inputs by customer type'!M29</f>
        <v>0</v>
      </c>
      <c r="N64" s="168">
        <f>'Inputs by customer type'!N29</f>
        <v>11.863</v>
      </c>
      <c r="O64" s="168">
        <f>'Inputs by customer type'!O29</f>
        <v>7.0000000000000007E-2</v>
      </c>
      <c r="P64" s="168">
        <f>'Inputs by customer type'!P29</f>
        <v>3977.5509999999999</v>
      </c>
      <c r="Q64" s="116"/>
      <c r="R64" s="168">
        <f>'Inputs by customer type'!R29</f>
        <v>0</v>
      </c>
      <c r="S64" s="168">
        <f>'Inputs by customer type'!S29</f>
        <v>0</v>
      </c>
      <c r="T64" s="168">
        <f>'Inputs by customer type'!T29</f>
        <v>6266.0650000000005</v>
      </c>
      <c r="U64" s="168">
        <f>'Inputs by customer type'!U29</f>
        <v>0</v>
      </c>
      <c r="V64" s="168">
        <f>'Inputs by customer type'!V29</f>
        <v>448.65200000000004</v>
      </c>
      <c r="W64" s="168">
        <f>'Inputs by customer type'!W29</f>
        <v>0</v>
      </c>
      <c r="X64" s="168">
        <f>'Inputs by customer type'!X29</f>
        <v>31743.218000000001</v>
      </c>
      <c r="Y64" s="168">
        <f>'Inputs by customer type'!Y29</f>
        <v>0</v>
      </c>
      <c r="AQ64" s="3"/>
    </row>
    <row r="65" spans="3:43" x14ac:dyDescent="0.25">
      <c r="C65" s="71"/>
      <c r="AQ65" s="3"/>
    </row>
    <row r="66" spans="3:43" x14ac:dyDescent="0.25">
      <c r="C66" s="71"/>
      <c r="E66" s="60" t="s">
        <v>934</v>
      </c>
      <c r="G66" s="46"/>
      <c r="I66" t="s">
        <v>153</v>
      </c>
      <c r="AQ66" s="3"/>
    </row>
    <row r="67" spans="3:43" x14ac:dyDescent="0.25">
      <c r="C67" s="71"/>
      <c r="E67" s="60"/>
      <c r="F67" s="111" t="s">
        <v>246</v>
      </c>
      <c r="G67" s="111" t="s">
        <v>206</v>
      </c>
      <c r="H67" s="90"/>
      <c r="I67" s="90"/>
      <c r="J67" s="167">
        <f>'Inputs by customer type'!J32</f>
        <v>891975.83915223007</v>
      </c>
      <c r="K67" s="112"/>
      <c r="L67" s="167">
        <f>'Inputs by customer type'!L32</f>
        <v>16552.532223543443</v>
      </c>
      <c r="M67" s="112"/>
      <c r="N67" s="167">
        <f>'Inputs by customer type'!N32</f>
        <v>62873.674907171699</v>
      </c>
      <c r="O67" s="167">
        <f>'Inputs by customer type'!O32</f>
        <v>834.88459673391424</v>
      </c>
      <c r="P67" s="167">
        <f>'Inputs by customer type'!P32</f>
        <v>31874.674246611579</v>
      </c>
      <c r="Q67" s="167">
        <f>'Inputs by customer type'!Q32</f>
        <v>7374.2403851888157</v>
      </c>
      <c r="R67" s="112"/>
      <c r="S67" s="112"/>
      <c r="T67" s="112"/>
      <c r="U67" s="112"/>
      <c r="V67" s="112"/>
      <c r="W67" s="112"/>
      <c r="X67" s="112"/>
      <c r="Y67" s="112"/>
      <c r="AQ67" s="3"/>
    </row>
    <row r="68" spans="3:43" x14ac:dyDescent="0.25">
      <c r="E68" s="60"/>
      <c r="F68" s="113" t="s">
        <v>247</v>
      </c>
      <c r="G68" s="113" t="s">
        <v>206</v>
      </c>
      <c r="J68" s="190">
        <f>'Inputs by customer type'!J33</f>
        <v>2153149.2392095304</v>
      </c>
      <c r="K68" s="121"/>
      <c r="L68" s="190">
        <f>'Inputs by customer type'!L33</f>
        <v>59675.192160152277</v>
      </c>
      <c r="M68" s="121"/>
      <c r="N68" s="190">
        <f>'Inputs by customer type'!N33</f>
        <v>225338.3561774627</v>
      </c>
      <c r="O68" s="190">
        <f>'Inputs by customer type'!O33</f>
        <v>2865.1248760627245</v>
      </c>
      <c r="P68" s="190">
        <f>'Inputs by customer type'!P33</f>
        <v>115743.40860330635</v>
      </c>
      <c r="Q68" s="190">
        <f>'Inputs by customer type'!Q33</f>
        <v>29876.813151146878</v>
      </c>
      <c r="R68" s="121"/>
      <c r="S68" s="121"/>
      <c r="T68" s="121"/>
      <c r="U68" s="121"/>
      <c r="V68" s="121"/>
      <c r="W68" s="121"/>
      <c r="X68" s="121"/>
      <c r="Y68" s="121"/>
      <c r="AQ68" s="3"/>
    </row>
    <row r="69" spans="3:43" x14ac:dyDescent="0.25">
      <c r="E69" s="60"/>
      <c r="F69" s="113" t="s">
        <v>248</v>
      </c>
      <c r="G69" s="113" t="s">
        <v>206</v>
      </c>
      <c r="J69" s="190">
        <f>'Inputs by customer type'!J34</f>
        <v>3181300.0383317643</v>
      </c>
      <c r="K69" s="121"/>
      <c r="L69" s="190">
        <f>'Inputs by customer type'!L34</f>
        <v>63556.03002782695</v>
      </c>
      <c r="M69" s="121"/>
      <c r="N69" s="190">
        <f>'Inputs by customer type'!N34</f>
        <v>245264.57747899127</v>
      </c>
      <c r="O69" s="190">
        <f>'Inputs by customer type'!O34</f>
        <v>3492.6774058827486</v>
      </c>
      <c r="P69" s="190">
        <f>'Inputs by customer type'!P34</f>
        <v>138938.77516997</v>
      </c>
      <c r="Q69" s="190">
        <f>'Inputs by customer type'!Q34</f>
        <v>99538.398472304776</v>
      </c>
      <c r="R69" s="121"/>
      <c r="S69" s="121"/>
      <c r="T69" s="121"/>
      <c r="U69" s="121"/>
      <c r="V69" s="121"/>
      <c r="W69" s="121"/>
      <c r="X69" s="121"/>
      <c r="Y69" s="121"/>
      <c r="AQ69" s="3"/>
    </row>
    <row r="70" spans="3:43" x14ac:dyDescent="0.25">
      <c r="E70" s="60"/>
      <c r="F70" s="113" t="s">
        <v>211</v>
      </c>
      <c r="G70" s="113" t="s">
        <v>211</v>
      </c>
      <c r="J70" s="190">
        <f>'Inputs by customer type'!J35</f>
        <v>2156414.718697391</v>
      </c>
      <c r="K70" s="121"/>
      <c r="L70" s="190">
        <f>'Inputs by customer type'!L35</f>
        <v>49964.405692999382</v>
      </c>
      <c r="M70" s="121"/>
      <c r="N70" s="190">
        <f>'Inputs by customer type'!N35</f>
        <v>6810.778903588639</v>
      </c>
      <c r="O70" s="190">
        <f>'Inputs by customer type'!O35</f>
        <v>11.072850062440644</v>
      </c>
      <c r="P70" s="190">
        <f>'Inputs by customer type'!P35</f>
        <v>600.06061126967143</v>
      </c>
      <c r="Q70" s="190">
        <f>'Inputs by customer type'!Q35</f>
        <v>623.86666666666667</v>
      </c>
      <c r="R70" s="121"/>
      <c r="S70" s="121"/>
      <c r="T70" s="121"/>
      <c r="U70" s="121"/>
      <c r="V70" s="121"/>
      <c r="W70" s="121"/>
      <c r="X70" s="121"/>
      <c r="Y70" s="121"/>
      <c r="AQ70" s="3"/>
    </row>
    <row r="71" spans="3:43" x14ac:dyDescent="0.25">
      <c r="E71" s="60"/>
      <c r="F71" s="113" t="s">
        <v>249</v>
      </c>
      <c r="G71" s="113" t="s">
        <v>250</v>
      </c>
      <c r="J71" s="190">
        <f>'Inputs by customer type'!J36</f>
        <v>0</v>
      </c>
      <c r="K71" s="121"/>
      <c r="L71" s="190">
        <f>'Inputs by customer type'!L36</f>
        <v>0</v>
      </c>
      <c r="M71" s="121"/>
      <c r="N71" s="190">
        <f>'Inputs by customer type'!N36</f>
        <v>310632</v>
      </c>
      <c r="O71" s="190">
        <f>'Inputs by customer type'!O36</f>
        <v>551</v>
      </c>
      <c r="P71" s="190">
        <f>'Inputs by customer type'!P36</f>
        <v>148794</v>
      </c>
      <c r="Q71" s="190">
        <f>'Inputs by customer type'!Q36</f>
        <v>0</v>
      </c>
      <c r="R71" s="121"/>
      <c r="S71" s="121"/>
      <c r="T71" s="121"/>
      <c r="U71" s="121"/>
      <c r="V71" s="121"/>
      <c r="W71" s="121"/>
      <c r="X71" s="121"/>
      <c r="Y71" s="121"/>
      <c r="AQ71" s="3"/>
    </row>
    <row r="72" spans="3:43" x14ac:dyDescent="0.25">
      <c r="E72" s="60"/>
      <c r="F72" s="113" t="s">
        <v>251</v>
      </c>
      <c r="G72" s="113" t="s">
        <v>250</v>
      </c>
      <c r="J72" s="190">
        <f>'Inputs by customer type'!J37</f>
        <v>0</v>
      </c>
      <c r="K72" s="121"/>
      <c r="L72" s="190">
        <f>'Inputs by customer type'!L37</f>
        <v>0</v>
      </c>
      <c r="M72" s="121"/>
      <c r="N72" s="190">
        <f>'Inputs by customer type'!N37</f>
        <v>20829.369863013697</v>
      </c>
      <c r="O72" s="190">
        <f>'Inputs by customer type'!O37</f>
        <v>106.63561643835617</v>
      </c>
      <c r="P72" s="190">
        <f>'Inputs by customer type'!P37</f>
        <v>8063.7479452054795</v>
      </c>
      <c r="Q72" s="190">
        <f>'Inputs by customer type'!Q37</f>
        <v>0</v>
      </c>
      <c r="R72" s="121"/>
      <c r="S72" s="121"/>
      <c r="T72" s="121"/>
      <c r="U72" s="121"/>
      <c r="V72" s="121"/>
      <c r="W72" s="121"/>
      <c r="X72" s="121"/>
      <c r="Y72" s="121"/>
      <c r="AQ72" s="3"/>
    </row>
    <row r="73" spans="3:43" x14ac:dyDescent="0.25">
      <c r="E73" s="60"/>
      <c r="F73" s="115" t="s">
        <v>252</v>
      </c>
      <c r="G73" s="115" t="s">
        <v>253</v>
      </c>
      <c r="H73" s="91"/>
      <c r="I73" s="91"/>
      <c r="J73" s="168">
        <f>'Inputs by customer type'!J38</f>
        <v>0</v>
      </c>
      <c r="K73" s="116"/>
      <c r="L73" s="168">
        <f>'Inputs by customer type'!L38</f>
        <v>0</v>
      </c>
      <c r="M73" s="116"/>
      <c r="N73" s="168">
        <f>'Inputs by customer type'!N38</f>
        <v>48591.389000000003</v>
      </c>
      <c r="O73" s="168">
        <f>'Inputs by customer type'!O38</f>
        <v>588.76400000000001</v>
      </c>
      <c r="P73" s="168">
        <f>'Inputs by customer type'!P38</f>
        <v>39956.269</v>
      </c>
      <c r="Q73" s="168">
        <f>'Inputs by customer type'!Q38</f>
        <v>0</v>
      </c>
      <c r="R73" s="116"/>
      <c r="S73" s="116"/>
      <c r="T73" s="116"/>
      <c r="U73" s="116"/>
      <c r="V73" s="116"/>
      <c r="W73" s="116"/>
      <c r="X73" s="116"/>
      <c r="Y73" s="116"/>
      <c r="AQ73" s="3"/>
    </row>
    <row r="74" spans="3:43" x14ac:dyDescent="0.25">
      <c r="AQ74" s="3"/>
    </row>
    <row r="75" spans="3:43" x14ac:dyDescent="0.25">
      <c r="C75" s="71"/>
      <c r="E75" s="60" t="s">
        <v>935</v>
      </c>
      <c r="G75" s="46"/>
      <c r="I75" t="s">
        <v>153</v>
      </c>
      <c r="AQ75" s="3"/>
    </row>
    <row r="76" spans="3:43" x14ac:dyDescent="0.25">
      <c r="C76" s="71"/>
      <c r="E76" s="60"/>
      <c r="F76" s="111" t="s">
        <v>246</v>
      </c>
      <c r="G76" s="111" t="s">
        <v>206</v>
      </c>
      <c r="H76" s="90"/>
      <c r="I76" s="90"/>
      <c r="J76" s="112"/>
      <c r="K76" s="112"/>
      <c r="L76" s="167">
        <f>'Inputs by customer type'!L41</f>
        <v>40532.6087360288</v>
      </c>
      <c r="M76" s="112"/>
      <c r="N76" s="167">
        <f>'Inputs by customer type'!N41</f>
        <v>85362.412065266122</v>
      </c>
      <c r="O76" s="167">
        <f>'Inputs by customer type'!O41</f>
        <v>1260.6540644547413</v>
      </c>
      <c r="P76" s="167">
        <f>'Inputs by customer type'!P41</f>
        <v>107443.06941902314</v>
      </c>
      <c r="Q76" s="112"/>
      <c r="R76" s="112"/>
      <c r="S76" s="112"/>
      <c r="T76" s="112"/>
      <c r="U76" s="112"/>
      <c r="V76" s="112"/>
      <c r="W76" s="112"/>
      <c r="X76" s="112"/>
      <c r="Y76" s="112"/>
      <c r="AQ76" s="3"/>
    </row>
    <row r="77" spans="3:43" x14ac:dyDescent="0.25">
      <c r="E77" s="60"/>
      <c r="F77" s="113" t="s">
        <v>247</v>
      </c>
      <c r="G77" s="113" t="s">
        <v>206</v>
      </c>
      <c r="J77" s="121"/>
      <c r="K77" s="121"/>
      <c r="L77" s="190">
        <f>'Inputs by customer type'!L42</f>
        <v>146302.79963081883</v>
      </c>
      <c r="M77" s="121"/>
      <c r="N77" s="190">
        <f>'Inputs by customer type'!N42</f>
        <v>294459.9077535813</v>
      </c>
      <c r="O77" s="190">
        <f>'Inputs by customer type'!O42</f>
        <v>4162.5130790372414</v>
      </c>
      <c r="P77" s="190">
        <f>'Inputs by customer type'!P42</f>
        <v>369000.85991966072</v>
      </c>
      <c r="Q77" s="121"/>
      <c r="R77" s="121"/>
      <c r="S77" s="121"/>
      <c r="T77" s="121"/>
      <c r="U77" s="121"/>
      <c r="V77" s="121"/>
      <c r="W77" s="121"/>
      <c r="X77" s="121"/>
      <c r="Y77" s="121"/>
      <c r="AQ77" s="3"/>
    </row>
    <row r="78" spans="3:43" x14ac:dyDescent="0.25">
      <c r="E78" s="60"/>
      <c r="F78" s="113" t="s">
        <v>248</v>
      </c>
      <c r="G78" s="113" t="s">
        <v>206</v>
      </c>
      <c r="J78" s="121"/>
      <c r="K78" s="121"/>
      <c r="L78" s="190">
        <f>'Inputs by customer type'!L43</f>
        <v>156706.73379057075</v>
      </c>
      <c r="M78" s="121"/>
      <c r="N78" s="190">
        <f>'Inputs by customer type'!N43</f>
        <v>326381.09230257245</v>
      </c>
      <c r="O78" s="190">
        <f>'Inputs by customer type'!O43</f>
        <v>4899.9296028810568</v>
      </c>
      <c r="P78" s="190">
        <f>'Inputs by customer type'!P43</f>
        <v>467257.86981950596</v>
      </c>
      <c r="Q78" s="121"/>
      <c r="R78" s="121"/>
      <c r="S78" s="121"/>
      <c r="T78" s="121"/>
      <c r="U78" s="121"/>
      <c r="V78" s="121"/>
      <c r="W78" s="121"/>
      <c r="X78" s="121"/>
      <c r="Y78" s="121"/>
      <c r="AQ78" s="3"/>
    </row>
    <row r="79" spans="3:43" x14ac:dyDescent="0.25">
      <c r="E79" s="60"/>
      <c r="F79" s="113" t="s">
        <v>211</v>
      </c>
      <c r="G79" s="113" t="s">
        <v>211</v>
      </c>
      <c r="J79" s="121"/>
      <c r="K79" s="121"/>
      <c r="L79" s="190">
        <f>'Inputs by customer type'!L44</f>
        <v>46310.381537763642</v>
      </c>
      <c r="M79" s="121"/>
      <c r="N79" s="190">
        <f>'Inputs by customer type'!N44</f>
        <v>4584.1976423408714</v>
      </c>
      <c r="O79" s="190">
        <f>'Inputs by customer type'!O44</f>
        <v>33.218550187321952</v>
      </c>
      <c r="P79" s="190">
        <f>'Inputs by customer type'!P44</f>
        <v>688.06950092255659</v>
      </c>
      <c r="Q79" s="121"/>
      <c r="R79" s="121"/>
      <c r="S79" s="121"/>
      <c r="T79" s="121"/>
      <c r="U79" s="121"/>
      <c r="V79" s="121"/>
      <c r="W79" s="121"/>
      <c r="X79" s="121"/>
      <c r="Y79" s="121"/>
      <c r="AQ79" s="3"/>
    </row>
    <row r="80" spans="3:43" x14ac:dyDescent="0.25">
      <c r="E80" s="60"/>
      <c r="F80" s="113" t="s">
        <v>249</v>
      </c>
      <c r="G80" s="113" t="s">
        <v>250</v>
      </c>
      <c r="J80" s="121"/>
      <c r="K80" s="121"/>
      <c r="L80" s="190">
        <f>'Inputs by customer type'!L45</f>
        <v>0</v>
      </c>
      <c r="M80" s="121"/>
      <c r="N80" s="190">
        <f>'Inputs by customer type'!N45</f>
        <v>514933</v>
      </c>
      <c r="O80" s="190">
        <f>'Inputs by customer type'!O45</f>
        <v>3935</v>
      </c>
      <c r="P80" s="190">
        <f>'Inputs by customer type'!P45</f>
        <v>477037</v>
      </c>
      <c r="Q80" s="121"/>
      <c r="R80" s="121"/>
      <c r="S80" s="121"/>
      <c r="T80" s="121"/>
      <c r="U80" s="121"/>
      <c r="V80" s="121"/>
      <c r="W80" s="121"/>
      <c r="X80" s="121"/>
      <c r="Y80" s="121"/>
      <c r="AQ80" s="3"/>
    </row>
    <row r="81" spans="3:43" x14ac:dyDescent="0.25">
      <c r="E81" s="60"/>
      <c r="F81" s="113" t="s">
        <v>251</v>
      </c>
      <c r="G81" s="113" t="s">
        <v>250</v>
      </c>
      <c r="J81" s="121"/>
      <c r="K81" s="121"/>
      <c r="L81" s="190">
        <f>'Inputs by customer type'!L46</f>
        <v>0</v>
      </c>
      <c r="M81" s="121"/>
      <c r="N81" s="190">
        <f>'Inputs by customer type'!N46</f>
        <v>8090.6273972602739</v>
      </c>
      <c r="O81" s="190">
        <f>'Inputs by customer type'!O46</f>
        <v>203.16164383561645</v>
      </c>
      <c r="P81" s="190">
        <f>'Inputs by customer type'!P46</f>
        <v>6804.5150684931505</v>
      </c>
      <c r="Q81" s="121"/>
      <c r="R81" s="121"/>
      <c r="S81" s="121"/>
      <c r="T81" s="121"/>
      <c r="U81" s="121"/>
      <c r="V81" s="121"/>
      <c r="W81" s="121"/>
      <c r="X81" s="121"/>
      <c r="Y81" s="121"/>
      <c r="AQ81" s="3"/>
    </row>
    <row r="82" spans="3:43" x14ac:dyDescent="0.25">
      <c r="E82" s="60"/>
      <c r="F82" s="115" t="s">
        <v>252</v>
      </c>
      <c r="G82" s="115" t="s">
        <v>253</v>
      </c>
      <c r="H82" s="91"/>
      <c r="I82" s="91"/>
      <c r="J82" s="116"/>
      <c r="K82" s="116"/>
      <c r="L82" s="168">
        <f>'Inputs by customer type'!L47</f>
        <v>0</v>
      </c>
      <c r="M82" s="116"/>
      <c r="N82" s="168">
        <f>'Inputs by customer type'!N47</f>
        <v>62518.572999999997</v>
      </c>
      <c r="O82" s="168">
        <f>'Inputs by customer type'!O47</f>
        <v>963.84799999999996</v>
      </c>
      <c r="P82" s="168">
        <f>'Inputs by customer type'!P47</f>
        <v>84751.020999999993</v>
      </c>
      <c r="Q82" s="116"/>
      <c r="R82" s="116"/>
      <c r="S82" s="116"/>
      <c r="T82" s="116"/>
      <c r="U82" s="116"/>
      <c r="V82" s="116"/>
      <c r="W82" s="116"/>
      <c r="X82" s="116"/>
      <c r="Y82" s="116"/>
      <c r="AQ82" s="3"/>
    </row>
    <row r="83" spans="3:43" x14ac:dyDescent="0.25">
      <c r="AQ83" s="3"/>
    </row>
    <row r="84" spans="3:43" x14ac:dyDescent="0.25">
      <c r="C84" s="71"/>
      <c r="E84" s="60" t="s">
        <v>936</v>
      </c>
      <c r="G84" s="46"/>
      <c r="I84" t="s">
        <v>153</v>
      </c>
      <c r="AQ84" s="3"/>
    </row>
    <row r="85" spans="3:43" x14ac:dyDescent="0.25">
      <c r="C85" s="71"/>
      <c r="E85" s="60"/>
      <c r="F85" s="111" t="s">
        <v>246</v>
      </c>
      <c r="G85" s="111" t="s">
        <v>206</v>
      </c>
      <c r="H85" s="90"/>
      <c r="I85" s="90"/>
      <c r="J85" s="112"/>
      <c r="K85" s="112"/>
      <c r="L85" s="167">
        <f>'Inputs by customer type'!L50</f>
        <v>45281.293220552077</v>
      </c>
      <c r="M85" s="112"/>
      <c r="N85" s="167">
        <f>'Inputs by customer type'!N50</f>
        <v>53107.35116186065</v>
      </c>
      <c r="O85" s="167">
        <f>'Inputs by customer type'!O50</f>
        <v>2854.5255833190145</v>
      </c>
      <c r="P85" s="167">
        <f>'Inputs by customer type'!P50</f>
        <v>98514.766092263526</v>
      </c>
      <c r="Q85" s="112"/>
      <c r="R85" s="112"/>
      <c r="S85" s="112"/>
      <c r="T85" s="112"/>
      <c r="U85" s="112"/>
      <c r="V85" s="112"/>
      <c r="W85" s="112"/>
      <c r="X85" s="112"/>
      <c r="Y85" s="112"/>
      <c r="AQ85" s="3"/>
    </row>
    <row r="86" spans="3:43" x14ac:dyDescent="0.25">
      <c r="E86" s="60"/>
      <c r="F86" s="113" t="s">
        <v>247</v>
      </c>
      <c r="G86" s="113" t="s">
        <v>206</v>
      </c>
      <c r="J86" s="121"/>
      <c r="K86" s="121"/>
      <c r="L86" s="190">
        <f>'Inputs by customer type'!L51</f>
        <v>163574.20762390032</v>
      </c>
      <c r="M86" s="121"/>
      <c r="N86" s="190">
        <f>'Inputs by customer type'!N51</f>
        <v>191191.78141982338</v>
      </c>
      <c r="O86" s="190">
        <f>'Inputs by customer type'!O51</f>
        <v>9681.6025949161158</v>
      </c>
      <c r="P86" s="190">
        <f>'Inputs by customer type'!P51</f>
        <v>323014.47390604595</v>
      </c>
      <c r="Q86" s="121"/>
      <c r="R86" s="121"/>
      <c r="S86" s="121"/>
      <c r="T86" s="121"/>
      <c r="U86" s="121"/>
      <c r="V86" s="121"/>
      <c r="W86" s="121"/>
      <c r="X86" s="121"/>
      <c r="Y86" s="121"/>
      <c r="AQ86" s="3"/>
    </row>
    <row r="87" spans="3:43" x14ac:dyDescent="0.25">
      <c r="E87" s="60"/>
      <c r="F87" s="113" t="s">
        <v>248</v>
      </c>
      <c r="G87" s="113" t="s">
        <v>206</v>
      </c>
      <c r="J87" s="121"/>
      <c r="K87" s="121"/>
      <c r="L87" s="190">
        <f>'Inputs by customer type'!L52</f>
        <v>180765.34521693317</v>
      </c>
      <c r="M87" s="121"/>
      <c r="N87" s="190">
        <f>'Inputs by customer type'!N52</f>
        <v>209786.49692852865</v>
      </c>
      <c r="O87" s="190">
        <f>'Inputs by customer type'!O52</f>
        <v>11398.433603884556</v>
      </c>
      <c r="P87" s="190">
        <f>'Inputs by customer type'!P52</f>
        <v>441807.65508207423</v>
      </c>
      <c r="Q87" s="121"/>
      <c r="R87" s="121"/>
      <c r="S87" s="121"/>
      <c r="T87" s="121"/>
      <c r="U87" s="121"/>
      <c r="V87" s="121"/>
      <c r="W87" s="121"/>
      <c r="X87" s="121"/>
      <c r="Y87" s="121"/>
      <c r="AQ87" s="3"/>
    </row>
    <row r="88" spans="3:43" x14ac:dyDescent="0.25">
      <c r="E88" s="60"/>
      <c r="F88" s="113" t="s">
        <v>211</v>
      </c>
      <c r="G88" s="113" t="s">
        <v>211</v>
      </c>
      <c r="J88" s="121"/>
      <c r="K88" s="121"/>
      <c r="L88" s="190">
        <f>'Inputs by customer type'!L53</f>
        <v>22046.301262062389</v>
      </c>
      <c r="M88" s="121"/>
      <c r="N88" s="190">
        <f>'Inputs by customer type'!N53</f>
        <v>1939.11661848631</v>
      </c>
      <c r="O88" s="190">
        <f>'Inputs by customer type'!O53</f>
        <v>57.578820324691343</v>
      </c>
      <c r="P88" s="190">
        <f>'Inputs by customer type'!P53</f>
        <v>290.02929544700771</v>
      </c>
      <c r="Q88" s="121"/>
      <c r="R88" s="121"/>
      <c r="S88" s="121"/>
      <c r="T88" s="121"/>
      <c r="U88" s="121"/>
      <c r="V88" s="121"/>
      <c r="W88" s="121"/>
      <c r="X88" s="121"/>
      <c r="Y88" s="121"/>
      <c r="AQ88" s="3"/>
    </row>
    <row r="89" spans="3:43" x14ac:dyDescent="0.25">
      <c r="E89" s="60"/>
      <c r="F89" s="113" t="s">
        <v>249</v>
      </c>
      <c r="G89" s="113" t="s">
        <v>250</v>
      </c>
      <c r="J89" s="121"/>
      <c r="K89" s="121"/>
      <c r="L89" s="190">
        <f>'Inputs by customer type'!L54</f>
        <v>0</v>
      </c>
      <c r="M89" s="121"/>
      <c r="N89" s="190">
        <f>'Inputs by customer type'!N54</f>
        <v>357716</v>
      </c>
      <c r="O89" s="190">
        <f>'Inputs by customer type'!O54</f>
        <v>9742</v>
      </c>
      <c r="P89" s="190">
        <f>'Inputs by customer type'!P54</f>
        <v>393855</v>
      </c>
      <c r="Q89" s="121"/>
      <c r="R89" s="121"/>
      <c r="S89" s="121"/>
      <c r="T89" s="121"/>
      <c r="U89" s="121"/>
      <c r="V89" s="121"/>
      <c r="W89" s="121"/>
      <c r="X89" s="121"/>
      <c r="Y89" s="121"/>
      <c r="AQ89" s="3"/>
    </row>
    <row r="90" spans="3:43" x14ac:dyDescent="0.25">
      <c r="E90" s="60"/>
      <c r="F90" s="113" t="s">
        <v>251</v>
      </c>
      <c r="G90" s="113" t="s">
        <v>250</v>
      </c>
      <c r="J90" s="121"/>
      <c r="K90" s="121"/>
      <c r="L90" s="190">
        <f>'Inputs by customer type'!L55</f>
        <v>0</v>
      </c>
      <c r="M90" s="121"/>
      <c r="N90" s="190">
        <f>'Inputs by customer type'!N55</f>
        <v>3558.3945205479454</v>
      </c>
      <c r="O90" s="190">
        <f>'Inputs by customer type'!O55</f>
        <v>174.21643835616439</v>
      </c>
      <c r="P90" s="190">
        <f>'Inputs by customer type'!P55</f>
        <v>2879.1150684931508</v>
      </c>
      <c r="Q90" s="121"/>
      <c r="R90" s="121"/>
      <c r="S90" s="121"/>
      <c r="T90" s="121"/>
      <c r="U90" s="121"/>
      <c r="V90" s="121"/>
      <c r="W90" s="121"/>
      <c r="X90" s="121"/>
      <c r="Y90" s="121"/>
      <c r="AQ90" s="3"/>
    </row>
    <row r="91" spans="3:43" x14ac:dyDescent="0.25">
      <c r="E91" s="60"/>
      <c r="F91" s="115" t="s">
        <v>252</v>
      </c>
      <c r="G91" s="115" t="s">
        <v>253</v>
      </c>
      <c r="H91" s="91"/>
      <c r="I91" s="91"/>
      <c r="J91" s="116"/>
      <c r="K91" s="116"/>
      <c r="L91" s="168">
        <f>'Inputs by customer type'!L56</f>
        <v>0</v>
      </c>
      <c r="M91" s="116"/>
      <c r="N91" s="168">
        <f>'Inputs by customer type'!N56</f>
        <v>48725.938000000002</v>
      </c>
      <c r="O91" s="168">
        <f>'Inputs by customer type'!O56</f>
        <v>2040.5429999999999</v>
      </c>
      <c r="P91" s="168">
        <f>'Inputs by customer type'!P56</f>
        <v>69378.464000000007</v>
      </c>
      <c r="Q91" s="116"/>
      <c r="R91" s="116"/>
      <c r="S91" s="116"/>
      <c r="T91" s="116"/>
      <c r="U91" s="116"/>
      <c r="V91" s="116"/>
      <c r="W91" s="116"/>
      <c r="X91" s="116"/>
      <c r="Y91" s="116"/>
      <c r="AQ91" s="3"/>
    </row>
    <row r="92" spans="3:43" x14ac:dyDescent="0.25">
      <c r="AQ92" s="3"/>
    </row>
    <row r="93" spans="3:43" x14ac:dyDescent="0.25">
      <c r="C93" s="71"/>
      <c r="E93" s="60" t="s">
        <v>937</v>
      </c>
      <c r="G93" s="46"/>
      <c r="I93" t="s">
        <v>153</v>
      </c>
      <c r="AQ93" s="3"/>
    </row>
    <row r="94" spans="3:43" x14ac:dyDescent="0.25">
      <c r="C94" s="71"/>
      <c r="E94" s="60"/>
      <c r="F94" s="111" t="s">
        <v>246</v>
      </c>
      <c r="G94" s="111" t="s">
        <v>206</v>
      </c>
      <c r="H94" s="90"/>
      <c r="I94" s="90"/>
      <c r="J94" s="112"/>
      <c r="K94" s="112"/>
      <c r="L94" s="167">
        <f>'Inputs by customer type'!L59</f>
        <v>131298.93050379492</v>
      </c>
      <c r="M94" s="112"/>
      <c r="N94" s="167">
        <f>'Inputs by customer type'!N59</f>
        <v>85535.392546985327</v>
      </c>
      <c r="O94" s="167">
        <f>'Inputs by customer type'!O59</f>
        <v>47376.215525796506</v>
      </c>
      <c r="P94" s="167">
        <f>'Inputs by customer type'!P59</f>
        <v>248773.27096185446</v>
      </c>
      <c r="Q94" s="112"/>
      <c r="R94" s="112"/>
      <c r="S94" s="112"/>
      <c r="T94" s="112"/>
      <c r="U94" s="112"/>
      <c r="V94" s="112"/>
      <c r="W94" s="112"/>
      <c r="X94" s="112"/>
      <c r="Y94" s="112"/>
      <c r="AQ94" s="3"/>
    </row>
    <row r="95" spans="3:43" x14ac:dyDescent="0.25">
      <c r="E95" s="60"/>
      <c r="F95" s="113" t="s">
        <v>247</v>
      </c>
      <c r="G95" s="113" t="s">
        <v>206</v>
      </c>
      <c r="J95" s="121"/>
      <c r="K95" s="121"/>
      <c r="L95" s="190">
        <f>'Inputs by customer type'!L60</f>
        <v>469656.2843104786</v>
      </c>
      <c r="M95" s="121"/>
      <c r="N95" s="190">
        <f>'Inputs by customer type'!N60</f>
        <v>317993.11282686668</v>
      </c>
      <c r="O95" s="190">
        <f>'Inputs by customer type'!O60</f>
        <v>168335.14810756053</v>
      </c>
      <c r="P95" s="190">
        <f>'Inputs by customer type'!P60</f>
        <v>806470.6791899926</v>
      </c>
      <c r="Q95" s="121"/>
      <c r="R95" s="121"/>
      <c r="S95" s="121"/>
      <c r="T95" s="121"/>
      <c r="U95" s="121"/>
      <c r="V95" s="121"/>
      <c r="W95" s="121"/>
      <c r="X95" s="121"/>
      <c r="Y95" s="121"/>
      <c r="AQ95" s="3"/>
    </row>
    <row r="96" spans="3:43" x14ac:dyDescent="0.25">
      <c r="E96" s="60"/>
      <c r="F96" s="113" t="s">
        <v>248</v>
      </c>
      <c r="G96" s="113" t="s">
        <v>206</v>
      </c>
      <c r="J96" s="121"/>
      <c r="K96" s="121"/>
      <c r="L96" s="190">
        <f>'Inputs by customer type'!L61</f>
        <v>550277.63718993054</v>
      </c>
      <c r="M96" s="121"/>
      <c r="N96" s="190">
        <f>'Inputs by customer type'!N61</f>
        <v>339571.8091207039</v>
      </c>
      <c r="O96" s="190">
        <f>'Inputs by customer type'!O61</f>
        <v>202194.67214787006</v>
      </c>
      <c r="P96" s="190">
        <f>'Inputs by customer type'!P61</f>
        <v>1211196.6972275905</v>
      </c>
      <c r="Q96" s="121"/>
      <c r="R96" s="121"/>
      <c r="S96" s="121"/>
      <c r="T96" s="121"/>
      <c r="U96" s="121"/>
      <c r="V96" s="121"/>
      <c r="W96" s="121"/>
      <c r="X96" s="121"/>
      <c r="Y96" s="121"/>
      <c r="AQ96" s="3"/>
    </row>
    <row r="97" spans="3:43" x14ac:dyDescent="0.25">
      <c r="E97" s="60"/>
      <c r="F97" s="113" t="s">
        <v>211</v>
      </c>
      <c r="G97" s="113" t="s">
        <v>211</v>
      </c>
      <c r="J97" s="121"/>
      <c r="K97" s="121"/>
      <c r="L97" s="190">
        <f>'Inputs by customer type'!L62</f>
        <v>24326.408335267901</v>
      </c>
      <c r="M97" s="121"/>
      <c r="N97" s="190">
        <f>'Inputs by customer type'!N62</f>
        <v>1682.1252594098121</v>
      </c>
      <c r="O97" s="190">
        <f>'Inputs by customer type'!O62</f>
        <v>578.00277325940158</v>
      </c>
      <c r="P97" s="190">
        <f>'Inputs by customer type'!P62</f>
        <v>319.03222499170869</v>
      </c>
      <c r="Q97" s="121"/>
      <c r="R97" s="121"/>
      <c r="S97" s="121"/>
      <c r="T97" s="121"/>
      <c r="U97" s="121"/>
      <c r="V97" s="121"/>
      <c r="W97" s="121"/>
      <c r="X97" s="121"/>
      <c r="Y97" s="121"/>
      <c r="AQ97" s="3"/>
    </row>
    <row r="98" spans="3:43" x14ac:dyDescent="0.25">
      <c r="E98" s="60"/>
      <c r="F98" s="113" t="s">
        <v>249</v>
      </c>
      <c r="G98" s="113" t="s">
        <v>250</v>
      </c>
      <c r="J98" s="121"/>
      <c r="K98" s="121"/>
      <c r="L98" s="190">
        <f>'Inputs by customer type'!L63</f>
        <v>0</v>
      </c>
      <c r="M98" s="121"/>
      <c r="N98" s="190">
        <f>'Inputs by customer type'!N63</f>
        <v>575429</v>
      </c>
      <c r="O98" s="190">
        <f>'Inputs by customer type'!O63</f>
        <v>264967</v>
      </c>
      <c r="P98" s="190">
        <f>'Inputs by customer type'!P63</f>
        <v>1061553</v>
      </c>
      <c r="Q98" s="121"/>
      <c r="R98" s="121"/>
      <c r="S98" s="121"/>
      <c r="T98" s="121"/>
      <c r="U98" s="121"/>
      <c r="V98" s="121"/>
      <c r="W98" s="121"/>
      <c r="X98" s="121"/>
      <c r="Y98" s="121"/>
      <c r="AQ98" s="3"/>
    </row>
    <row r="99" spans="3:43" x14ac:dyDescent="0.25">
      <c r="E99" s="60"/>
      <c r="F99" s="113" t="s">
        <v>251</v>
      </c>
      <c r="G99" s="113" t="s">
        <v>250</v>
      </c>
      <c r="J99" s="121"/>
      <c r="K99" s="121"/>
      <c r="L99" s="190">
        <f>'Inputs by customer type'!L64</f>
        <v>0</v>
      </c>
      <c r="M99" s="121"/>
      <c r="N99" s="190">
        <f>'Inputs by customer type'!N64</f>
        <v>3127.0054794520547</v>
      </c>
      <c r="O99" s="190">
        <f>'Inputs by customer type'!O64</f>
        <v>1034.6739726027397</v>
      </c>
      <c r="P99" s="190">
        <f>'Inputs by customer type'!P64</f>
        <v>5700.8027397260275</v>
      </c>
      <c r="Q99" s="121"/>
      <c r="R99" s="121"/>
      <c r="S99" s="121"/>
      <c r="T99" s="121"/>
      <c r="U99" s="121"/>
      <c r="V99" s="121"/>
      <c r="W99" s="121"/>
      <c r="X99" s="121"/>
      <c r="Y99" s="121"/>
      <c r="AQ99" s="3"/>
    </row>
    <row r="100" spans="3:43" x14ac:dyDescent="0.25">
      <c r="E100" s="60"/>
      <c r="F100" s="115" t="s">
        <v>252</v>
      </c>
      <c r="G100" s="115" t="s">
        <v>253</v>
      </c>
      <c r="H100" s="91"/>
      <c r="I100" s="91"/>
      <c r="J100" s="116"/>
      <c r="K100" s="116"/>
      <c r="L100" s="168">
        <f>'Inputs by customer type'!L65</f>
        <v>0</v>
      </c>
      <c r="M100" s="116"/>
      <c r="N100" s="168">
        <f>'Inputs by customer type'!N65</f>
        <v>73404.600999999995</v>
      </c>
      <c r="O100" s="168">
        <f>'Inputs by customer type'!O65</f>
        <v>32654.519</v>
      </c>
      <c r="P100" s="168">
        <f>'Inputs by customer type'!P65</f>
        <v>193174.59</v>
      </c>
      <c r="Q100" s="116"/>
      <c r="R100" s="116"/>
      <c r="S100" s="116"/>
      <c r="T100" s="116"/>
      <c r="U100" s="116"/>
      <c r="V100" s="116"/>
      <c r="W100" s="116"/>
      <c r="X100" s="116"/>
      <c r="Y100" s="116"/>
      <c r="AQ100" s="3"/>
    </row>
    <row r="101" spans="3:43" x14ac:dyDescent="0.25">
      <c r="AQ101" s="3"/>
    </row>
    <row r="102" spans="3:43" x14ac:dyDescent="0.25">
      <c r="C102" s="71"/>
      <c r="D102" s="71" t="s">
        <v>950</v>
      </c>
      <c r="AQ102" s="3"/>
    </row>
    <row r="103" spans="3:43" x14ac:dyDescent="0.25">
      <c r="AQ103" s="3"/>
    </row>
    <row r="104" spans="3:43" x14ac:dyDescent="0.25">
      <c r="E104" s="60" t="s">
        <v>901</v>
      </c>
      <c r="G104" s="46"/>
      <c r="I104" t="s">
        <v>153</v>
      </c>
      <c r="AQ104" s="3"/>
    </row>
    <row r="105" spans="3:43" x14ac:dyDescent="0.25">
      <c r="E105" s="60"/>
      <c r="F105" s="111" t="s">
        <v>246</v>
      </c>
      <c r="G105" s="111" t="s">
        <v>206</v>
      </c>
      <c r="H105" s="90"/>
      <c r="I105" s="90"/>
      <c r="J105" s="112"/>
      <c r="K105" s="167">
        <f>'Inputs by customer type'!K70</f>
        <v>0</v>
      </c>
      <c r="L105" s="167">
        <f>'Inputs by customer type'!L70</f>
        <v>0</v>
      </c>
      <c r="M105" s="167">
        <f>'Inputs by customer type'!M70</f>
        <v>0</v>
      </c>
      <c r="N105" s="167">
        <f>'Inputs by customer type'!N70</f>
        <v>0</v>
      </c>
      <c r="O105" s="167">
        <f>'Inputs by customer type'!O70</f>
        <v>0</v>
      </c>
      <c r="P105" s="167">
        <f>'Inputs by customer type'!P70</f>
        <v>0</v>
      </c>
      <c r="Q105" s="112"/>
      <c r="R105" s="167">
        <f>'Inputs by customer type'!R70</f>
        <v>461.60500000000002</v>
      </c>
      <c r="S105" s="112"/>
      <c r="T105" s="167">
        <f>'Inputs by customer type'!T70</f>
        <v>1.7350000000000001</v>
      </c>
      <c r="U105" s="112"/>
      <c r="V105" s="112"/>
      <c r="W105" s="112"/>
      <c r="X105" s="112"/>
      <c r="Y105" s="112"/>
      <c r="AQ105" s="3"/>
    </row>
    <row r="106" spans="3:43" x14ac:dyDescent="0.25">
      <c r="E106" s="60"/>
      <c r="F106" s="113" t="s">
        <v>247</v>
      </c>
      <c r="G106" s="113" t="s">
        <v>206</v>
      </c>
      <c r="J106" s="121"/>
      <c r="K106" s="190">
        <f>'Inputs by customer type'!K71</f>
        <v>0</v>
      </c>
      <c r="L106" s="190">
        <f>'Inputs by customer type'!L71</f>
        <v>0</v>
      </c>
      <c r="M106" s="190">
        <f>'Inputs by customer type'!M71</f>
        <v>0</v>
      </c>
      <c r="N106" s="190">
        <f>'Inputs by customer type'!N71</f>
        <v>0</v>
      </c>
      <c r="O106" s="190">
        <f>'Inputs by customer type'!O71</f>
        <v>0</v>
      </c>
      <c r="P106" s="190">
        <f>'Inputs by customer type'!P71</f>
        <v>0</v>
      </c>
      <c r="Q106" s="121"/>
      <c r="R106" s="190">
        <f>'Inputs by customer type'!R71</f>
        <v>2076.4070000000002</v>
      </c>
      <c r="S106" s="121"/>
      <c r="T106" s="190">
        <f>'Inputs by customer type'!T71</f>
        <v>16.108000000000001</v>
      </c>
      <c r="U106" s="121"/>
      <c r="V106" s="121"/>
      <c r="W106" s="121"/>
      <c r="X106" s="121"/>
      <c r="Y106" s="121"/>
      <c r="AQ106" s="3"/>
    </row>
    <row r="107" spans="3:43" x14ac:dyDescent="0.25">
      <c r="E107" s="60"/>
      <c r="F107" s="113" t="s">
        <v>248</v>
      </c>
      <c r="G107" s="113" t="s">
        <v>206</v>
      </c>
      <c r="J107" s="121"/>
      <c r="K107" s="190">
        <f>'Inputs by customer type'!K72</f>
        <v>0</v>
      </c>
      <c r="L107" s="190">
        <f>'Inputs by customer type'!L72</f>
        <v>0</v>
      </c>
      <c r="M107" s="190">
        <f>'Inputs by customer type'!M72</f>
        <v>0</v>
      </c>
      <c r="N107" s="190">
        <f>'Inputs by customer type'!N72</f>
        <v>0</v>
      </c>
      <c r="O107" s="190">
        <f>'Inputs by customer type'!O72</f>
        <v>0</v>
      </c>
      <c r="P107" s="190">
        <f>'Inputs by customer type'!P72</f>
        <v>0</v>
      </c>
      <c r="Q107" s="121"/>
      <c r="R107" s="190">
        <f>'Inputs by customer type'!R72</f>
        <v>1230.577</v>
      </c>
      <c r="S107" s="121"/>
      <c r="T107" s="190">
        <f>'Inputs by customer type'!T72</f>
        <v>8.6150000000000002</v>
      </c>
      <c r="U107" s="121"/>
      <c r="V107" s="121"/>
      <c r="W107" s="121"/>
      <c r="X107" s="121"/>
      <c r="Y107" s="121"/>
      <c r="AQ107" s="3"/>
    </row>
    <row r="108" spans="3:43" x14ac:dyDescent="0.25">
      <c r="E108" s="60"/>
      <c r="F108" s="113" t="s">
        <v>211</v>
      </c>
      <c r="G108" s="113" t="s">
        <v>211</v>
      </c>
      <c r="J108" s="121"/>
      <c r="K108" s="190">
        <f>'Inputs by customer type'!K73</f>
        <v>0</v>
      </c>
      <c r="L108" s="190">
        <f>'Inputs by customer type'!L73</f>
        <v>0</v>
      </c>
      <c r="M108" s="190">
        <f>'Inputs by customer type'!M73</f>
        <v>0</v>
      </c>
      <c r="N108" s="190">
        <f>'Inputs by customer type'!N73</f>
        <v>0</v>
      </c>
      <c r="O108" s="190">
        <f>'Inputs by customer type'!O73</f>
        <v>0</v>
      </c>
      <c r="P108" s="190">
        <f>'Inputs by customer type'!P73</f>
        <v>0</v>
      </c>
      <c r="Q108" s="121"/>
      <c r="R108" s="190">
        <f>'Inputs by customer type'!R73</f>
        <v>273.96666666666664</v>
      </c>
      <c r="S108" s="121"/>
      <c r="T108" s="190">
        <f>'Inputs by customer type'!T73</f>
        <v>2</v>
      </c>
      <c r="U108" s="121"/>
      <c r="V108" s="121"/>
      <c r="W108" s="121"/>
      <c r="X108" s="121"/>
      <c r="Y108" s="121"/>
      <c r="AQ108" s="3"/>
    </row>
    <row r="109" spans="3:43" x14ac:dyDescent="0.25">
      <c r="E109" s="60"/>
      <c r="F109" s="113" t="s">
        <v>249</v>
      </c>
      <c r="G109" s="113" t="s">
        <v>250</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251</v>
      </c>
      <c r="G110" s="113" t="s">
        <v>250</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252</v>
      </c>
      <c r="G111" s="115" t="s">
        <v>253</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7.8289999999999997</v>
      </c>
      <c r="U111" s="116"/>
      <c r="V111" s="116"/>
      <c r="W111" s="116"/>
      <c r="X111" s="116"/>
      <c r="Y111" s="116"/>
      <c r="AQ111" s="3"/>
    </row>
    <row r="112" spans="3:43" x14ac:dyDescent="0.25">
      <c r="C112" s="71"/>
      <c r="AQ112" s="3"/>
    </row>
    <row r="113" spans="5:43" x14ac:dyDescent="0.25">
      <c r="E113" s="60" t="s">
        <v>938</v>
      </c>
      <c r="G113" s="46"/>
      <c r="I113" t="s">
        <v>153</v>
      </c>
      <c r="AQ113" s="3"/>
    </row>
    <row r="114" spans="5:43" x14ac:dyDescent="0.25">
      <c r="E114" s="60"/>
      <c r="F114" s="111" t="s">
        <v>246</v>
      </c>
      <c r="G114" s="111" t="s">
        <v>206</v>
      </c>
      <c r="H114" s="90"/>
      <c r="I114" s="90"/>
      <c r="J114" s="167">
        <f>'Inputs by customer type'!J79</f>
        <v>17977.821069245529</v>
      </c>
      <c r="K114" s="112"/>
      <c r="L114" s="167">
        <f>'Inputs by customer type'!L79</f>
        <v>606.09777118413092</v>
      </c>
      <c r="M114" s="112"/>
      <c r="N114" s="167">
        <f>'Inputs by customer type'!N79</f>
        <v>116.08133897472126</v>
      </c>
      <c r="O114" s="167">
        <f>'Inputs by customer type'!O79</f>
        <v>0</v>
      </c>
      <c r="P114" s="167">
        <f>'Inputs by customer type'!P79</f>
        <v>0</v>
      </c>
      <c r="Q114" s="167">
        <f>'Inputs by customer type'!Q79</f>
        <v>9.4473171927800657</v>
      </c>
      <c r="R114" s="112"/>
      <c r="S114" s="112"/>
      <c r="T114" s="112"/>
      <c r="U114" s="112"/>
      <c r="V114" s="112"/>
      <c r="W114" s="112"/>
      <c r="X114" s="112"/>
      <c r="Y114" s="112"/>
      <c r="AQ114" s="3"/>
    </row>
    <row r="115" spans="5:43" x14ac:dyDescent="0.25">
      <c r="E115" s="60"/>
      <c r="F115" s="113" t="s">
        <v>247</v>
      </c>
      <c r="G115" s="113" t="s">
        <v>206</v>
      </c>
      <c r="J115" s="190">
        <f>'Inputs by customer type'!J80</f>
        <v>43109.182634741424</v>
      </c>
      <c r="K115" s="121"/>
      <c r="L115" s="190">
        <f>'Inputs by customer type'!L80</f>
        <v>2189.2341803249178</v>
      </c>
      <c r="M115" s="121"/>
      <c r="N115" s="190">
        <f>'Inputs by customer type'!N80</f>
        <v>355.71645666194769</v>
      </c>
      <c r="O115" s="190">
        <f>'Inputs by customer type'!O80</f>
        <v>0</v>
      </c>
      <c r="P115" s="190">
        <f>'Inputs by customer type'!P80</f>
        <v>0</v>
      </c>
      <c r="Q115" s="190">
        <f>'Inputs by customer type'!Q80</f>
        <v>79.548638403142107</v>
      </c>
      <c r="R115" s="121"/>
      <c r="S115" s="121"/>
      <c r="T115" s="121"/>
      <c r="U115" s="121"/>
      <c r="V115" s="121"/>
      <c r="W115" s="121"/>
      <c r="X115" s="121"/>
      <c r="Y115" s="121"/>
      <c r="AQ115" s="3"/>
    </row>
    <row r="116" spans="5:43" x14ac:dyDescent="0.25">
      <c r="E116" s="60"/>
      <c r="F116" s="113" t="s">
        <v>248</v>
      </c>
      <c r="G116" s="113" t="s">
        <v>206</v>
      </c>
      <c r="J116" s="190">
        <f>'Inputs by customer type'!J81</f>
        <v>61508.146726310944</v>
      </c>
      <c r="K116" s="121"/>
      <c r="L116" s="190">
        <f>'Inputs by customer type'!L81</f>
        <v>2279.0113760479762</v>
      </c>
      <c r="M116" s="121"/>
      <c r="N116" s="190">
        <f>'Inputs by customer type'!N81</f>
        <v>446.94375863973147</v>
      </c>
      <c r="O116" s="190">
        <f>'Inputs by customer type'!O81</f>
        <v>0</v>
      </c>
      <c r="P116" s="190">
        <f>'Inputs by customer type'!P81</f>
        <v>0</v>
      </c>
      <c r="Q116" s="190">
        <f>'Inputs by customer type'!Q81</f>
        <v>139.29179941102402</v>
      </c>
      <c r="R116" s="121"/>
      <c r="S116" s="121"/>
      <c r="T116" s="121"/>
      <c r="U116" s="121"/>
      <c r="V116" s="121"/>
      <c r="W116" s="121"/>
      <c r="X116" s="121"/>
      <c r="Y116" s="121"/>
      <c r="AQ116" s="3"/>
    </row>
    <row r="117" spans="5:43" x14ac:dyDescent="0.25">
      <c r="E117" s="60"/>
      <c r="F117" s="113" t="s">
        <v>211</v>
      </c>
      <c r="G117" s="113" t="s">
        <v>211</v>
      </c>
      <c r="J117" s="190">
        <f>'Inputs by customer type'!J82</f>
        <v>44241.292567649827</v>
      </c>
      <c r="K117" s="121"/>
      <c r="L117" s="190">
        <f>'Inputs by customer type'!L82</f>
        <v>485.19265346453273</v>
      </c>
      <c r="M117" s="121"/>
      <c r="N117" s="190">
        <f>'Inputs by customer type'!N82</f>
        <v>10.411859516406272</v>
      </c>
      <c r="O117" s="190">
        <f>'Inputs by customer type'!O82</f>
        <v>0</v>
      </c>
      <c r="P117" s="190">
        <f>'Inputs by customer type'!P82</f>
        <v>0</v>
      </c>
      <c r="Q117" s="190">
        <f>'Inputs by customer type'!Q82</f>
        <v>149.67048054834018</v>
      </c>
      <c r="R117" s="121"/>
      <c r="S117" s="121"/>
      <c r="T117" s="121"/>
      <c r="U117" s="121"/>
      <c r="V117" s="121"/>
      <c r="W117" s="121"/>
      <c r="X117" s="121"/>
      <c r="Y117" s="121"/>
      <c r="AQ117" s="3"/>
    </row>
    <row r="118" spans="5:43" x14ac:dyDescent="0.25">
      <c r="E118" s="60"/>
      <c r="F118" s="113" t="s">
        <v>249</v>
      </c>
      <c r="G118" s="113" t="s">
        <v>250</v>
      </c>
      <c r="J118" s="190">
        <f>'Inputs by customer type'!J83</f>
        <v>0</v>
      </c>
      <c r="K118" s="121"/>
      <c r="L118" s="190">
        <f>'Inputs by customer type'!L83</f>
        <v>0</v>
      </c>
      <c r="M118" s="121"/>
      <c r="N118" s="190">
        <f>'Inputs by customer type'!N83</f>
        <v>454</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251</v>
      </c>
      <c r="G119" s="113" t="s">
        <v>250</v>
      </c>
      <c r="J119" s="190">
        <f>'Inputs by customer type'!J84</f>
        <v>0</v>
      </c>
      <c r="K119" s="121"/>
      <c r="L119" s="190">
        <f>'Inputs by customer type'!L84</f>
        <v>0</v>
      </c>
      <c r="M119" s="121"/>
      <c r="N119" s="190">
        <f>'Inputs by customer type'!N84</f>
        <v>48.742465753424661</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252</v>
      </c>
      <c r="G120" s="115" t="s">
        <v>253</v>
      </c>
      <c r="H120" s="91"/>
      <c r="I120" s="91"/>
      <c r="J120" s="168">
        <f>'Inputs by customer type'!J85</f>
        <v>0</v>
      </c>
      <c r="K120" s="116"/>
      <c r="L120" s="168">
        <f>'Inputs by customer type'!L85</f>
        <v>0</v>
      </c>
      <c r="M120" s="116"/>
      <c r="N120" s="168">
        <f>'Inputs by customer type'!N85</f>
        <v>27.48</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939</v>
      </c>
      <c r="G122" s="46"/>
      <c r="I122" t="s">
        <v>153</v>
      </c>
      <c r="AQ122" s="3"/>
    </row>
    <row r="123" spans="5:43" x14ac:dyDescent="0.25">
      <c r="E123" s="60"/>
      <c r="F123" s="111" t="s">
        <v>246</v>
      </c>
      <c r="G123" s="111" t="s">
        <v>206</v>
      </c>
      <c r="H123" s="90"/>
      <c r="I123" s="90"/>
      <c r="J123" s="112"/>
      <c r="K123" s="112"/>
      <c r="L123" s="167">
        <f>'Inputs by customer type'!L88</f>
        <v>80.202188185604072</v>
      </c>
      <c r="M123" s="112"/>
      <c r="N123" s="167">
        <f>'Inputs by customer type'!N88</f>
        <v>633.14061621304177</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247</v>
      </c>
      <c r="G124" s="113" t="s">
        <v>206</v>
      </c>
      <c r="J124" s="121"/>
      <c r="K124" s="121"/>
      <c r="L124" s="190">
        <f>'Inputs by customer type'!L89</f>
        <v>287.88748602779941</v>
      </c>
      <c r="M124" s="121"/>
      <c r="N124" s="190">
        <f>'Inputs by customer type'!N89</f>
        <v>2053.4643141917782</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248</v>
      </c>
      <c r="G125" s="113" t="s">
        <v>206</v>
      </c>
      <c r="J125" s="121"/>
      <c r="K125" s="121"/>
      <c r="L125" s="190">
        <f>'Inputs by customer type'!L90</f>
        <v>302.33444331644898</v>
      </c>
      <c r="M125" s="121"/>
      <c r="N125" s="190">
        <f>'Inputs by customer type'!N90</f>
        <v>2647.9412407071604</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211</v>
      </c>
      <c r="G126" s="113" t="s">
        <v>211</v>
      </c>
      <c r="J126" s="121"/>
      <c r="K126" s="121"/>
      <c r="L126" s="190">
        <f>'Inputs by customer type'!L91</f>
        <v>78.999984080732588</v>
      </c>
      <c r="M126" s="121"/>
      <c r="N126" s="190">
        <f>'Inputs by customer type'!N91</f>
        <v>61.169674658886883</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249</v>
      </c>
      <c r="G127" s="113" t="s">
        <v>250</v>
      </c>
      <c r="J127" s="121"/>
      <c r="K127" s="121"/>
      <c r="L127" s="190">
        <f>'Inputs by customer type'!L92</f>
        <v>0</v>
      </c>
      <c r="M127" s="121"/>
      <c r="N127" s="190">
        <f>'Inputs by customer type'!N92</f>
        <v>5303</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251</v>
      </c>
      <c r="G128" s="113" t="s">
        <v>250</v>
      </c>
      <c r="J128" s="121"/>
      <c r="K128" s="121"/>
      <c r="L128" s="190">
        <f>'Inputs by customer type'!L93</f>
        <v>0</v>
      </c>
      <c r="M128" s="121"/>
      <c r="N128" s="190">
        <f>'Inputs by customer type'!N93</f>
        <v>4.5041095890410956</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252</v>
      </c>
      <c r="G129" s="115" t="s">
        <v>253</v>
      </c>
      <c r="H129" s="91"/>
      <c r="I129" s="91"/>
      <c r="J129" s="116"/>
      <c r="K129" s="116"/>
      <c r="L129" s="168">
        <f>'Inputs by customer type'!L94</f>
        <v>0</v>
      </c>
      <c r="M129" s="116"/>
      <c r="N129" s="168">
        <f>'Inputs by customer type'!N94</f>
        <v>207.57900000000001</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940</v>
      </c>
      <c r="G131" s="46"/>
      <c r="I131" t="s">
        <v>153</v>
      </c>
      <c r="AQ131" s="3"/>
    </row>
    <row r="132" spans="5:43" x14ac:dyDescent="0.25">
      <c r="E132" s="60"/>
      <c r="F132" s="111" t="s">
        <v>246</v>
      </c>
      <c r="G132" s="111" t="s">
        <v>206</v>
      </c>
      <c r="H132" s="90"/>
      <c r="I132" s="90"/>
      <c r="J132" s="112"/>
      <c r="K132" s="112"/>
      <c r="L132" s="167">
        <f>'Inputs by customer type'!L97</f>
        <v>29.215108638158505</v>
      </c>
      <c r="M132" s="112"/>
      <c r="N132" s="167">
        <f>'Inputs by customer type'!N97</f>
        <v>1727.1928127221925</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247</v>
      </c>
      <c r="G133" s="113" t="s">
        <v>206</v>
      </c>
      <c r="J133" s="121"/>
      <c r="K133" s="121"/>
      <c r="L133" s="190">
        <f>'Inputs by customer type'!L98</f>
        <v>102.9001902916247</v>
      </c>
      <c r="M133" s="121"/>
      <c r="N133" s="190">
        <f>'Inputs by customer type'!N98</f>
        <v>5245.3026819919187</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248</v>
      </c>
      <c r="G134" s="113" t="s">
        <v>206</v>
      </c>
      <c r="J134" s="121"/>
      <c r="K134" s="121"/>
      <c r="L134" s="190">
        <f>'Inputs by customer type'!L99</f>
        <v>107.99850833341939</v>
      </c>
      <c r="M134" s="121"/>
      <c r="N134" s="190">
        <f>'Inputs by customer type'!N99</f>
        <v>7189.1907032788822</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211</v>
      </c>
      <c r="G135" s="113" t="s">
        <v>211</v>
      </c>
      <c r="J135" s="121"/>
      <c r="K135" s="121"/>
      <c r="L135" s="190">
        <f>'Inputs by customer type'!L100</f>
        <v>28.849527410042406</v>
      </c>
      <c r="M135" s="121"/>
      <c r="N135" s="190">
        <f>'Inputs by customer type'!N100</f>
        <v>85.89784101035184</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249</v>
      </c>
      <c r="G136" s="113" t="s">
        <v>250</v>
      </c>
      <c r="J136" s="121"/>
      <c r="K136" s="121"/>
      <c r="L136" s="190">
        <f>'Inputs by customer type'!L101</f>
        <v>0</v>
      </c>
      <c r="M136" s="121"/>
      <c r="N136" s="190">
        <f>'Inputs by customer type'!N101</f>
        <v>11634</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251</v>
      </c>
      <c r="G137" s="113" t="s">
        <v>250</v>
      </c>
      <c r="J137" s="121"/>
      <c r="K137" s="121"/>
      <c r="L137" s="190">
        <f>'Inputs by customer type'!L102</f>
        <v>0</v>
      </c>
      <c r="M137" s="121"/>
      <c r="N137" s="190">
        <f>'Inputs by customer type'!N102</f>
        <v>7.7287671232876711</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252</v>
      </c>
      <c r="G138" s="115" t="s">
        <v>253</v>
      </c>
      <c r="H138" s="91"/>
      <c r="I138" s="91"/>
      <c r="J138" s="116"/>
      <c r="K138" s="116"/>
      <c r="L138" s="168">
        <f>'Inputs by customer type'!L103</f>
        <v>0</v>
      </c>
      <c r="M138" s="116"/>
      <c r="N138" s="168">
        <f>'Inputs by customer type'!N103</f>
        <v>700.91200000000003</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941</v>
      </c>
      <c r="G140" s="46"/>
      <c r="I140" t="s">
        <v>153</v>
      </c>
      <c r="AQ140" s="3"/>
    </row>
    <row r="141" spans="5:43" x14ac:dyDescent="0.25">
      <c r="E141" s="60"/>
      <c r="F141" s="111" t="s">
        <v>246</v>
      </c>
      <c r="G141" s="111" t="s">
        <v>206</v>
      </c>
      <c r="H141" s="90"/>
      <c r="I141" s="90"/>
      <c r="J141" s="112"/>
      <c r="K141" s="112"/>
      <c r="L141" s="167">
        <f>'Inputs by customer type'!L106</f>
        <v>91.762725871827456</v>
      </c>
      <c r="M141" s="112"/>
      <c r="N141" s="167">
        <f>'Inputs by customer type'!N106</f>
        <v>460.4606004382365</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247</v>
      </c>
      <c r="G142" s="113" t="s">
        <v>206</v>
      </c>
      <c r="J142" s="121"/>
      <c r="K142" s="121"/>
      <c r="L142" s="190">
        <f>'Inputs by customer type'!L107</f>
        <v>237.13289333311434</v>
      </c>
      <c r="M142" s="121"/>
      <c r="N142" s="190">
        <f>'Inputs by customer type'!N107</f>
        <v>1349.1372950898653</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248</v>
      </c>
      <c r="G143" s="113" t="s">
        <v>206</v>
      </c>
      <c r="J143" s="121"/>
      <c r="K143" s="121"/>
      <c r="L143" s="190">
        <f>'Inputs by customer type'!L108</f>
        <v>237.02747694296784</v>
      </c>
      <c r="M143" s="121"/>
      <c r="N143" s="190">
        <f>'Inputs by customer type'!N108</f>
        <v>1709.1473997616572</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211</v>
      </c>
      <c r="G144" s="113" t="s">
        <v>211</v>
      </c>
      <c r="J144" s="121"/>
      <c r="K144" s="121"/>
      <c r="L144" s="190">
        <f>'Inputs by customer type'!L109</f>
        <v>33.534864192425218</v>
      </c>
      <c r="M144" s="121"/>
      <c r="N144" s="190">
        <f>'Inputs by customer type'!N109</f>
        <v>16.919271714160196</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249</v>
      </c>
      <c r="G145" s="113" t="s">
        <v>250</v>
      </c>
      <c r="J145" s="121"/>
      <c r="K145" s="121"/>
      <c r="L145" s="190">
        <f>'Inputs by customer type'!L110</f>
        <v>0</v>
      </c>
      <c r="M145" s="121"/>
      <c r="N145" s="190">
        <f>'Inputs by customer type'!N110</f>
        <v>3665</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251</v>
      </c>
      <c r="G146" s="113" t="s">
        <v>250</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252</v>
      </c>
      <c r="G147" s="115" t="s">
        <v>253</v>
      </c>
      <c r="H147" s="91"/>
      <c r="I147" s="91"/>
      <c r="J147" s="116"/>
      <c r="K147" s="116"/>
      <c r="L147" s="168">
        <f>'Inputs by customer type'!L112</f>
        <v>0</v>
      </c>
      <c r="M147" s="116"/>
      <c r="N147" s="168">
        <f>'Inputs by customer type'!N112</f>
        <v>246.82599999999999</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951</v>
      </c>
      <c r="AQ149" s="3"/>
    </row>
    <row r="150" spans="3:43" x14ac:dyDescent="0.25">
      <c r="AQ150" s="3"/>
    </row>
    <row r="151" spans="3:43" x14ac:dyDescent="0.25">
      <c r="E151" s="60" t="s">
        <v>902</v>
      </c>
      <c r="G151" s="46"/>
      <c r="I151" t="s">
        <v>153</v>
      </c>
      <c r="AQ151" s="3"/>
    </row>
    <row r="152" spans="3:43" x14ac:dyDescent="0.25">
      <c r="E152" s="60"/>
      <c r="F152" s="111" t="s">
        <v>246</v>
      </c>
      <c r="G152" s="111" t="s">
        <v>206</v>
      </c>
      <c r="H152" s="90"/>
      <c r="I152" s="90"/>
      <c r="J152" s="112"/>
      <c r="K152" s="167">
        <f>'Inputs by customer type'!K117</f>
        <v>2.9178128836445221</v>
      </c>
      <c r="L152" s="167">
        <f>'Inputs by customer type'!L117</f>
        <v>0</v>
      </c>
      <c r="M152" s="167">
        <f>'Inputs by customer type'!M117</f>
        <v>3.3518113487766206</v>
      </c>
      <c r="N152" s="167">
        <f>'Inputs by customer type'!N117</f>
        <v>0</v>
      </c>
      <c r="O152" s="167">
        <f>'Inputs by customer type'!O117</f>
        <v>0</v>
      </c>
      <c r="P152" s="167">
        <f>'Inputs by customer type'!P117</f>
        <v>0</v>
      </c>
      <c r="Q152" s="112"/>
      <c r="R152" s="167">
        <f>'Inputs by customer type'!R117</f>
        <v>813.798</v>
      </c>
      <c r="S152" s="167">
        <f>'Inputs by customer type'!S117</f>
        <v>8.0310000000000006</v>
      </c>
      <c r="T152" s="167">
        <f>'Inputs by customer type'!T117</f>
        <v>19.936</v>
      </c>
      <c r="U152" s="167">
        <f>'Inputs by customer type'!U117</f>
        <v>0</v>
      </c>
      <c r="V152" s="167">
        <f>'Inputs by customer type'!V117</f>
        <v>29.873000000000001</v>
      </c>
      <c r="W152" s="167">
        <f>'Inputs by customer type'!W117</f>
        <v>0</v>
      </c>
      <c r="X152" s="167">
        <f>'Inputs by customer type'!X117</f>
        <v>185.017</v>
      </c>
      <c r="Y152" s="167">
        <f>'Inputs by customer type'!Y117</f>
        <v>0</v>
      </c>
      <c r="AQ152" s="3"/>
    </row>
    <row r="153" spans="3:43" x14ac:dyDescent="0.25">
      <c r="E153" s="60"/>
      <c r="F153" s="113" t="s">
        <v>247</v>
      </c>
      <c r="G153" s="113" t="s">
        <v>206</v>
      </c>
      <c r="J153" s="121"/>
      <c r="K153" s="190">
        <f>'Inputs by customer type'!K118</f>
        <v>37.585016423182644</v>
      </c>
      <c r="L153" s="190">
        <f>'Inputs by customer type'!L118</f>
        <v>0</v>
      </c>
      <c r="M153" s="190">
        <f>'Inputs by customer type'!M118</f>
        <v>12.030658885079809</v>
      </c>
      <c r="N153" s="190">
        <f>'Inputs by customer type'!N118</f>
        <v>0</v>
      </c>
      <c r="O153" s="190">
        <f>'Inputs by customer type'!O118</f>
        <v>0</v>
      </c>
      <c r="P153" s="190">
        <f>'Inputs by customer type'!P118</f>
        <v>0</v>
      </c>
      <c r="Q153" s="121"/>
      <c r="R153" s="190">
        <f>'Inputs by customer type'!R118</f>
        <v>3713.4470000000006</v>
      </c>
      <c r="S153" s="190">
        <f>'Inputs by customer type'!S118</f>
        <v>28.257000000000001</v>
      </c>
      <c r="T153" s="190">
        <f>'Inputs by customer type'!T118</f>
        <v>113.25500000000001</v>
      </c>
      <c r="U153" s="190">
        <f>'Inputs by customer type'!U118</f>
        <v>0</v>
      </c>
      <c r="V153" s="190">
        <f>'Inputs by customer type'!V118</f>
        <v>93.573000000000008</v>
      </c>
      <c r="W153" s="190">
        <f>'Inputs by customer type'!W118</f>
        <v>0</v>
      </c>
      <c r="X153" s="190">
        <f>'Inputs by customer type'!X118</f>
        <v>534.005</v>
      </c>
      <c r="Y153" s="190">
        <f>'Inputs by customer type'!Y118</f>
        <v>0</v>
      </c>
      <c r="AQ153" s="3"/>
    </row>
    <row r="154" spans="3:43" x14ac:dyDescent="0.25">
      <c r="E154" s="60"/>
      <c r="F154" s="113" t="s">
        <v>248</v>
      </c>
      <c r="G154" s="113" t="s">
        <v>206</v>
      </c>
      <c r="J154" s="121"/>
      <c r="K154" s="190">
        <f>'Inputs by customer type'!K119</f>
        <v>86.400026579674773</v>
      </c>
      <c r="L154" s="190">
        <f>'Inputs by customer type'!L119</f>
        <v>0</v>
      </c>
      <c r="M154" s="190">
        <f>'Inputs by customer type'!M119</f>
        <v>14.576916202439337</v>
      </c>
      <c r="N154" s="190">
        <f>'Inputs by customer type'!N119</f>
        <v>0</v>
      </c>
      <c r="O154" s="190">
        <f>'Inputs by customer type'!O119</f>
        <v>0</v>
      </c>
      <c r="P154" s="190">
        <f>'Inputs by customer type'!P119</f>
        <v>0</v>
      </c>
      <c r="Q154" s="121"/>
      <c r="R154" s="190">
        <f>'Inputs by customer type'!R119</f>
        <v>2195.2260000000001</v>
      </c>
      <c r="S154" s="190">
        <f>'Inputs by customer type'!S119</f>
        <v>18.324999999999999</v>
      </c>
      <c r="T154" s="190">
        <f>'Inputs by customer type'!T119</f>
        <v>68.24799999999999</v>
      </c>
      <c r="U154" s="190">
        <f>'Inputs by customer type'!U119</f>
        <v>0</v>
      </c>
      <c r="V154" s="190">
        <f>'Inputs by customer type'!V119</f>
        <v>105.008</v>
      </c>
      <c r="W154" s="190">
        <f>'Inputs by customer type'!W119</f>
        <v>0</v>
      </c>
      <c r="X154" s="190">
        <f>'Inputs by customer type'!X119</f>
        <v>839.64599999999996</v>
      </c>
      <c r="Y154" s="190">
        <f>'Inputs by customer type'!Y119</f>
        <v>0</v>
      </c>
      <c r="AQ154" s="3"/>
    </row>
    <row r="155" spans="3:43" x14ac:dyDescent="0.25">
      <c r="E155" s="60"/>
      <c r="F155" s="113" t="s">
        <v>211</v>
      </c>
      <c r="G155" s="113" t="s">
        <v>211</v>
      </c>
      <c r="J155" s="121"/>
      <c r="K155" s="190">
        <f>'Inputs by customer type'!K120</f>
        <v>145.76603322968793</v>
      </c>
      <c r="L155" s="190">
        <f>'Inputs by customer type'!L120</f>
        <v>0</v>
      </c>
      <c r="M155" s="190">
        <f>'Inputs by customer type'!M120</f>
        <v>1.301482439550784</v>
      </c>
      <c r="N155" s="190">
        <f>'Inputs by customer type'!N120</f>
        <v>0</v>
      </c>
      <c r="O155" s="190">
        <f>'Inputs by customer type'!O120</f>
        <v>0</v>
      </c>
      <c r="P155" s="190">
        <f>'Inputs by customer type'!P120</f>
        <v>0</v>
      </c>
      <c r="Q155" s="121"/>
      <c r="R155" s="190">
        <f>'Inputs by customer type'!R120</f>
        <v>541.53333333333342</v>
      </c>
      <c r="S155" s="190">
        <f>'Inputs by customer type'!S120</f>
        <v>2</v>
      </c>
      <c r="T155" s="190">
        <f>'Inputs by customer type'!T120</f>
        <v>11</v>
      </c>
      <c r="U155" s="190">
        <f>'Inputs by customer type'!U120</f>
        <v>0</v>
      </c>
      <c r="V155" s="190">
        <f>'Inputs by customer type'!V120</f>
        <v>3</v>
      </c>
      <c r="W155" s="190">
        <f>'Inputs by customer type'!W120</f>
        <v>0</v>
      </c>
      <c r="X155" s="190">
        <f>'Inputs by customer type'!X120</f>
        <v>4</v>
      </c>
      <c r="Y155" s="190">
        <f>'Inputs by customer type'!Y120</f>
        <v>0</v>
      </c>
      <c r="AQ155" s="3"/>
    </row>
    <row r="156" spans="3:43" x14ac:dyDescent="0.25">
      <c r="E156" s="60"/>
      <c r="F156" s="113" t="s">
        <v>249</v>
      </c>
      <c r="G156" s="113" t="s">
        <v>250</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251</v>
      </c>
      <c r="G157" s="113" t="s">
        <v>250</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252</v>
      </c>
      <c r="G158" s="115" t="s">
        <v>253</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35.960999999999999</v>
      </c>
      <c r="U158" s="168">
        <f>'Inputs by customer type'!U123</f>
        <v>0</v>
      </c>
      <c r="V158" s="168">
        <f>'Inputs by customer type'!V123</f>
        <v>166.20500000000001</v>
      </c>
      <c r="W158" s="168">
        <f>'Inputs by customer type'!W123</f>
        <v>0</v>
      </c>
      <c r="X158" s="168">
        <f>'Inputs by customer type'!X123</f>
        <v>206.58199999999999</v>
      </c>
      <c r="Y158" s="168">
        <f>'Inputs by customer type'!Y123</f>
        <v>0</v>
      </c>
      <c r="AQ158" s="3"/>
    </row>
    <row r="159" spans="3:43" x14ac:dyDescent="0.25">
      <c r="AQ159" s="3"/>
    </row>
    <row r="160" spans="3:43" x14ac:dyDescent="0.25">
      <c r="E160" s="60" t="s">
        <v>942</v>
      </c>
      <c r="G160" s="46"/>
      <c r="I160" t="s">
        <v>153</v>
      </c>
      <c r="AQ160" s="3"/>
    </row>
    <row r="161" spans="5:43" x14ac:dyDescent="0.25">
      <c r="E161" s="60"/>
      <c r="F161" s="111" t="s">
        <v>246</v>
      </c>
      <c r="G161" s="111" t="s">
        <v>206</v>
      </c>
      <c r="H161" s="90"/>
      <c r="I161" s="90"/>
      <c r="J161" s="167">
        <f>'Inputs by customer type'!J126</f>
        <v>26180.287942014904</v>
      </c>
      <c r="K161" s="112"/>
      <c r="L161" s="167">
        <f>'Inputs by customer type'!L126</f>
        <v>1316.8456250784016</v>
      </c>
      <c r="M161" s="112"/>
      <c r="N161" s="167">
        <f>'Inputs by customer type'!N126</f>
        <v>1355.3769337394358</v>
      </c>
      <c r="O161" s="167">
        <f>'Inputs by customer type'!O126</f>
        <v>218.33066625405175</v>
      </c>
      <c r="P161" s="167">
        <f>'Inputs by customer type'!P126</f>
        <v>464.40461153746105</v>
      </c>
      <c r="Q161" s="167">
        <f>'Inputs by customer type'!Q126</f>
        <v>20.318312455183225</v>
      </c>
      <c r="R161" s="112"/>
      <c r="S161" s="112"/>
      <c r="T161" s="112"/>
      <c r="U161" s="112"/>
      <c r="V161" s="112"/>
      <c r="W161" s="112"/>
      <c r="X161" s="112"/>
      <c r="Y161" s="112"/>
      <c r="AQ161" s="3"/>
    </row>
    <row r="162" spans="5:43" x14ac:dyDescent="0.25">
      <c r="E162" s="60"/>
      <c r="F162" s="113" t="s">
        <v>247</v>
      </c>
      <c r="G162" s="113" t="s">
        <v>206</v>
      </c>
      <c r="J162" s="190">
        <f>'Inputs by customer type'!J127</f>
        <v>64430.8985274808</v>
      </c>
      <c r="K162" s="121"/>
      <c r="L162" s="190">
        <f>'Inputs by customer type'!L127</f>
        <v>4740.8905524957208</v>
      </c>
      <c r="M162" s="121"/>
      <c r="N162" s="190">
        <f>'Inputs by customer type'!N127</f>
        <v>4058.2936454062669</v>
      </c>
      <c r="O162" s="190">
        <f>'Inputs by customer type'!O127</f>
        <v>824.38904108130316</v>
      </c>
      <c r="P162" s="190">
        <f>'Inputs by customer type'!P127</f>
        <v>1494.6274486993891</v>
      </c>
      <c r="Q162" s="190">
        <f>'Inputs by customer type'!Q127</f>
        <v>191.74568924558483</v>
      </c>
      <c r="R162" s="121"/>
      <c r="S162" s="121"/>
      <c r="T162" s="121"/>
      <c r="U162" s="121"/>
      <c r="V162" s="121"/>
      <c r="W162" s="121"/>
      <c r="X162" s="121"/>
      <c r="Y162" s="121"/>
      <c r="AQ162" s="3"/>
    </row>
    <row r="163" spans="5:43" x14ac:dyDescent="0.25">
      <c r="E163" s="60"/>
      <c r="F163" s="113" t="s">
        <v>248</v>
      </c>
      <c r="G163" s="113" t="s">
        <v>206</v>
      </c>
      <c r="J163" s="190">
        <f>'Inputs by customer type'!J128</f>
        <v>93183.244893325929</v>
      </c>
      <c r="K163" s="121"/>
      <c r="L163" s="190">
        <f>'Inputs by customer type'!L128</f>
        <v>5020.3715681761723</v>
      </c>
      <c r="M163" s="121"/>
      <c r="N163" s="190">
        <f>'Inputs by customer type'!N128</f>
        <v>5473.1342243402678</v>
      </c>
      <c r="O163" s="190">
        <f>'Inputs by customer type'!O128</f>
        <v>944.34441610643944</v>
      </c>
      <c r="P163" s="190">
        <f>'Inputs by customer type'!P128</f>
        <v>2630.9626544242637</v>
      </c>
      <c r="Q163" s="190">
        <f>'Inputs by customer type'!Q128</f>
        <v>299.78858933193914</v>
      </c>
      <c r="R163" s="121"/>
      <c r="S163" s="121"/>
      <c r="T163" s="121"/>
      <c r="U163" s="121"/>
      <c r="V163" s="121"/>
      <c r="W163" s="121"/>
      <c r="X163" s="121"/>
      <c r="Y163" s="121"/>
      <c r="AQ163" s="3"/>
    </row>
    <row r="164" spans="5:43" x14ac:dyDescent="0.25">
      <c r="E164" s="60"/>
      <c r="F164" s="113" t="s">
        <v>211</v>
      </c>
      <c r="G164" s="113" t="s">
        <v>211</v>
      </c>
      <c r="J164" s="190">
        <f>'Inputs by customer type'!J129</f>
        <v>69159.345207045189</v>
      </c>
      <c r="K164" s="121"/>
      <c r="L164" s="190">
        <f>'Inputs by customer type'!L129</f>
        <v>1105.2188876665264</v>
      </c>
      <c r="M164" s="121"/>
      <c r="N164" s="190">
        <f>'Inputs by customer type'!N129</f>
        <v>122.33934931777377</v>
      </c>
      <c r="O164" s="190">
        <f>'Inputs by customer type'!O129</f>
        <v>2.602964879101568</v>
      </c>
      <c r="P164" s="190">
        <f>'Inputs by customer type'!P129</f>
        <v>9.1103770768554959</v>
      </c>
      <c r="Q164" s="190">
        <f>'Inputs by customer type'!Q129</f>
        <v>243.37721619599679</v>
      </c>
      <c r="R164" s="121"/>
      <c r="S164" s="121"/>
      <c r="T164" s="121"/>
      <c r="U164" s="121"/>
      <c r="V164" s="121"/>
      <c r="W164" s="121"/>
      <c r="X164" s="121"/>
      <c r="Y164" s="121"/>
      <c r="AQ164" s="3"/>
    </row>
    <row r="165" spans="5:43" x14ac:dyDescent="0.25">
      <c r="E165" s="60"/>
      <c r="F165" s="113" t="s">
        <v>249</v>
      </c>
      <c r="G165" s="113" t="s">
        <v>250</v>
      </c>
      <c r="J165" s="190">
        <f>'Inputs by customer type'!J130</f>
        <v>0</v>
      </c>
      <c r="K165" s="121"/>
      <c r="L165" s="190">
        <f>'Inputs by customer type'!L130</f>
        <v>0</v>
      </c>
      <c r="M165" s="121"/>
      <c r="N165" s="190">
        <f>'Inputs by customer type'!N130</f>
        <v>7581</v>
      </c>
      <c r="O165" s="190">
        <f>'Inputs by customer type'!O130</f>
        <v>375</v>
      </c>
      <c r="P165" s="190">
        <f>'Inputs by customer type'!P130</f>
        <v>1859</v>
      </c>
      <c r="Q165" s="190">
        <f>'Inputs by customer type'!Q130</f>
        <v>0</v>
      </c>
      <c r="R165" s="121"/>
      <c r="S165" s="121"/>
      <c r="T165" s="121"/>
      <c r="U165" s="121"/>
      <c r="V165" s="121"/>
      <c r="W165" s="121"/>
      <c r="X165" s="121"/>
      <c r="Y165" s="121"/>
      <c r="AQ165" s="3"/>
    </row>
    <row r="166" spans="5:43" x14ac:dyDescent="0.25">
      <c r="E166" s="60"/>
      <c r="F166" s="113" t="s">
        <v>251</v>
      </c>
      <c r="G166" s="113" t="s">
        <v>250</v>
      </c>
      <c r="J166" s="190">
        <f>'Inputs by customer type'!J131</f>
        <v>0</v>
      </c>
      <c r="K166" s="121"/>
      <c r="L166" s="190">
        <f>'Inputs by customer type'!L131</f>
        <v>0</v>
      </c>
      <c r="M166" s="121"/>
      <c r="N166" s="190">
        <f>'Inputs by customer type'!N131</f>
        <v>6.4109589041095889</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25">
      <c r="E167" s="60"/>
      <c r="F167" s="115" t="s">
        <v>252</v>
      </c>
      <c r="G167" s="115" t="s">
        <v>253</v>
      </c>
      <c r="H167" s="91"/>
      <c r="I167" s="91"/>
      <c r="J167" s="168">
        <f>'Inputs by customer type'!J132</f>
        <v>0</v>
      </c>
      <c r="K167" s="116"/>
      <c r="L167" s="168">
        <f>'Inputs by customer type'!L132</f>
        <v>0</v>
      </c>
      <c r="M167" s="116"/>
      <c r="N167" s="168">
        <f>'Inputs by customer type'!N132</f>
        <v>528.8993999999999</v>
      </c>
      <c r="O167" s="168">
        <f>'Inputs by customer type'!O132</f>
        <v>81.244</v>
      </c>
      <c r="P167" s="168">
        <f>'Inputs by customer type'!P132</f>
        <v>57.902000000000001</v>
      </c>
      <c r="Q167" s="168">
        <f>'Inputs by customer type'!Q132</f>
        <v>0</v>
      </c>
      <c r="R167" s="116"/>
      <c r="S167" s="116"/>
      <c r="T167" s="116"/>
      <c r="U167" s="116"/>
      <c r="V167" s="116"/>
      <c r="W167" s="116"/>
      <c r="X167" s="116"/>
      <c r="Y167" s="116"/>
      <c r="AQ167" s="3"/>
    </row>
    <row r="168" spans="5:43" x14ac:dyDescent="0.25">
      <c r="AQ168" s="3"/>
    </row>
    <row r="169" spans="5:43" x14ac:dyDescent="0.25">
      <c r="E169" s="60" t="s">
        <v>943</v>
      </c>
      <c r="G169" s="46"/>
      <c r="I169" t="s">
        <v>153</v>
      </c>
      <c r="AQ169" s="3"/>
    </row>
    <row r="170" spans="5:43" x14ac:dyDescent="0.25">
      <c r="E170" s="60"/>
      <c r="F170" s="111" t="s">
        <v>246</v>
      </c>
      <c r="G170" s="111" t="s">
        <v>206</v>
      </c>
      <c r="H170" s="90"/>
      <c r="I170" s="90"/>
      <c r="J170" s="112"/>
      <c r="K170" s="112"/>
      <c r="L170" s="167">
        <f>'Inputs by customer type'!L135</f>
        <v>22.172002937862541</v>
      </c>
      <c r="M170" s="112"/>
      <c r="N170" s="167">
        <f>'Inputs by customer type'!N135</f>
        <v>4327.0753516381792</v>
      </c>
      <c r="O170" s="167">
        <f>'Inputs by customer type'!O135</f>
        <v>77.628125207527304</v>
      </c>
      <c r="P170" s="167">
        <f>'Inputs by customer type'!P135</f>
        <v>1177.3266004560255</v>
      </c>
      <c r="Q170" s="112"/>
      <c r="R170" s="112"/>
      <c r="S170" s="112"/>
      <c r="T170" s="112"/>
      <c r="U170" s="112"/>
      <c r="V170" s="112"/>
      <c r="W170" s="112"/>
      <c r="X170" s="112"/>
      <c r="Y170" s="112"/>
      <c r="AQ170" s="3"/>
    </row>
    <row r="171" spans="5:43" x14ac:dyDescent="0.25">
      <c r="E171" s="60"/>
      <c r="F171" s="113" t="s">
        <v>247</v>
      </c>
      <c r="G171" s="113" t="s">
        <v>206</v>
      </c>
      <c r="J171" s="121"/>
      <c r="K171" s="121"/>
      <c r="L171" s="190">
        <f>'Inputs by customer type'!L136</f>
        <v>82.98402930365171</v>
      </c>
      <c r="M171" s="121"/>
      <c r="N171" s="190">
        <f>'Inputs by customer type'!N136</f>
        <v>13322.915787407239</v>
      </c>
      <c r="O171" s="190">
        <f>'Inputs by customer type'!O136</f>
        <v>439.13024212695842</v>
      </c>
      <c r="P171" s="190">
        <f>'Inputs by customer type'!P136</f>
        <v>4009.9926476218538</v>
      </c>
      <c r="Q171" s="121"/>
      <c r="R171" s="121"/>
      <c r="S171" s="121"/>
      <c r="T171" s="121"/>
      <c r="U171" s="121"/>
      <c r="V171" s="121"/>
      <c r="W171" s="121"/>
      <c r="X171" s="121"/>
      <c r="Y171" s="121"/>
      <c r="AQ171" s="3"/>
    </row>
    <row r="172" spans="5:43" x14ac:dyDescent="0.25">
      <c r="E172" s="60"/>
      <c r="F172" s="113" t="s">
        <v>248</v>
      </c>
      <c r="G172" s="113" t="s">
        <v>206</v>
      </c>
      <c r="J172" s="121"/>
      <c r="K172" s="121"/>
      <c r="L172" s="190">
        <f>'Inputs by customer type'!L137</f>
        <v>82.401682231027394</v>
      </c>
      <c r="M172" s="121"/>
      <c r="N172" s="190">
        <f>'Inputs by customer type'!N137</f>
        <v>17468.033583326061</v>
      </c>
      <c r="O172" s="190">
        <f>'Inputs by customer type'!O137</f>
        <v>278.20663555320618</v>
      </c>
      <c r="P172" s="190">
        <f>'Inputs by customer type'!P137</f>
        <v>4217.2762956844263</v>
      </c>
      <c r="Q172" s="121"/>
      <c r="R172" s="121"/>
      <c r="S172" s="121"/>
      <c r="T172" s="121"/>
      <c r="U172" s="121"/>
      <c r="V172" s="121"/>
      <c r="W172" s="121"/>
      <c r="X172" s="121"/>
      <c r="Y172" s="121"/>
      <c r="AQ172" s="3"/>
    </row>
    <row r="173" spans="5:43" x14ac:dyDescent="0.25">
      <c r="E173" s="60"/>
      <c r="F173" s="113" t="s">
        <v>211</v>
      </c>
      <c r="G173" s="113" t="s">
        <v>211</v>
      </c>
      <c r="J173" s="121"/>
      <c r="K173" s="121"/>
      <c r="L173" s="190">
        <f>'Inputs by customer type'!L138</f>
        <v>48.154850263379018</v>
      </c>
      <c r="M173" s="121"/>
      <c r="N173" s="190">
        <f>'Inputs by customer type'!N138</f>
        <v>212.14163764677789</v>
      </c>
      <c r="O173" s="190">
        <f>'Inputs by customer type'!O138</f>
        <v>2.602964879101568</v>
      </c>
      <c r="P173" s="190">
        <f>'Inputs by customer type'!P138</f>
        <v>11.713341955957061</v>
      </c>
      <c r="Q173" s="121"/>
      <c r="R173" s="121"/>
      <c r="S173" s="121"/>
      <c r="T173" s="121"/>
      <c r="U173" s="121"/>
      <c r="V173" s="121"/>
      <c r="W173" s="121"/>
      <c r="X173" s="121"/>
      <c r="Y173" s="121"/>
      <c r="AQ173" s="3"/>
    </row>
    <row r="174" spans="5:43" x14ac:dyDescent="0.25">
      <c r="E174" s="60"/>
      <c r="F174" s="113" t="s">
        <v>249</v>
      </c>
      <c r="G174" s="113" t="s">
        <v>250</v>
      </c>
      <c r="J174" s="121"/>
      <c r="K174" s="121"/>
      <c r="L174" s="190">
        <f>'Inputs by customer type'!L139</f>
        <v>0</v>
      </c>
      <c r="M174" s="121"/>
      <c r="N174" s="190">
        <f>'Inputs by customer type'!N139</f>
        <v>25551</v>
      </c>
      <c r="O174" s="190">
        <f>'Inputs by customer type'!O139</f>
        <v>200</v>
      </c>
      <c r="P174" s="190">
        <f>'Inputs by customer type'!P139</f>
        <v>7023</v>
      </c>
      <c r="Q174" s="121"/>
      <c r="R174" s="121"/>
      <c r="S174" s="121"/>
      <c r="T174" s="121"/>
      <c r="U174" s="121"/>
      <c r="V174" s="121"/>
      <c r="W174" s="121"/>
      <c r="X174" s="121"/>
      <c r="Y174" s="121"/>
      <c r="AQ174" s="3"/>
    </row>
    <row r="175" spans="5:43" x14ac:dyDescent="0.25">
      <c r="E175" s="60"/>
      <c r="F175" s="113" t="s">
        <v>251</v>
      </c>
      <c r="G175" s="113" t="s">
        <v>250</v>
      </c>
      <c r="J175" s="121"/>
      <c r="K175" s="121"/>
      <c r="L175" s="190">
        <f>'Inputs by customer type'!L140</f>
        <v>0</v>
      </c>
      <c r="M175" s="121"/>
      <c r="N175" s="190">
        <f>'Inputs by customer type'!N140</f>
        <v>0</v>
      </c>
      <c r="O175" s="190">
        <f>'Inputs by customer type'!O140</f>
        <v>123.18082191780822</v>
      </c>
      <c r="P175" s="190">
        <f>'Inputs by customer type'!P140</f>
        <v>0</v>
      </c>
      <c r="Q175" s="121"/>
      <c r="R175" s="121"/>
      <c r="S175" s="121"/>
      <c r="T175" s="121"/>
      <c r="U175" s="121"/>
      <c r="V175" s="121"/>
      <c r="W175" s="121"/>
      <c r="X175" s="121"/>
      <c r="Y175" s="121"/>
      <c r="AQ175" s="3"/>
    </row>
    <row r="176" spans="5:43" x14ac:dyDescent="0.25">
      <c r="E176" s="60"/>
      <c r="F176" s="115" t="s">
        <v>252</v>
      </c>
      <c r="G176" s="115" t="s">
        <v>253</v>
      </c>
      <c r="H176" s="91"/>
      <c r="I176" s="91"/>
      <c r="J176" s="116"/>
      <c r="K176" s="116"/>
      <c r="L176" s="168">
        <f>'Inputs by customer type'!L141</f>
        <v>0</v>
      </c>
      <c r="M176" s="116"/>
      <c r="N176" s="168">
        <f>'Inputs by customer type'!N141</f>
        <v>1529.115</v>
      </c>
      <c r="O176" s="168">
        <f>'Inputs by customer type'!O141</f>
        <v>25.257000000000001</v>
      </c>
      <c r="P176" s="168">
        <f>'Inputs by customer type'!P141</f>
        <v>122.77500000000001</v>
      </c>
      <c r="Q176" s="116"/>
      <c r="R176" s="116"/>
      <c r="S176" s="116"/>
      <c r="T176" s="116"/>
      <c r="U176" s="116"/>
      <c r="V176" s="116"/>
      <c r="W176" s="116"/>
      <c r="X176" s="116"/>
      <c r="Y176" s="116"/>
      <c r="AQ176" s="3"/>
    </row>
    <row r="177" spans="5:43" x14ac:dyDescent="0.25">
      <c r="AQ177" s="3"/>
    </row>
    <row r="178" spans="5:43" x14ac:dyDescent="0.25">
      <c r="E178" s="60" t="s">
        <v>944</v>
      </c>
      <c r="G178" s="46"/>
      <c r="I178" t="s">
        <v>153</v>
      </c>
      <c r="AQ178" s="3"/>
    </row>
    <row r="179" spans="5:43" x14ac:dyDescent="0.25">
      <c r="E179" s="60"/>
      <c r="F179" s="111" t="s">
        <v>246</v>
      </c>
      <c r="G179" s="111" t="s">
        <v>206</v>
      </c>
      <c r="H179" s="90"/>
      <c r="I179" s="90"/>
      <c r="J179" s="112"/>
      <c r="K179" s="112"/>
      <c r="L179" s="167">
        <f>'Inputs by customer type'!L144</f>
        <v>127.2705460969017</v>
      </c>
      <c r="M179" s="112"/>
      <c r="N179" s="167">
        <f>'Inputs by customer type'!N144</f>
        <v>1729.2185644388328</v>
      </c>
      <c r="O179" s="167">
        <f>'Inputs by customer type'!O144</f>
        <v>92.922440863967267</v>
      </c>
      <c r="P179" s="167">
        <f>'Inputs by customer type'!P144</f>
        <v>3998.6130889209239</v>
      </c>
      <c r="Q179" s="112"/>
      <c r="R179" s="112"/>
      <c r="S179" s="112"/>
      <c r="T179" s="112"/>
      <c r="U179" s="112"/>
      <c r="V179" s="112"/>
      <c r="W179" s="112"/>
      <c r="X179" s="112"/>
      <c r="Y179" s="112"/>
      <c r="AQ179" s="3"/>
    </row>
    <row r="180" spans="5:43" x14ac:dyDescent="0.25">
      <c r="E180" s="60"/>
      <c r="F180" s="113" t="s">
        <v>247</v>
      </c>
      <c r="G180" s="113" t="s">
        <v>206</v>
      </c>
      <c r="J180" s="121"/>
      <c r="K180" s="121"/>
      <c r="L180" s="190">
        <f>'Inputs by customer type'!L145</f>
        <v>459.62371139280577</v>
      </c>
      <c r="M180" s="121"/>
      <c r="N180" s="190">
        <f>'Inputs by customer type'!N145</f>
        <v>5770.4980953606073</v>
      </c>
      <c r="O180" s="190">
        <f>'Inputs by customer type'!O145</f>
        <v>300.09617062474786</v>
      </c>
      <c r="P180" s="190">
        <f>'Inputs by customer type'!P145</f>
        <v>13221.923356245488</v>
      </c>
      <c r="Q180" s="121"/>
      <c r="R180" s="121"/>
      <c r="S180" s="121"/>
      <c r="T180" s="121"/>
      <c r="U180" s="121"/>
      <c r="V180" s="121"/>
      <c r="W180" s="121"/>
      <c r="X180" s="121"/>
      <c r="Y180" s="121"/>
      <c r="AQ180" s="3"/>
    </row>
    <row r="181" spans="5:43" x14ac:dyDescent="0.25">
      <c r="E181" s="60"/>
      <c r="F181" s="113" t="s">
        <v>248</v>
      </c>
      <c r="G181" s="113" t="s">
        <v>206</v>
      </c>
      <c r="J181" s="121"/>
      <c r="K181" s="121"/>
      <c r="L181" s="190">
        <f>'Inputs by customer type'!L146</f>
        <v>466.17927796079323</v>
      </c>
      <c r="M181" s="121"/>
      <c r="N181" s="190">
        <f>'Inputs by customer type'!N146</f>
        <v>5958.384879216831</v>
      </c>
      <c r="O181" s="190">
        <f>'Inputs by customer type'!O146</f>
        <v>438.97240525780006</v>
      </c>
      <c r="P181" s="190">
        <f>'Inputs by customer type'!P146</f>
        <v>17654.082138721071</v>
      </c>
      <c r="Q181" s="121"/>
      <c r="R181" s="121"/>
      <c r="S181" s="121"/>
      <c r="T181" s="121"/>
      <c r="U181" s="121"/>
      <c r="V181" s="121"/>
      <c r="W181" s="121"/>
      <c r="X181" s="121"/>
      <c r="Y181" s="121"/>
      <c r="AQ181" s="3"/>
    </row>
    <row r="182" spans="5:43" x14ac:dyDescent="0.25">
      <c r="E182" s="60"/>
      <c r="F182" s="113" t="s">
        <v>211</v>
      </c>
      <c r="G182" s="113" t="s">
        <v>211</v>
      </c>
      <c r="J182" s="121"/>
      <c r="K182" s="121"/>
      <c r="L182" s="190">
        <f>'Inputs by customer type'!L147</f>
        <v>125.11584518881543</v>
      </c>
      <c r="M182" s="121"/>
      <c r="N182" s="190">
        <f>'Inputs by customer type'!N147</f>
        <v>96.309700526758036</v>
      </c>
      <c r="O182" s="190">
        <f>'Inputs by customer type'!O147</f>
        <v>3.9044473186523536</v>
      </c>
      <c r="P182" s="190">
        <f>'Inputs by customer type'!P147</f>
        <v>14.316306835058628</v>
      </c>
      <c r="Q182" s="121"/>
      <c r="R182" s="121"/>
      <c r="S182" s="121"/>
      <c r="T182" s="121"/>
      <c r="U182" s="121"/>
      <c r="V182" s="121"/>
      <c r="W182" s="121"/>
      <c r="X182" s="121"/>
      <c r="Y182" s="121"/>
      <c r="AQ182" s="3"/>
    </row>
    <row r="183" spans="5:43" x14ac:dyDescent="0.25">
      <c r="E183" s="60"/>
      <c r="F183" s="113" t="s">
        <v>249</v>
      </c>
      <c r="G183" s="113" t="s">
        <v>250</v>
      </c>
      <c r="J183" s="121"/>
      <c r="K183" s="121"/>
      <c r="L183" s="190">
        <f>'Inputs by customer type'!L148</f>
        <v>0</v>
      </c>
      <c r="M183" s="121"/>
      <c r="N183" s="190">
        <f>'Inputs by customer type'!N148</f>
        <v>12453</v>
      </c>
      <c r="O183" s="190">
        <f>'Inputs by customer type'!O148</f>
        <v>1342</v>
      </c>
      <c r="P183" s="190">
        <f>'Inputs by customer type'!P148</f>
        <v>17263</v>
      </c>
      <c r="Q183" s="121"/>
      <c r="R183" s="121"/>
      <c r="S183" s="121"/>
      <c r="T183" s="121"/>
      <c r="U183" s="121"/>
      <c r="V183" s="121"/>
      <c r="W183" s="121"/>
      <c r="X183" s="121"/>
      <c r="Y183" s="121"/>
      <c r="AQ183" s="3"/>
    </row>
    <row r="184" spans="5:43" x14ac:dyDescent="0.25">
      <c r="E184" s="60"/>
      <c r="F184" s="113" t="s">
        <v>251</v>
      </c>
      <c r="G184" s="113" t="s">
        <v>250</v>
      </c>
      <c r="J184" s="121"/>
      <c r="K184" s="121"/>
      <c r="L184" s="190">
        <f>'Inputs by customer type'!L149</f>
        <v>0</v>
      </c>
      <c r="M184" s="121"/>
      <c r="N184" s="190">
        <f>'Inputs by customer type'!N149</f>
        <v>0</v>
      </c>
      <c r="O184" s="190">
        <f>'Inputs by customer type'!O149</f>
        <v>0</v>
      </c>
      <c r="P184" s="190">
        <f>'Inputs by customer type'!P149</f>
        <v>0</v>
      </c>
      <c r="Q184" s="121"/>
      <c r="R184" s="121"/>
      <c r="S184" s="121"/>
      <c r="T184" s="121"/>
      <c r="U184" s="121"/>
      <c r="V184" s="121"/>
      <c r="W184" s="121"/>
      <c r="X184" s="121"/>
      <c r="Y184" s="121"/>
      <c r="AQ184" s="3"/>
    </row>
    <row r="185" spans="5:43" x14ac:dyDescent="0.25">
      <c r="E185" s="60"/>
      <c r="F185" s="115" t="s">
        <v>252</v>
      </c>
      <c r="G185" s="115" t="s">
        <v>253</v>
      </c>
      <c r="H185" s="91"/>
      <c r="I185" s="91"/>
      <c r="J185" s="116"/>
      <c r="K185" s="116"/>
      <c r="L185" s="168">
        <f>'Inputs by customer type'!L150</f>
        <v>0</v>
      </c>
      <c r="M185" s="116"/>
      <c r="N185" s="168">
        <f>'Inputs by customer type'!N150</f>
        <v>519.25900000000001</v>
      </c>
      <c r="O185" s="168">
        <f>'Inputs by customer type'!O150</f>
        <v>13.010999999999999</v>
      </c>
      <c r="P185" s="168">
        <f>'Inputs by customer type'!P150</f>
        <v>575.66499999999996</v>
      </c>
      <c r="Q185" s="116"/>
      <c r="R185" s="116"/>
      <c r="S185" s="116"/>
      <c r="T185" s="116"/>
      <c r="U185" s="116"/>
      <c r="V185" s="116"/>
      <c r="W185" s="116"/>
      <c r="X185" s="116"/>
      <c r="Y185" s="116"/>
      <c r="AQ185" s="3"/>
    </row>
    <row r="186" spans="5:43" x14ac:dyDescent="0.25">
      <c r="AQ186" s="3"/>
    </row>
    <row r="187" spans="5:43" x14ac:dyDescent="0.25">
      <c r="E187" s="60" t="s">
        <v>945</v>
      </c>
      <c r="G187" s="46"/>
      <c r="I187" t="s">
        <v>153</v>
      </c>
      <c r="AQ187" s="3"/>
    </row>
    <row r="188" spans="5:43" x14ac:dyDescent="0.25">
      <c r="E188" s="60"/>
      <c r="F188" s="111" t="s">
        <v>246</v>
      </c>
      <c r="G188" s="111" t="s">
        <v>206</v>
      </c>
      <c r="H188" s="90"/>
      <c r="I188" s="90"/>
      <c r="J188" s="112"/>
      <c r="K188" s="112"/>
      <c r="L188" s="167">
        <f>'Inputs by customer type'!L153</f>
        <v>94.178767375879119</v>
      </c>
      <c r="M188" s="112"/>
      <c r="N188" s="167">
        <f>'Inputs by customer type'!N153</f>
        <v>10277.690919008639</v>
      </c>
      <c r="O188" s="167">
        <f>'Inputs by customer type'!O153</f>
        <v>4906.7742013658253</v>
      </c>
      <c r="P188" s="167">
        <f>'Inputs by customer type'!P153</f>
        <v>8731.4520134894938</v>
      </c>
      <c r="Q188" s="112"/>
      <c r="R188" s="112"/>
      <c r="S188" s="112"/>
      <c r="T188" s="112"/>
      <c r="U188" s="112"/>
      <c r="V188" s="112"/>
      <c r="W188" s="112"/>
      <c r="X188" s="112"/>
      <c r="Y188" s="112"/>
      <c r="AQ188" s="3"/>
    </row>
    <row r="189" spans="5:43" x14ac:dyDescent="0.25">
      <c r="E189" s="60"/>
      <c r="F189" s="113" t="s">
        <v>247</v>
      </c>
      <c r="G189" s="113" t="s">
        <v>206</v>
      </c>
      <c r="J189" s="121"/>
      <c r="K189" s="121"/>
      <c r="L189" s="190">
        <f>'Inputs by customer type'!L154</f>
        <v>337.10782339568618</v>
      </c>
      <c r="M189" s="121"/>
      <c r="N189" s="190">
        <f>'Inputs by customer type'!N154</f>
        <v>35396.045560490798</v>
      </c>
      <c r="O189" s="190">
        <f>'Inputs by customer type'!O154</f>
        <v>16393.219432110294</v>
      </c>
      <c r="P189" s="190">
        <f>'Inputs by customer type'!P154</f>
        <v>27222.186648607254</v>
      </c>
      <c r="Q189" s="121"/>
      <c r="R189" s="121"/>
      <c r="S189" s="121"/>
      <c r="T189" s="121"/>
      <c r="U189" s="121"/>
      <c r="V189" s="121"/>
      <c r="W189" s="121"/>
      <c r="X189" s="121"/>
      <c r="Y189" s="121"/>
      <c r="AQ189" s="3"/>
    </row>
    <row r="190" spans="5:43" x14ac:dyDescent="0.25">
      <c r="E190" s="60"/>
      <c r="F190" s="113" t="s">
        <v>248</v>
      </c>
      <c r="G190" s="113" t="s">
        <v>206</v>
      </c>
      <c r="J190" s="121"/>
      <c r="K190" s="121"/>
      <c r="L190" s="190">
        <f>'Inputs by customer type'!L155</f>
        <v>354.81085578143637</v>
      </c>
      <c r="M190" s="121"/>
      <c r="N190" s="190">
        <f>'Inputs by customer type'!N155</f>
        <v>40588.499905114419</v>
      </c>
      <c r="O190" s="190">
        <f>'Inputs by customer type'!O155</f>
        <v>18921.687660404932</v>
      </c>
      <c r="P190" s="190">
        <f>'Inputs by customer type'!P155</f>
        <v>44303.078921377855</v>
      </c>
      <c r="Q190" s="121"/>
      <c r="R190" s="121"/>
      <c r="S190" s="121"/>
      <c r="T190" s="121"/>
      <c r="U190" s="121"/>
      <c r="V190" s="121"/>
      <c r="W190" s="121"/>
      <c r="X190" s="121"/>
      <c r="Y190" s="121"/>
      <c r="AQ190" s="3"/>
    </row>
    <row r="191" spans="5:43" x14ac:dyDescent="0.25">
      <c r="E191" s="60"/>
      <c r="F191" s="113" t="s">
        <v>211</v>
      </c>
      <c r="G191" s="113" t="s">
        <v>211</v>
      </c>
      <c r="J191" s="121"/>
      <c r="K191" s="121"/>
      <c r="L191" s="190">
        <f>'Inputs by customer type'!L156</f>
        <v>41.647438065625089</v>
      </c>
      <c r="M191" s="121"/>
      <c r="N191" s="190">
        <f>'Inputs by customer type'!N156</f>
        <v>242.07573375644597</v>
      </c>
      <c r="O191" s="190">
        <f>'Inputs by customer type'!O156</f>
        <v>67.677086856640784</v>
      </c>
      <c r="P191" s="190">
        <f>'Inputs by customer type'!P156</f>
        <v>15.617789274609414</v>
      </c>
      <c r="Q191" s="121"/>
      <c r="R191" s="121"/>
      <c r="S191" s="121"/>
      <c r="T191" s="121"/>
      <c r="U191" s="121"/>
      <c r="V191" s="121"/>
      <c r="W191" s="121"/>
      <c r="X191" s="121"/>
      <c r="Y191" s="121"/>
      <c r="AQ191" s="3"/>
    </row>
    <row r="192" spans="5:43" x14ac:dyDescent="0.25">
      <c r="E192" s="60"/>
      <c r="F192" s="113" t="s">
        <v>249</v>
      </c>
      <c r="G192" s="113" t="s">
        <v>250</v>
      </c>
      <c r="J192" s="121"/>
      <c r="K192" s="121"/>
      <c r="L192" s="190">
        <f>'Inputs by customer type'!L157</f>
        <v>0</v>
      </c>
      <c r="M192" s="121"/>
      <c r="N192" s="190">
        <f>'Inputs by customer type'!N157</f>
        <v>105163</v>
      </c>
      <c r="O192" s="190">
        <f>'Inputs by customer type'!O157</f>
        <v>34514</v>
      </c>
      <c r="P192" s="190">
        <f>'Inputs by customer type'!P157</f>
        <v>45505</v>
      </c>
      <c r="Q192" s="121"/>
      <c r="R192" s="121"/>
      <c r="S192" s="121"/>
      <c r="T192" s="121"/>
      <c r="U192" s="121"/>
      <c r="V192" s="121"/>
      <c r="W192" s="121"/>
      <c r="X192" s="121"/>
      <c r="Y192" s="121"/>
      <c r="AQ192" s="3"/>
    </row>
    <row r="193" spans="4:43" x14ac:dyDescent="0.25">
      <c r="E193" s="60"/>
      <c r="F193" s="113" t="s">
        <v>251</v>
      </c>
      <c r="G193" s="113" t="s">
        <v>250</v>
      </c>
      <c r="J193" s="121"/>
      <c r="K193" s="121"/>
      <c r="L193" s="190">
        <f>'Inputs by customer type'!L158</f>
        <v>0</v>
      </c>
      <c r="M193" s="121"/>
      <c r="N193" s="190">
        <f>'Inputs by customer type'!N158</f>
        <v>15.032876712328767</v>
      </c>
      <c r="O193" s="190">
        <f>'Inputs by customer type'!O158</f>
        <v>0</v>
      </c>
      <c r="P193" s="190">
        <f>'Inputs by customer type'!P158</f>
        <v>55.715068493150682</v>
      </c>
      <c r="Q193" s="121"/>
      <c r="R193" s="121"/>
      <c r="S193" s="121"/>
      <c r="T193" s="121"/>
      <c r="U193" s="121"/>
      <c r="V193" s="121"/>
      <c r="W193" s="121"/>
      <c r="X193" s="121"/>
      <c r="Y193" s="121"/>
      <c r="AQ193" s="3"/>
    </row>
    <row r="194" spans="4:43" x14ac:dyDescent="0.25">
      <c r="E194" s="60"/>
      <c r="F194" s="115" t="s">
        <v>252</v>
      </c>
      <c r="G194" s="115" t="s">
        <v>253</v>
      </c>
      <c r="H194" s="91"/>
      <c r="I194" s="91"/>
      <c r="J194" s="116"/>
      <c r="K194" s="116"/>
      <c r="L194" s="168">
        <f>'Inputs by customer type'!L159</f>
        <v>0</v>
      </c>
      <c r="M194" s="116"/>
      <c r="N194" s="168">
        <f>'Inputs by customer type'!N159</f>
        <v>6146.74</v>
      </c>
      <c r="O194" s="168">
        <f>'Inputs by customer type'!O159</f>
        <v>2521.4229999999998</v>
      </c>
      <c r="P194" s="168">
        <f>'Inputs by customer type'!P159</f>
        <v>8944.7510000000002</v>
      </c>
      <c r="Q194" s="116"/>
      <c r="R194" s="116"/>
      <c r="S194" s="116"/>
      <c r="T194" s="116"/>
      <c r="U194" s="116"/>
      <c r="V194" s="116"/>
      <c r="W194" s="116"/>
      <c r="X194" s="116"/>
      <c r="Y194" s="116"/>
      <c r="AQ194" s="3"/>
    </row>
    <row r="195" spans="4:43" x14ac:dyDescent="0.25">
      <c r="AQ195" s="3"/>
    </row>
    <row r="196" spans="4:43" x14ac:dyDescent="0.25">
      <c r="D196" s="71" t="s">
        <v>952</v>
      </c>
      <c r="AQ196" s="3"/>
    </row>
    <row r="197" spans="4:43" x14ac:dyDescent="0.25">
      <c r="AQ197" s="3"/>
    </row>
    <row r="198" spans="4:43" x14ac:dyDescent="0.25">
      <c r="E198" s="60" t="s">
        <v>244</v>
      </c>
      <c r="G198" s="46"/>
      <c r="I198" t="s">
        <v>153</v>
      </c>
      <c r="AA198" t="s">
        <v>245</v>
      </c>
    </row>
    <row r="199" spans="4:43" x14ac:dyDescent="0.25">
      <c r="E199" s="60"/>
      <c r="F199" s="111" t="s">
        <v>246</v>
      </c>
      <c r="G199" s="111" t="s">
        <v>206</v>
      </c>
      <c r="H199" s="90"/>
      <c r="I199" s="90"/>
      <c r="J199" s="169">
        <f t="shared" ref="J199:Y199" si="2">SUM( J67, J76, J85, J94, J58 )</f>
        <v>891975.83915223007</v>
      </c>
      <c r="K199" s="169">
        <f t="shared" si="2"/>
        <v>267.59944132442337</v>
      </c>
      <c r="L199" s="169">
        <f t="shared" si="2"/>
        <v>233689.25111987913</v>
      </c>
      <c r="M199" s="169">
        <f t="shared" si="2"/>
        <v>522.25619825826141</v>
      </c>
      <c r="N199" s="169">
        <f t="shared" si="2"/>
        <v>286882.04355365504</v>
      </c>
      <c r="O199" s="169">
        <f t="shared" si="2"/>
        <v>52326.367942929464</v>
      </c>
      <c r="P199" s="169">
        <f t="shared" si="2"/>
        <v>487147.74307936773</v>
      </c>
      <c r="Q199" s="169">
        <f t="shared" si="2"/>
        <v>7374.2403851888157</v>
      </c>
      <c r="R199" s="169">
        <f t="shared" si="2"/>
        <v>19571.925278374503</v>
      </c>
      <c r="S199" s="169">
        <f t="shared" si="2"/>
        <v>0</v>
      </c>
      <c r="T199" s="169">
        <f t="shared" si="2"/>
        <v>5902.4038</v>
      </c>
      <c r="U199" s="169">
        <f t="shared" si="2"/>
        <v>0</v>
      </c>
      <c r="V199" s="169">
        <f t="shared" si="2"/>
        <v>1013.0288999999998</v>
      </c>
      <c r="W199" s="169">
        <f t="shared" si="2"/>
        <v>0</v>
      </c>
      <c r="X199" s="169">
        <f t="shared" si="2"/>
        <v>115980.32519999999</v>
      </c>
      <c r="Y199" s="169">
        <f t="shared" si="2"/>
        <v>0</v>
      </c>
    </row>
    <row r="200" spans="4:43" x14ac:dyDescent="0.25">
      <c r="E200" s="60"/>
      <c r="F200" s="113" t="s">
        <v>247</v>
      </c>
      <c r="G200" s="113" t="s">
        <v>206</v>
      </c>
      <c r="J200" s="191">
        <f t="shared" ref="J200:Y200" si="3">SUM( J68, J77, J86, J95, J59 )</f>
        <v>2153149.2392095304</v>
      </c>
      <c r="K200" s="191">
        <f t="shared" si="3"/>
        <v>3009.1632577465161</v>
      </c>
      <c r="L200" s="191">
        <f t="shared" si="3"/>
        <v>839292.91295983072</v>
      </c>
      <c r="M200" s="191">
        <f t="shared" si="3"/>
        <v>2991.7411850243693</v>
      </c>
      <c r="N200" s="191">
        <f t="shared" si="3"/>
        <v>1028994.1764910583</v>
      </c>
      <c r="O200" s="191">
        <f t="shared" si="3"/>
        <v>185044.83227267003</v>
      </c>
      <c r="P200" s="191">
        <f t="shared" si="3"/>
        <v>1616017.0542132768</v>
      </c>
      <c r="Q200" s="192">
        <f t="shared" si="3"/>
        <v>29876.813151146878</v>
      </c>
      <c r="R200" s="192">
        <f t="shared" si="3"/>
        <v>95791.600508721793</v>
      </c>
      <c r="S200" s="192">
        <f t="shared" si="3"/>
        <v>0</v>
      </c>
      <c r="T200" s="191">
        <f t="shared" si="3"/>
        <v>23799.629700000005</v>
      </c>
      <c r="U200" s="191">
        <f t="shared" si="3"/>
        <v>0</v>
      </c>
      <c r="V200" s="191">
        <f t="shared" si="3"/>
        <v>3224.2487000000001</v>
      </c>
      <c r="W200" s="191">
        <f t="shared" si="3"/>
        <v>0</v>
      </c>
      <c r="X200" s="191">
        <f t="shared" si="3"/>
        <v>309200.76439999999</v>
      </c>
      <c r="Y200" s="191">
        <f t="shared" si="3"/>
        <v>0</v>
      </c>
    </row>
    <row r="201" spans="4:43" x14ac:dyDescent="0.25">
      <c r="E201" s="60"/>
      <c r="F201" s="113" t="s">
        <v>248</v>
      </c>
      <c r="G201" s="113" t="s">
        <v>206</v>
      </c>
      <c r="J201" s="191">
        <f t="shared" ref="J201:Y201" si="4">SUM( J69, J78, J87, J96, J60 )</f>
        <v>3181300.0383317643</v>
      </c>
      <c r="K201" s="191">
        <f t="shared" si="4"/>
        <v>7951.9525613351861</v>
      </c>
      <c r="L201" s="191">
        <f t="shared" si="4"/>
        <v>951389.83090149553</v>
      </c>
      <c r="M201" s="191">
        <f t="shared" si="4"/>
        <v>8895.6207003617601</v>
      </c>
      <c r="N201" s="191">
        <f t="shared" si="4"/>
        <v>1121023.2407494052</v>
      </c>
      <c r="O201" s="191">
        <f t="shared" si="4"/>
        <v>221986.21590881274</v>
      </c>
      <c r="P201" s="191">
        <f t="shared" si="4"/>
        <v>2262685.4228489283</v>
      </c>
      <c r="Q201" s="192">
        <f t="shared" si="4"/>
        <v>99538.398472304776</v>
      </c>
      <c r="R201" s="192">
        <f t="shared" si="4"/>
        <v>54622.312445790958</v>
      </c>
      <c r="S201" s="192">
        <f t="shared" si="4"/>
        <v>0</v>
      </c>
      <c r="T201" s="191">
        <f t="shared" si="4"/>
        <v>25980.259299999998</v>
      </c>
      <c r="U201" s="191">
        <f t="shared" si="4"/>
        <v>0</v>
      </c>
      <c r="V201" s="191">
        <f t="shared" si="4"/>
        <v>5456.4781000000003</v>
      </c>
      <c r="W201" s="191">
        <f t="shared" si="4"/>
        <v>0</v>
      </c>
      <c r="X201" s="191">
        <f t="shared" si="4"/>
        <v>381710.65130000003</v>
      </c>
      <c r="Y201" s="191">
        <f t="shared" si="4"/>
        <v>0</v>
      </c>
    </row>
    <row r="202" spans="4:43" x14ac:dyDescent="0.25">
      <c r="E202" s="60"/>
      <c r="F202" s="113" t="s">
        <v>211</v>
      </c>
      <c r="G202" s="113" t="s">
        <v>211</v>
      </c>
      <c r="J202" s="191">
        <f t="shared" ref="J202:Y202" si="5">SUM( J70, J79, J88, J97, J61 )</f>
        <v>2156414.718697391</v>
      </c>
      <c r="K202" s="191">
        <f t="shared" si="5"/>
        <v>4043.2318793394506</v>
      </c>
      <c r="L202" s="191">
        <f t="shared" si="5"/>
        <v>142669.49496676389</v>
      </c>
      <c r="M202" s="191">
        <f t="shared" si="5"/>
        <v>1571.1666666666665</v>
      </c>
      <c r="N202" s="191">
        <f t="shared" si="5"/>
        <v>15024.344632808288</v>
      </c>
      <c r="O202" s="191">
        <f t="shared" si="5"/>
        <v>680.98027884009957</v>
      </c>
      <c r="P202" s="191">
        <f t="shared" si="5"/>
        <v>1972.1992090396534</v>
      </c>
      <c r="Q202" s="191">
        <f t="shared" si="5"/>
        <v>623.86666666666667</v>
      </c>
      <c r="R202" s="191">
        <f t="shared" si="5"/>
        <v>32972.366465964653</v>
      </c>
      <c r="S202" s="191">
        <f t="shared" si="5"/>
        <v>0</v>
      </c>
      <c r="T202" s="191">
        <f t="shared" si="5"/>
        <v>717</v>
      </c>
      <c r="U202" s="191">
        <f t="shared" si="5"/>
        <v>0</v>
      </c>
      <c r="V202" s="191">
        <f t="shared" si="5"/>
        <v>36</v>
      </c>
      <c r="W202" s="191">
        <f t="shared" si="5"/>
        <v>0</v>
      </c>
      <c r="X202" s="191">
        <f t="shared" si="5"/>
        <v>286</v>
      </c>
      <c r="Y202" s="191">
        <f t="shared" si="5"/>
        <v>0</v>
      </c>
    </row>
    <row r="203" spans="4:43" x14ac:dyDescent="0.25">
      <c r="E203" s="60"/>
      <c r="F203" s="113" t="s">
        <v>249</v>
      </c>
      <c r="G203" s="113" t="s">
        <v>250</v>
      </c>
      <c r="J203" s="114"/>
      <c r="K203" s="114"/>
      <c r="L203" s="114"/>
      <c r="M203" s="114"/>
      <c r="N203" s="191">
        <f t="shared" ref="N203:P205" si="6">SUM( N71, N80, N89, N98, N62 )</f>
        <v>1758945</v>
      </c>
      <c r="O203" s="191">
        <f t="shared" si="6"/>
        <v>279225</v>
      </c>
      <c r="P203" s="191">
        <f t="shared" si="6"/>
        <v>2092054</v>
      </c>
      <c r="Q203" s="114"/>
      <c r="R203" s="114"/>
      <c r="S203" s="114"/>
      <c r="T203" s="114"/>
      <c r="U203" s="114"/>
      <c r="V203" s="114"/>
      <c r="W203" s="114"/>
      <c r="X203" s="114"/>
      <c r="Y203" s="114"/>
    </row>
    <row r="204" spans="4:43" x14ac:dyDescent="0.25">
      <c r="E204" s="60"/>
      <c r="F204" s="113" t="s">
        <v>251</v>
      </c>
      <c r="G204" s="113" t="s">
        <v>250</v>
      </c>
      <c r="J204" s="114"/>
      <c r="K204" s="114"/>
      <c r="L204" s="114"/>
      <c r="M204" s="114"/>
      <c r="N204" s="191">
        <f t="shared" si="6"/>
        <v>35606.630136986299</v>
      </c>
      <c r="O204" s="191">
        <f t="shared" si="6"/>
        <v>1518.6876712328767</v>
      </c>
      <c r="P204" s="191">
        <f t="shared" si="6"/>
        <v>24517.490410958904</v>
      </c>
      <c r="Q204" s="114"/>
      <c r="R204" s="114"/>
      <c r="S204" s="114"/>
      <c r="T204" s="114"/>
      <c r="U204" s="114"/>
      <c r="V204" s="114"/>
      <c r="W204" s="114"/>
      <c r="X204" s="114"/>
      <c r="Y204" s="114"/>
    </row>
    <row r="205" spans="4:43" x14ac:dyDescent="0.25">
      <c r="E205" s="60"/>
      <c r="F205" s="115" t="s">
        <v>252</v>
      </c>
      <c r="G205" s="115" t="s">
        <v>253</v>
      </c>
      <c r="H205" s="91"/>
      <c r="I205" s="91"/>
      <c r="J205" s="116"/>
      <c r="K205" s="116"/>
      <c r="L205" s="116"/>
      <c r="M205" s="116"/>
      <c r="N205" s="143">
        <f t="shared" si="6"/>
        <v>233252.364</v>
      </c>
      <c r="O205" s="143">
        <f t="shared" si="6"/>
        <v>36247.743999999999</v>
      </c>
      <c r="P205" s="143">
        <f t="shared" si="6"/>
        <v>391237.89500000002</v>
      </c>
      <c r="Q205" s="116"/>
      <c r="R205" s="116"/>
      <c r="S205" s="116"/>
      <c r="T205" s="143">
        <f>SUM( T73, T82, T91, T100, T64 )</f>
        <v>6266.0650000000005</v>
      </c>
      <c r="U205" s="116"/>
      <c r="V205" s="143">
        <f>SUM( V73, V82, V91, V100, V64 )</f>
        <v>448.65200000000004</v>
      </c>
      <c r="W205" s="116"/>
      <c r="X205" s="143">
        <f>SUM( X73, X82, X91, X100, X64 )</f>
        <v>31743.218000000001</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254</v>
      </c>
      <c r="G207" s="115"/>
      <c r="H207" s="91"/>
      <c r="I207" t="s">
        <v>153</v>
      </c>
      <c r="J207" s="193"/>
      <c r="K207" s="193"/>
      <c r="L207" s="193"/>
      <c r="M207" s="193"/>
      <c r="N207" s="193"/>
      <c r="O207" s="193"/>
      <c r="P207" s="193"/>
      <c r="Q207" s="193"/>
      <c r="R207" s="193"/>
      <c r="S207" s="193"/>
      <c r="T207" s="193"/>
      <c r="U207" s="193"/>
      <c r="V207" s="193"/>
      <c r="W207" s="193"/>
      <c r="X207" s="193"/>
      <c r="Y207" s="193"/>
      <c r="AA207" t="s">
        <v>245</v>
      </c>
    </row>
    <row r="208" spans="4:43" x14ac:dyDescent="0.25">
      <c r="E208" s="60"/>
      <c r="F208" s="111" t="s">
        <v>246</v>
      </c>
      <c r="G208" s="113" t="s">
        <v>206</v>
      </c>
      <c r="I208" s="90"/>
      <c r="J208" s="169">
        <f t="shared" ref="J208:N211" si="7">SUM( J114, J123, J132, J141, J105 )</f>
        <v>17977.821069245529</v>
      </c>
      <c r="K208" s="169">
        <f t="shared" si="7"/>
        <v>0</v>
      </c>
      <c r="L208" s="169">
        <f t="shared" si="7"/>
        <v>807.277793879721</v>
      </c>
      <c r="M208" s="169">
        <f t="shared" si="7"/>
        <v>0</v>
      </c>
      <c r="N208" s="169">
        <f t="shared" si="7"/>
        <v>2936.8753683481918</v>
      </c>
      <c r="O208" s="112"/>
      <c r="P208" s="112"/>
      <c r="Q208" s="169">
        <f t="shared" ref="Q208:R211" si="8">SUM( Q114, Q123, Q132, Q141, Q105 )</f>
        <v>9.4473171927800657</v>
      </c>
      <c r="R208" s="169">
        <f t="shared" si="8"/>
        <v>461.60500000000002</v>
      </c>
      <c r="S208" s="112"/>
      <c r="T208" s="169">
        <f>SUM( T114, T123, T132, T141, T105 )</f>
        <v>1.7350000000000001</v>
      </c>
      <c r="U208" s="112"/>
      <c r="V208" s="112"/>
      <c r="W208" s="112"/>
      <c r="X208" s="112"/>
      <c r="Y208" s="112"/>
    </row>
    <row r="209" spans="5:27" x14ac:dyDescent="0.25">
      <c r="E209" s="60"/>
      <c r="F209" s="113" t="s">
        <v>247</v>
      </c>
      <c r="G209" s="113" t="s">
        <v>206</v>
      </c>
      <c r="J209" s="191">
        <f t="shared" si="7"/>
        <v>43109.182634741424</v>
      </c>
      <c r="K209" s="191">
        <f t="shared" si="7"/>
        <v>0</v>
      </c>
      <c r="L209" s="191">
        <f t="shared" si="7"/>
        <v>2817.154749977456</v>
      </c>
      <c r="M209" s="191">
        <f t="shared" si="7"/>
        <v>0</v>
      </c>
      <c r="N209" s="191">
        <f t="shared" si="7"/>
        <v>9003.6207479355107</v>
      </c>
      <c r="O209" s="114"/>
      <c r="P209" s="114"/>
      <c r="Q209" s="192">
        <f t="shared" si="8"/>
        <v>79.548638403142107</v>
      </c>
      <c r="R209" s="192">
        <f t="shared" si="8"/>
        <v>2076.4070000000002</v>
      </c>
      <c r="S209" s="114"/>
      <c r="T209" s="191">
        <f>SUM( T115, T124, T133, T142, T106 )</f>
        <v>16.108000000000001</v>
      </c>
      <c r="U209" s="114"/>
      <c r="V209" s="114"/>
      <c r="W209" s="114"/>
      <c r="X209" s="114"/>
      <c r="Y209" s="114"/>
    </row>
    <row r="210" spans="5:27" x14ac:dyDescent="0.25">
      <c r="E210" s="60"/>
      <c r="F210" s="113" t="s">
        <v>248</v>
      </c>
      <c r="G210" s="113" t="s">
        <v>206</v>
      </c>
      <c r="J210" s="191">
        <f t="shared" si="7"/>
        <v>61508.146726310944</v>
      </c>
      <c r="K210" s="191">
        <f t="shared" si="7"/>
        <v>0</v>
      </c>
      <c r="L210" s="191">
        <f t="shared" si="7"/>
        <v>2926.3718046408126</v>
      </c>
      <c r="M210" s="191">
        <f t="shared" si="7"/>
        <v>0</v>
      </c>
      <c r="N210" s="191">
        <f t="shared" si="7"/>
        <v>11993.223102387432</v>
      </c>
      <c r="O210" s="114"/>
      <c r="P210" s="114"/>
      <c r="Q210" s="192">
        <f t="shared" si="8"/>
        <v>139.29179941102402</v>
      </c>
      <c r="R210" s="192">
        <f t="shared" si="8"/>
        <v>1230.577</v>
      </c>
      <c r="S210" s="114"/>
      <c r="T210" s="191">
        <f>SUM( T116, T125, T134, T143, T107 )</f>
        <v>8.6150000000000002</v>
      </c>
      <c r="U210" s="114"/>
      <c r="V210" s="114"/>
      <c r="W210" s="114"/>
      <c r="X210" s="114"/>
      <c r="Y210" s="114"/>
    </row>
    <row r="211" spans="5:27" x14ac:dyDescent="0.25">
      <c r="E211" s="60"/>
      <c r="F211" s="113" t="s">
        <v>211</v>
      </c>
      <c r="G211" s="113" t="s">
        <v>211</v>
      </c>
      <c r="J211" s="191">
        <f t="shared" si="7"/>
        <v>44241.292567649827</v>
      </c>
      <c r="K211" s="191">
        <f t="shared" si="7"/>
        <v>0</v>
      </c>
      <c r="L211" s="191">
        <f t="shared" si="7"/>
        <v>626.5770291477329</v>
      </c>
      <c r="M211" s="191">
        <f t="shared" si="7"/>
        <v>0</v>
      </c>
      <c r="N211" s="191">
        <f t="shared" si="7"/>
        <v>174.39864689980519</v>
      </c>
      <c r="O211" s="114"/>
      <c r="P211" s="114"/>
      <c r="Q211" s="191">
        <f t="shared" si="8"/>
        <v>149.67048054834018</v>
      </c>
      <c r="R211" s="191">
        <f t="shared" si="8"/>
        <v>273.96666666666664</v>
      </c>
      <c r="S211" s="114"/>
      <c r="T211" s="191">
        <f>SUM( T117, T126, T135, T144, T108 )</f>
        <v>2</v>
      </c>
      <c r="U211" s="114"/>
      <c r="V211" s="114"/>
      <c r="W211" s="114"/>
      <c r="X211" s="114"/>
      <c r="Y211" s="114"/>
    </row>
    <row r="212" spans="5:27" x14ac:dyDescent="0.25">
      <c r="E212" s="60"/>
      <c r="F212" s="113" t="s">
        <v>249</v>
      </c>
      <c r="G212" s="113" t="s">
        <v>250</v>
      </c>
      <c r="J212" s="114"/>
      <c r="K212" s="114"/>
      <c r="L212" s="114"/>
      <c r="M212" s="114"/>
      <c r="N212" s="191">
        <f>SUM( N118, N127, N136, N145, N109 )</f>
        <v>21056</v>
      </c>
      <c r="O212" s="114"/>
      <c r="P212" s="114"/>
      <c r="Q212" s="114"/>
      <c r="R212" s="114"/>
      <c r="S212" s="114"/>
      <c r="T212" s="114"/>
      <c r="U212" s="114"/>
      <c r="V212" s="114"/>
      <c r="W212" s="114"/>
      <c r="X212" s="114"/>
      <c r="Y212" s="114"/>
    </row>
    <row r="213" spans="5:27" x14ac:dyDescent="0.25">
      <c r="E213" s="60"/>
      <c r="F213" s="113" t="s">
        <v>251</v>
      </c>
      <c r="G213" s="113" t="s">
        <v>250</v>
      </c>
      <c r="J213" s="114"/>
      <c r="K213" s="114"/>
      <c r="L213" s="114"/>
      <c r="M213" s="114"/>
      <c r="N213" s="191">
        <f>SUM( N119, N128, N137, N146, N110 )</f>
        <v>60.975342465753428</v>
      </c>
      <c r="O213" s="114"/>
      <c r="P213" s="114"/>
      <c r="Q213" s="114"/>
      <c r="R213" s="114"/>
      <c r="S213" s="114"/>
      <c r="T213" s="114"/>
      <c r="U213" s="114"/>
      <c r="V213" s="114"/>
      <c r="W213" s="114"/>
      <c r="X213" s="114"/>
      <c r="Y213" s="114"/>
    </row>
    <row r="214" spans="5:27" x14ac:dyDescent="0.25">
      <c r="E214" s="60"/>
      <c r="F214" s="115" t="s">
        <v>252</v>
      </c>
      <c r="G214" s="115" t="s">
        <v>253</v>
      </c>
      <c r="H214" s="91"/>
      <c r="I214" s="91"/>
      <c r="J214" s="116"/>
      <c r="K214" s="116"/>
      <c r="L214" s="116"/>
      <c r="M214" s="116"/>
      <c r="N214" s="143">
        <f>SUM( N120, N129, N138, N147, N111 )</f>
        <v>1182.797</v>
      </c>
      <c r="O214" s="116"/>
      <c r="P214" s="116"/>
      <c r="Q214" s="116"/>
      <c r="R214" s="116"/>
      <c r="S214" s="116"/>
      <c r="T214" s="143">
        <f>SUM( T120, T129, T138, T147, T111 )</f>
        <v>7.8289999999999997</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255</v>
      </c>
      <c r="G216" s="115"/>
      <c r="H216" s="91"/>
      <c r="I216" t="s">
        <v>153</v>
      </c>
      <c r="J216" s="193"/>
      <c r="K216" s="193"/>
      <c r="L216" s="193"/>
      <c r="M216" s="193"/>
      <c r="N216" s="193"/>
      <c r="O216" s="193"/>
      <c r="P216" s="193"/>
      <c r="Q216" s="193"/>
      <c r="R216" s="193"/>
      <c r="S216" s="193"/>
      <c r="T216" s="193"/>
      <c r="U216" s="193"/>
      <c r="V216" s="193"/>
      <c r="W216" s="193"/>
      <c r="X216" s="193"/>
      <c r="Y216" s="193"/>
      <c r="AA216" t="s">
        <v>245</v>
      </c>
    </row>
    <row r="217" spans="5:27" x14ac:dyDescent="0.25">
      <c r="F217" s="111" t="s">
        <v>246</v>
      </c>
      <c r="G217" s="113" t="s">
        <v>206</v>
      </c>
      <c r="I217" s="90"/>
      <c r="J217" s="169">
        <f t="shared" ref="J217:T217" si="9">SUM( J161, J170, J179, J188, J152 )</f>
        <v>26180.287942014904</v>
      </c>
      <c r="K217" s="169">
        <f t="shared" si="9"/>
        <v>2.9178128836445221</v>
      </c>
      <c r="L217" s="169">
        <f t="shared" si="9"/>
        <v>1560.4669414890448</v>
      </c>
      <c r="M217" s="169">
        <f t="shared" si="9"/>
        <v>3.3518113487766206</v>
      </c>
      <c r="N217" s="169">
        <f t="shared" si="9"/>
        <v>17689.361768825089</v>
      </c>
      <c r="O217" s="169">
        <f t="shared" si="9"/>
        <v>5295.6554336913714</v>
      </c>
      <c r="P217" s="169">
        <f t="shared" si="9"/>
        <v>14371.796314403904</v>
      </c>
      <c r="Q217" s="169">
        <f t="shared" si="9"/>
        <v>20.318312455183225</v>
      </c>
      <c r="R217" s="169">
        <f t="shared" si="9"/>
        <v>813.798</v>
      </c>
      <c r="S217" s="169">
        <f t="shared" si="9"/>
        <v>8.0310000000000006</v>
      </c>
      <c r="T217" s="169">
        <f t="shared" si="9"/>
        <v>19.936</v>
      </c>
      <c r="U217" s="112"/>
      <c r="V217" s="169">
        <f>SUM( V161, V170, V179, V188, V152 )</f>
        <v>29.873000000000001</v>
      </c>
      <c r="W217" s="112"/>
      <c r="X217" s="169">
        <f>SUM( X161, X170, X179, X188, X152 )</f>
        <v>185.017</v>
      </c>
      <c r="Y217" s="112"/>
    </row>
    <row r="218" spans="5:27" x14ac:dyDescent="0.25">
      <c r="F218" s="113" t="s">
        <v>247</v>
      </c>
      <c r="G218" s="113" t="s">
        <v>206</v>
      </c>
      <c r="J218" s="191">
        <f t="shared" ref="J218:T218" si="10">SUM( J162, J171, J180, J189, J153 )</f>
        <v>64430.8985274808</v>
      </c>
      <c r="K218" s="191">
        <f t="shared" si="10"/>
        <v>37.585016423182644</v>
      </c>
      <c r="L218" s="191">
        <f t="shared" si="10"/>
        <v>5620.6061165878637</v>
      </c>
      <c r="M218" s="191">
        <f t="shared" si="10"/>
        <v>12.030658885079809</v>
      </c>
      <c r="N218" s="191">
        <f t="shared" si="10"/>
        <v>58547.753088664911</v>
      </c>
      <c r="O218" s="191">
        <f t="shared" si="10"/>
        <v>17956.834885943303</v>
      </c>
      <c r="P218" s="191">
        <f t="shared" si="10"/>
        <v>45948.730101173984</v>
      </c>
      <c r="Q218" s="192">
        <f t="shared" si="10"/>
        <v>191.74568924558483</v>
      </c>
      <c r="R218" s="192">
        <f t="shared" si="10"/>
        <v>3713.4470000000006</v>
      </c>
      <c r="S218" s="192">
        <f t="shared" si="10"/>
        <v>28.257000000000001</v>
      </c>
      <c r="T218" s="191">
        <f t="shared" si="10"/>
        <v>113.25500000000001</v>
      </c>
      <c r="U218" s="114"/>
      <c r="V218" s="191">
        <f>SUM( V162, V171, V180, V189, V153 )</f>
        <v>93.573000000000008</v>
      </c>
      <c r="W218" s="114"/>
      <c r="X218" s="191">
        <f>SUM( X162, X171, X180, X189, X153 )</f>
        <v>534.005</v>
      </c>
      <c r="Y218" s="114"/>
    </row>
    <row r="219" spans="5:27" x14ac:dyDescent="0.25">
      <c r="F219" s="113" t="s">
        <v>248</v>
      </c>
      <c r="G219" s="113" t="s">
        <v>206</v>
      </c>
      <c r="J219" s="191">
        <f t="shared" ref="J219:T219" si="11">SUM( J163, J172, J181, J190, J154 )</f>
        <v>93183.244893325929</v>
      </c>
      <c r="K219" s="191">
        <f t="shared" si="11"/>
        <v>86.400026579674773</v>
      </c>
      <c r="L219" s="191">
        <f t="shared" si="11"/>
        <v>5923.7633841494298</v>
      </c>
      <c r="M219" s="191">
        <f t="shared" si="11"/>
        <v>14.576916202439337</v>
      </c>
      <c r="N219" s="191">
        <f t="shared" si="11"/>
        <v>69488.052591997577</v>
      </c>
      <c r="O219" s="191">
        <f t="shared" si="11"/>
        <v>20583.211117322378</v>
      </c>
      <c r="P219" s="191">
        <f t="shared" si="11"/>
        <v>68805.40001020761</v>
      </c>
      <c r="Q219" s="192">
        <f t="shared" si="11"/>
        <v>299.78858933193914</v>
      </c>
      <c r="R219" s="192">
        <f t="shared" si="11"/>
        <v>2195.2260000000001</v>
      </c>
      <c r="S219" s="192">
        <f t="shared" si="11"/>
        <v>18.324999999999999</v>
      </c>
      <c r="T219" s="191">
        <f t="shared" si="11"/>
        <v>68.24799999999999</v>
      </c>
      <c r="U219" s="114"/>
      <c r="V219" s="191">
        <f>SUM( V163, V172, V181, V190, V154 )</f>
        <v>105.008</v>
      </c>
      <c r="W219" s="114"/>
      <c r="X219" s="191">
        <f>SUM( X163, X172, X181, X190, X154 )</f>
        <v>839.64599999999996</v>
      </c>
      <c r="Y219" s="114"/>
    </row>
    <row r="220" spans="5:27" x14ac:dyDescent="0.25">
      <c r="F220" s="113" t="s">
        <v>211</v>
      </c>
      <c r="G220" s="113" t="s">
        <v>211</v>
      </c>
      <c r="J220" s="191">
        <f t="shared" ref="J220:T220" si="12">SUM( J164, J173, J182, J191, J155 )</f>
        <v>69159.345207045189</v>
      </c>
      <c r="K220" s="191">
        <f t="shared" si="12"/>
        <v>145.76603322968793</v>
      </c>
      <c r="L220" s="191">
        <f t="shared" si="12"/>
        <v>1320.1370211843459</v>
      </c>
      <c r="M220" s="191">
        <f t="shared" si="12"/>
        <v>1.301482439550784</v>
      </c>
      <c r="N220" s="191">
        <f t="shared" si="12"/>
        <v>672.86642124775562</v>
      </c>
      <c r="O220" s="191">
        <f t="shared" si="12"/>
        <v>76.787463933496269</v>
      </c>
      <c r="P220" s="191">
        <f t="shared" si="12"/>
        <v>50.757815142480595</v>
      </c>
      <c r="Q220" s="191">
        <f t="shared" si="12"/>
        <v>243.37721619599679</v>
      </c>
      <c r="R220" s="191">
        <f t="shared" si="12"/>
        <v>541.53333333333342</v>
      </c>
      <c r="S220" s="191">
        <f t="shared" si="12"/>
        <v>2</v>
      </c>
      <c r="T220" s="191">
        <f t="shared" si="12"/>
        <v>11</v>
      </c>
      <c r="U220" s="114"/>
      <c r="V220" s="191">
        <f>SUM( V164, V173, V182, V191, V155 )</f>
        <v>3</v>
      </c>
      <c r="W220" s="114"/>
      <c r="X220" s="191">
        <f>SUM( X164, X173, X182, X191, X155 )</f>
        <v>4</v>
      </c>
      <c r="Y220" s="114"/>
    </row>
    <row r="221" spans="5:27" x14ac:dyDescent="0.25">
      <c r="F221" s="113" t="s">
        <v>249</v>
      </c>
      <c r="G221" s="113" t="s">
        <v>250</v>
      </c>
      <c r="J221" s="114"/>
      <c r="K221" s="114"/>
      <c r="L221" s="114"/>
      <c r="M221" s="114"/>
      <c r="N221" s="191">
        <f t="shared" ref="N221:P223" si="13">SUM( N165, N174, N183, N192, N156 )</f>
        <v>150748</v>
      </c>
      <c r="O221" s="191">
        <f t="shared" si="13"/>
        <v>36431</v>
      </c>
      <c r="P221" s="191">
        <f t="shared" si="13"/>
        <v>71650</v>
      </c>
      <c r="Q221" s="114"/>
      <c r="R221" s="114"/>
      <c r="S221" s="114"/>
      <c r="T221" s="114"/>
      <c r="U221" s="114"/>
      <c r="V221" s="114"/>
      <c r="W221" s="114"/>
      <c r="X221" s="114"/>
      <c r="Y221" s="114"/>
    </row>
    <row r="222" spans="5:27" x14ac:dyDescent="0.25">
      <c r="F222" s="113" t="s">
        <v>251</v>
      </c>
      <c r="G222" s="113" t="s">
        <v>250</v>
      </c>
      <c r="J222" s="114"/>
      <c r="K222" s="114"/>
      <c r="L222" s="114"/>
      <c r="M222" s="114"/>
      <c r="N222" s="191">
        <f t="shared" si="13"/>
        <v>21.443835616438356</v>
      </c>
      <c r="O222" s="191">
        <f t="shared" si="13"/>
        <v>123.18082191780822</v>
      </c>
      <c r="P222" s="191">
        <f t="shared" si="13"/>
        <v>55.715068493150682</v>
      </c>
      <c r="Q222" s="114"/>
      <c r="R222" s="114"/>
      <c r="S222" s="114"/>
      <c r="T222" s="114"/>
      <c r="U222" s="114"/>
      <c r="V222" s="114"/>
      <c r="W222" s="114"/>
      <c r="X222" s="114"/>
      <c r="Y222" s="114"/>
    </row>
    <row r="223" spans="5:27" x14ac:dyDescent="0.25">
      <c r="F223" s="115" t="s">
        <v>252</v>
      </c>
      <c r="G223" s="115" t="s">
        <v>253</v>
      </c>
      <c r="H223" s="91"/>
      <c r="I223" s="91"/>
      <c r="J223" s="116"/>
      <c r="K223" s="116"/>
      <c r="L223" s="116"/>
      <c r="M223" s="116"/>
      <c r="N223" s="143">
        <f t="shared" si="13"/>
        <v>8724.0133999999998</v>
      </c>
      <c r="O223" s="143">
        <f t="shared" si="13"/>
        <v>2640.9349999999999</v>
      </c>
      <c r="P223" s="143">
        <f t="shared" si="13"/>
        <v>9701.0930000000008</v>
      </c>
      <c r="Q223" s="116"/>
      <c r="R223" s="116"/>
      <c r="S223" s="116"/>
      <c r="T223" s="143">
        <f>SUM( T167, T176, T185, T194, T158 )</f>
        <v>35.960999999999999</v>
      </c>
      <c r="U223" s="116"/>
      <c r="V223" s="143">
        <f>SUM( V167, V176, V185, V194, V158 )</f>
        <v>166.20500000000001</v>
      </c>
      <c r="W223" s="116"/>
      <c r="X223" s="143">
        <f>SUM( X167, X176, X185, X194, X158 )</f>
        <v>206.58199999999999</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443</v>
      </c>
      <c r="AQ227" s="3"/>
    </row>
    <row r="228" spans="3:43" x14ac:dyDescent="0.25">
      <c r="C228" s="60"/>
      <c r="AQ228" s="3"/>
    </row>
    <row r="229" spans="3:43" x14ac:dyDescent="0.25">
      <c r="C229" s="71"/>
      <c r="E229" s="60" t="s">
        <v>155</v>
      </c>
      <c r="I229" t="s">
        <v>153</v>
      </c>
      <c r="AA229" t="s">
        <v>308</v>
      </c>
      <c r="AQ229" s="3"/>
    </row>
    <row r="230" spans="3:43" x14ac:dyDescent="0.25">
      <c r="C230" s="71"/>
      <c r="E230" s="60"/>
      <c r="AQ230" s="3"/>
    </row>
    <row r="231" spans="3:43" x14ac:dyDescent="0.25">
      <c r="F231" s="89" t="s">
        <v>444</v>
      </c>
      <c r="G231" s="89" t="s">
        <v>206</v>
      </c>
      <c r="J231" s="141">
        <f t="shared" ref="J231:Y231" si="14">J$199</f>
        <v>891975.83915223007</v>
      </c>
      <c r="K231" s="141">
        <f t="shared" si="14"/>
        <v>267.59944132442337</v>
      </c>
      <c r="L231" s="141">
        <f t="shared" si="14"/>
        <v>233689.25111987913</v>
      </c>
      <c r="M231" s="141">
        <f t="shared" si="14"/>
        <v>522.25619825826141</v>
      </c>
      <c r="N231" s="141">
        <f t="shared" si="14"/>
        <v>286882.04355365504</v>
      </c>
      <c r="O231" s="141">
        <f t="shared" si="14"/>
        <v>52326.367942929464</v>
      </c>
      <c r="P231" s="141">
        <f t="shared" si="14"/>
        <v>487147.74307936773</v>
      </c>
      <c r="Q231" s="141">
        <f t="shared" si="14"/>
        <v>7374.2403851888157</v>
      </c>
      <c r="R231" s="141">
        <f t="shared" si="14"/>
        <v>19571.925278374503</v>
      </c>
      <c r="S231" s="141">
        <f t="shared" si="14"/>
        <v>0</v>
      </c>
      <c r="T231" s="141">
        <f t="shared" si="14"/>
        <v>5902.4038</v>
      </c>
      <c r="U231" s="141">
        <f t="shared" si="14"/>
        <v>0</v>
      </c>
      <c r="V231" s="141">
        <f t="shared" si="14"/>
        <v>1013.0288999999998</v>
      </c>
      <c r="W231" s="141">
        <f t="shared" si="14"/>
        <v>0</v>
      </c>
      <c r="X231" s="141">
        <f t="shared" si="14"/>
        <v>115980.32519999999</v>
      </c>
      <c r="Y231" s="141">
        <f t="shared" si="14"/>
        <v>0</v>
      </c>
      <c r="AQ231" s="3"/>
    </row>
    <row r="232" spans="3:43" x14ac:dyDescent="0.25">
      <c r="F232" s="89" t="s">
        <v>445</v>
      </c>
      <c r="G232" s="89" t="s">
        <v>206</v>
      </c>
      <c r="J232" s="141">
        <f t="shared" ref="J232:Y232" si="15">J$208</f>
        <v>17977.821069245529</v>
      </c>
      <c r="K232" s="141">
        <f t="shared" si="15"/>
        <v>0</v>
      </c>
      <c r="L232" s="141">
        <f t="shared" si="15"/>
        <v>807.277793879721</v>
      </c>
      <c r="M232" s="141">
        <f t="shared" si="15"/>
        <v>0</v>
      </c>
      <c r="N232" s="141">
        <f t="shared" si="15"/>
        <v>2936.8753683481918</v>
      </c>
      <c r="O232" s="141">
        <f t="shared" si="15"/>
        <v>0</v>
      </c>
      <c r="P232" s="141">
        <f t="shared" si="15"/>
        <v>0</v>
      </c>
      <c r="Q232" s="141">
        <f t="shared" si="15"/>
        <v>9.4473171927800657</v>
      </c>
      <c r="R232" s="141">
        <f t="shared" si="15"/>
        <v>461.60500000000002</v>
      </c>
      <c r="S232" s="141">
        <f t="shared" si="15"/>
        <v>0</v>
      </c>
      <c r="T232" s="141">
        <f t="shared" si="15"/>
        <v>1.7350000000000001</v>
      </c>
      <c r="U232" s="141">
        <f t="shared" si="15"/>
        <v>0</v>
      </c>
      <c r="V232" s="141">
        <f t="shared" si="15"/>
        <v>0</v>
      </c>
      <c r="W232" s="141">
        <f t="shared" si="15"/>
        <v>0</v>
      </c>
      <c r="X232" s="141">
        <f t="shared" si="15"/>
        <v>0</v>
      </c>
      <c r="Y232" s="141">
        <f t="shared" si="15"/>
        <v>0</v>
      </c>
      <c r="AQ232" s="3"/>
    </row>
    <row r="233" spans="3:43" x14ac:dyDescent="0.25">
      <c r="F233" s="89" t="s">
        <v>446</v>
      </c>
      <c r="G233" s="89" t="s">
        <v>206</v>
      </c>
      <c r="J233" s="141">
        <f t="shared" ref="J233:Y233" si="16">J$217</f>
        <v>26180.287942014904</v>
      </c>
      <c r="K233" s="141">
        <f t="shared" si="16"/>
        <v>2.9178128836445221</v>
      </c>
      <c r="L233" s="141">
        <f t="shared" si="16"/>
        <v>1560.4669414890448</v>
      </c>
      <c r="M233" s="141">
        <f t="shared" si="16"/>
        <v>3.3518113487766206</v>
      </c>
      <c r="N233" s="141">
        <f t="shared" si="16"/>
        <v>17689.361768825089</v>
      </c>
      <c r="O233" s="141">
        <f t="shared" si="16"/>
        <v>5295.6554336913714</v>
      </c>
      <c r="P233" s="141">
        <f t="shared" si="16"/>
        <v>14371.796314403904</v>
      </c>
      <c r="Q233" s="141">
        <f t="shared" si="16"/>
        <v>20.318312455183225</v>
      </c>
      <c r="R233" s="141">
        <f t="shared" si="16"/>
        <v>813.798</v>
      </c>
      <c r="S233" s="141">
        <f t="shared" si="16"/>
        <v>8.0310000000000006</v>
      </c>
      <c r="T233" s="141">
        <f t="shared" si="16"/>
        <v>19.936</v>
      </c>
      <c r="U233" s="141">
        <f t="shared" si="16"/>
        <v>0</v>
      </c>
      <c r="V233" s="141">
        <f t="shared" si="16"/>
        <v>29.873000000000001</v>
      </c>
      <c r="W233" s="141">
        <f t="shared" si="16"/>
        <v>0</v>
      </c>
      <c r="X233" s="141">
        <f t="shared" si="16"/>
        <v>185.017</v>
      </c>
      <c r="Y233" s="141">
        <f t="shared" si="16"/>
        <v>0</v>
      </c>
      <c r="AQ233" s="3"/>
    </row>
    <row r="234" spans="3:43" x14ac:dyDescent="0.25">
      <c r="F234" s="89" t="s">
        <v>447</v>
      </c>
      <c r="G234" s="89" t="s">
        <v>166</v>
      </c>
      <c r="J234" s="194">
        <f>IF(J$39, J$45, J$34)</f>
        <v>0.40611012535926394</v>
      </c>
      <c r="K234" s="194">
        <f t="shared" ref="K234:Y234" si="17">IF(K$39, K$45, K$34)</f>
        <v>0.40611012535926394</v>
      </c>
      <c r="L234" s="194">
        <f t="shared" si="17"/>
        <v>0.40611012535926394</v>
      </c>
      <c r="M234" s="194">
        <f t="shared" si="17"/>
        <v>0.40611012535926394</v>
      </c>
      <c r="N234" s="194">
        <f t="shared" si="17"/>
        <v>0.40611012535926394</v>
      </c>
      <c r="O234" s="194">
        <f t="shared" si="17"/>
        <v>0</v>
      </c>
      <c r="P234" s="194">
        <f t="shared" si="17"/>
        <v>0</v>
      </c>
      <c r="Q234" s="194">
        <f t="shared" si="17"/>
        <v>0.40611012535926394</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448</v>
      </c>
      <c r="G235" s="89" t="s">
        <v>166</v>
      </c>
      <c r="J235" s="194">
        <f>IF(J$39, J$45, J$35)</f>
        <v>0.58741903403166595</v>
      </c>
      <c r="K235" s="194">
        <f t="shared" ref="K235:Y235" si="18">IF(K$39, K$45, K$35)</f>
        <v>0.58741903403166595</v>
      </c>
      <c r="L235" s="194">
        <f t="shared" si="18"/>
        <v>0.58741903403166595</v>
      </c>
      <c r="M235" s="194">
        <f t="shared" si="18"/>
        <v>0.58741903403166595</v>
      </c>
      <c r="N235" s="194">
        <f t="shared" si="18"/>
        <v>0.58741903403166595</v>
      </c>
      <c r="O235" s="194">
        <f t="shared" si="18"/>
        <v>0.30208847695897212</v>
      </c>
      <c r="P235" s="194">
        <f t="shared" si="18"/>
        <v>0.12606452222036799</v>
      </c>
      <c r="Q235" s="194">
        <f t="shared" si="18"/>
        <v>0.58741903403166595</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449</v>
      </c>
      <c r="G236" s="89" t="s">
        <v>206</v>
      </c>
      <c r="J236" s="141">
        <f t="shared" ref="J236:Y236" si="19">J232 * (1 - J234)</f>
        <v>10676.84590112781</v>
      </c>
      <c r="K236" s="141">
        <f t="shared" si="19"/>
        <v>0</v>
      </c>
      <c r="L236" s="141">
        <f t="shared" si="19"/>
        <v>479.43410780747746</v>
      </c>
      <c r="M236" s="141">
        <f t="shared" si="19"/>
        <v>0</v>
      </c>
      <c r="N236" s="141">
        <f t="shared" si="19"/>
        <v>1744.1805443437731</v>
      </c>
      <c r="O236" s="141">
        <f t="shared" si="19"/>
        <v>0</v>
      </c>
      <c r="P236" s="141">
        <f t="shared" si="19"/>
        <v>0</v>
      </c>
      <c r="Q236" s="141">
        <f t="shared" si="19"/>
        <v>5.6106660233114241</v>
      </c>
      <c r="R236" s="141">
        <f t="shared" si="19"/>
        <v>461.60500000000002</v>
      </c>
      <c r="S236" s="141">
        <f t="shared" si="19"/>
        <v>0</v>
      </c>
      <c r="T236" s="141">
        <f t="shared" si="19"/>
        <v>1.7350000000000001</v>
      </c>
      <c r="U236" s="141">
        <f t="shared" si="19"/>
        <v>0</v>
      </c>
      <c r="V236" s="141">
        <f t="shared" si="19"/>
        <v>0</v>
      </c>
      <c r="W236" s="141">
        <f t="shared" si="19"/>
        <v>0</v>
      </c>
      <c r="X236" s="141">
        <f t="shared" si="19"/>
        <v>0</v>
      </c>
      <c r="Y236" s="141">
        <f t="shared" si="19"/>
        <v>0</v>
      </c>
      <c r="AQ236" s="3"/>
    </row>
    <row r="237" spans="3:43" x14ac:dyDescent="0.25">
      <c r="F237" s="96" t="s">
        <v>450</v>
      </c>
      <c r="G237" s="96" t="s">
        <v>206</v>
      </c>
      <c r="H237" s="91"/>
      <c r="I237" s="91"/>
      <c r="J237" s="143">
        <f t="shared" ref="J237:Y237" si="20">J233 * (1 - J235)</f>
        <v>10801.488488445637</v>
      </c>
      <c r="K237" s="143">
        <f t="shared" si="20"/>
        <v>1.2038340580489071</v>
      </c>
      <c r="L237" s="143">
        <f t="shared" si="20"/>
        <v>643.81895808120191</v>
      </c>
      <c r="M237" s="143">
        <f t="shared" si="20"/>
        <v>1.3828935640218827</v>
      </c>
      <c r="N237" s="143">
        <f t="shared" si="20"/>
        <v>7298.2939659451731</v>
      </c>
      <c r="O237" s="143">
        <f t="shared" si="20"/>
        <v>3695.8989492280402</v>
      </c>
      <c r="P237" s="143">
        <f t="shared" si="20"/>
        <v>12560.02267858013</v>
      </c>
      <c r="Q237" s="143">
        <f t="shared" si="20"/>
        <v>8.3829489796059278</v>
      </c>
      <c r="R237" s="143">
        <f t="shared" si="20"/>
        <v>813.798</v>
      </c>
      <c r="S237" s="143">
        <f t="shared" si="20"/>
        <v>8.0310000000000006</v>
      </c>
      <c r="T237" s="143">
        <f t="shared" si="20"/>
        <v>19.936</v>
      </c>
      <c r="U237" s="143">
        <f t="shared" si="20"/>
        <v>0</v>
      </c>
      <c r="V237" s="143">
        <f t="shared" si="20"/>
        <v>29.873000000000001</v>
      </c>
      <c r="W237" s="143">
        <f t="shared" si="20"/>
        <v>0</v>
      </c>
      <c r="X237" s="143">
        <f t="shared" si="20"/>
        <v>185.017</v>
      </c>
      <c r="Y237" s="143">
        <f t="shared" si="20"/>
        <v>0</v>
      </c>
      <c r="AQ237" s="3"/>
    </row>
    <row r="238" spans="3:43" x14ac:dyDescent="0.25">
      <c r="F238" s="89" t="s">
        <v>451</v>
      </c>
      <c r="G238" s="89" t="s">
        <v>206</v>
      </c>
      <c r="J238" s="164">
        <f t="shared" ref="J238:Y238" si="21">J231 + J236 + J237</f>
        <v>913454.1735418035</v>
      </c>
      <c r="K238" s="164">
        <f t="shared" si="21"/>
        <v>268.80327538247229</v>
      </c>
      <c r="L238" s="164">
        <f t="shared" si="21"/>
        <v>234812.50418576779</v>
      </c>
      <c r="M238" s="164">
        <f t="shared" si="21"/>
        <v>523.63909182228326</v>
      </c>
      <c r="N238" s="164">
        <f t="shared" si="21"/>
        <v>295924.51806394401</v>
      </c>
      <c r="O238" s="164">
        <f t="shared" si="21"/>
        <v>56022.266892157502</v>
      </c>
      <c r="P238" s="164">
        <f t="shared" si="21"/>
        <v>499707.76575794787</v>
      </c>
      <c r="Q238" s="164">
        <f t="shared" si="21"/>
        <v>7388.2340001917337</v>
      </c>
      <c r="R238" s="164">
        <f t="shared" si="21"/>
        <v>20847.328278374502</v>
      </c>
      <c r="S238" s="164">
        <f t="shared" si="21"/>
        <v>8.0310000000000006</v>
      </c>
      <c r="T238" s="164">
        <f t="shared" si="21"/>
        <v>5924.0747999999994</v>
      </c>
      <c r="U238" s="164">
        <f t="shared" si="21"/>
        <v>0</v>
      </c>
      <c r="V238" s="164">
        <f t="shared" si="21"/>
        <v>1042.9018999999998</v>
      </c>
      <c r="W238" s="164">
        <f t="shared" si="21"/>
        <v>0</v>
      </c>
      <c r="X238" s="164">
        <f t="shared" si="21"/>
        <v>116165.3422</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156</v>
      </c>
      <c r="I240" t="s">
        <v>153</v>
      </c>
      <c r="J240" s="101"/>
      <c r="K240" s="101"/>
      <c r="L240" s="101"/>
      <c r="M240" s="101"/>
      <c r="N240" s="101"/>
      <c r="O240" s="101"/>
      <c r="P240" s="101"/>
      <c r="Q240" s="101"/>
      <c r="R240" s="101"/>
      <c r="S240" s="101"/>
      <c r="T240" s="101"/>
      <c r="U240" s="101"/>
      <c r="V240" s="101"/>
      <c r="W240" s="101"/>
      <c r="X240" s="101"/>
      <c r="Y240" s="101"/>
      <c r="AA240" t="s">
        <v>308</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444</v>
      </c>
      <c r="G242" s="89" t="s">
        <v>206</v>
      </c>
      <c r="J242" s="141">
        <f t="shared" ref="J242:Y242" si="22">J$200</f>
        <v>2153149.2392095304</v>
      </c>
      <c r="K242" s="141">
        <f t="shared" si="22"/>
        <v>3009.1632577465161</v>
      </c>
      <c r="L242" s="141">
        <f t="shared" si="22"/>
        <v>839292.91295983072</v>
      </c>
      <c r="M242" s="141">
        <f t="shared" si="22"/>
        <v>2991.7411850243693</v>
      </c>
      <c r="N242" s="141">
        <f t="shared" si="22"/>
        <v>1028994.1764910583</v>
      </c>
      <c r="O242" s="141">
        <f t="shared" si="22"/>
        <v>185044.83227267003</v>
      </c>
      <c r="P242" s="141">
        <f t="shared" si="22"/>
        <v>1616017.0542132768</v>
      </c>
      <c r="Q242" s="141">
        <f t="shared" si="22"/>
        <v>29876.813151146878</v>
      </c>
      <c r="R242" s="141">
        <f t="shared" si="22"/>
        <v>95791.600508721793</v>
      </c>
      <c r="S242" s="141">
        <f t="shared" si="22"/>
        <v>0</v>
      </c>
      <c r="T242" s="141">
        <f t="shared" si="22"/>
        <v>23799.629700000005</v>
      </c>
      <c r="U242" s="141">
        <f t="shared" si="22"/>
        <v>0</v>
      </c>
      <c r="V242" s="141">
        <f t="shared" si="22"/>
        <v>3224.2487000000001</v>
      </c>
      <c r="W242" s="141">
        <f t="shared" si="22"/>
        <v>0</v>
      </c>
      <c r="X242" s="141">
        <f t="shared" si="22"/>
        <v>309200.76439999999</v>
      </c>
      <c r="Y242" s="141">
        <f t="shared" si="22"/>
        <v>0</v>
      </c>
      <c r="AQ242" s="3"/>
    </row>
    <row r="243" spans="5:43" x14ac:dyDescent="0.25">
      <c r="F243" s="89" t="s">
        <v>445</v>
      </c>
      <c r="G243" s="89" t="s">
        <v>206</v>
      </c>
      <c r="J243" s="141">
        <f t="shared" ref="J243:Y243" si="23">J$209</f>
        <v>43109.182634741424</v>
      </c>
      <c r="K243" s="141">
        <f t="shared" si="23"/>
        <v>0</v>
      </c>
      <c r="L243" s="141">
        <f t="shared" si="23"/>
        <v>2817.154749977456</v>
      </c>
      <c r="M243" s="141">
        <f t="shared" si="23"/>
        <v>0</v>
      </c>
      <c r="N243" s="141">
        <f t="shared" si="23"/>
        <v>9003.6207479355107</v>
      </c>
      <c r="O243" s="141">
        <f t="shared" si="23"/>
        <v>0</v>
      </c>
      <c r="P243" s="141">
        <f t="shared" si="23"/>
        <v>0</v>
      </c>
      <c r="Q243" s="141">
        <f t="shared" si="23"/>
        <v>79.548638403142107</v>
      </c>
      <c r="R243" s="141">
        <f t="shared" si="23"/>
        <v>2076.4070000000002</v>
      </c>
      <c r="S243" s="141">
        <f t="shared" si="23"/>
        <v>0</v>
      </c>
      <c r="T243" s="141">
        <f t="shared" si="23"/>
        <v>16.108000000000001</v>
      </c>
      <c r="U243" s="141">
        <f t="shared" si="23"/>
        <v>0</v>
      </c>
      <c r="V243" s="141">
        <f t="shared" si="23"/>
        <v>0</v>
      </c>
      <c r="W243" s="141">
        <f t="shared" si="23"/>
        <v>0</v>
      </c>
      <c r="X243" s="141">
        <f t="shared" si="23"/>
        <v>0</v>
      </c>
      <c r="Y243" s="141">
        <f t="shared" si="23"/>
        <v>0</v>
      </c>
      <c r="AQ243" s="3"/>
    </row>
    <row r="244" spans="5:43" x14ac:dyDescent="0.25">
      <c r="F244" s="89" t="s">
        <v>446</v>
      </c>
      <c r="G244" s="89" t="s">
        <v>206</v>
      </c>
      <c r="J244" s="141">
        <f t="shared" ref="J244:Y244" si="24">J$218</f>
        <v>64430.8985274808</v>
      </c>
      <c r="K244" s="141">
        <f t="shared" si="24"/>
        <v>37.585016423182644</v>
      </c>
      <c r="L244" s="141">
        <f t="shared" si="24"/>
        <v>5620.6061165878637</v>
      </c>
      <c r="M244" s="141">
        <f t="shared" si="24"/>
        <v>12.030658885079809</v>
      </c>
      <c r="N244" s="141">
        <f t="shared" si="24"/>
        <v>58547.753088664911</v>
      </c>
      <c r="O244" s="141">
        <f t="shared" si="24"/>
        <v>17956.834885943303</v>
      </c>
      <c r="P244" s="141">
        <f t="shared" si="24"/>
        <v>45948.730101173984</v>
      </c>
      <c r="Q244" s="141">
        <f t="shared" si="24"/>
        <v>191.74568924558483</v>
      </c>
      <c r="R244" s="141">
        <f t="shared" si="24"/>
        <v>3713.4470000000006</v>
      </c>
      <c r="S244" s="141">
        <f t="shared" si="24"/>
        <v>28.257000000000001</v>
      </c>
      <c r="T244" s="141">
        <f t="shared" si="24"/>
        <v>113.25500000000001</v>
      </c>
      <c r="U244" s="141">
        <f t="shared" si="24"/>
        <v>0</v>
      </c>
      <c r="V244" s="141">
        <f t="shared" si="24"/>
        <v>93.573000000000008</v>
      </c>
      <c r="W244" s="141">
        <f t="shared" si="24"/>
        <v>0</v>
      </c>
      <c r="X244" s="141">
        <f t="shared" si="24"/>
        <v>534.005</v>
      </c>
      <c r="Y244" s="141">
        <f t="shared" si="24"/>
        <v>0</v>
      </c>
      <c r="AQ244" s="3"/>
    </row>
    <row r="245" spans="5:43" x14ac:dyDescent="0.25">
      <c r="F245" s="89" t="s">
        <v>447</v>
      </c>
      <c r="G245" s="89" t="s">
        <v>166</v>
      </c>
      <c r="J245" s="195">
        <f t="shared" ref="J245:Y245" si="25">IF(J$39, J$45, J$34)</f>
        <v>0.40611012535926394</v>
      </c>
      <c r="K245" s="195">
        <f t="shared" si="25"/>
        <v>0.40611012535926394</v>
      </c>
      <c r="L245" s="195">
        <f t="shared" si="25"/>
        <v>0.40611012535926394</v>
      </c>
      <c r="M245" s="195">
        <f t="shared" si="25"/>
        <v>0.40611012535926394</v>
      </c>
      <c r="N245" s="195">
        <f t="shared" si="25"/>
        <v>0.40611012535926394</v>
      </c>
      <c r="O245" s="195">
        <f t="shared" si="25"/>
        <v>0</v>
      </c>
      <c r="P245" s="195">
        <f t="shared" si="25"/>
        <v>0</v>
      </c>
      <c r="Q245" s="195">
        <f t="shared" si="25"/>
        <v>0.40611012535926394</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448</v>
      </c>
      <c r="G246" s="89" t="s">
        <v>166</v>
      </c>
      <c r="J246" s="195">
        <f t="shared" ref="J246:Y246" si="26">IF(J$39, J$45, J$35)</f>
        <v>0.58741903403166595</v>
      </c>
      <c r="K246" s="195">
        <f t="shared" si="26"/>
        <v>0.58741903403166595</v>
      </c>
      <c r="L246" s="195">
        <f t="shared" si="26"/>
        <v>0.58741903403166595</v>
      </c>
      <c r="M246" s="195">
        <f t="shared" si="26"/>
        <v>0.58741903403166595</v>
      </c>
      <c r="N246" s="195">
        <f t="shared" si="26"/>
        <v>0.58741903403166595</v>
      </c>
      <c r="O246" s="195">
        <f t="shared" si="26"/>
        <v>0.30208847695897212</v>
      </c>
      <c r="P246" s="195">
        <f t="shared" si="26"/>
        <v>0.12606452222036799</v>
      </c>
      <c r="Q246" s="195">
        <f t="shared" si="26"/>
        <v>0.58741903403166595</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449</v>
      </c>
      <c r="G247" s="89" t="s">
        <v>206</v>
      </c>
      <c r="J247" s="141">
        <f t="shared" ref="J247:Y247" si="27">J243 * (1 - J245)</f>
        <v>25602.10707081118</v>
      </c>
      <c r="K247" s="141">
        <f t="shared" si="27"/>
        <v>0</v>
      </c>
      <c r="L247" s="141">
        <f t="shared" si="27"/>
        <v>1673.0796813076654</v>
      </c>
      <c r="M247" s="141">
        <f t="shared" si="27"/>
        <v>0</v>
      </c>
      <c r="N247" s="141">
        <f t="shared" si="27"/>
        <v>5347.1591973041504</v>
      </c>
      <c r="O247" s="141">
        <f t="shared" si="27"/>
        <v>0</v>
      </c>
      <c r="P247" s="141">
        <f t="shared" si="27"/>
        <v>0</v>
      </c>
      <c r="Q247" s="141">
        <f t="shared" si="27"/>
        <v>47.243130889083311</v>
      </c>
      <c r="R247" s="141">
        <f t="shared" si="27"/>
        <v>2076.4070000000002</v>
      </c>
      <c r="S247" s="141">
        <f t="shared" si="27"/>
        <v>0</v>
      </c>
      <c r="T247" s="141">
        <f t="shared" si="27"/>
        <v>16.108000000000001</v>
      </c>
      <c r="U247" s="141">
        <f t="shared" si="27"/>
        <v>0</v>
      </c>
      <c r="V247" s="141">
        <f t="shared" si="27"/>
        <v>0</v>
      </c>
      <c r="W247" s="141">
        <f t="shared" si="27"/>
        <v>0</v>
      </c>
      <c r="X247" s="141">
        <f t="shared" si="27"/>
        <v>0</v>
      </c>
      <c r="Y247" s="141">
        <f t="shared" si="27"/>
        <v>0</v>
      </c>
      <c r="AQ247" s="3"/>
    </row>
    <row r="248" spans="5:43" x14ac:dyDescent="0.25">
      <c r="F248" s="96" t="s">
        <v>450</v>
      </c>
      <c r="G248" s="96" t="s">
        <v>206</v>
      </c>
      <c r="H248" s="91"/>
      <c r="I248" s="91"/>
      <c r="J248" s="143">
        <f t="shared" ref="J248:Y248" si="28">J244 * (1 - J246)</f>
        <v>26582.962352675739</v>
      </c>
      <c r="K248" s="143">
        <f t="shared" si="28"/>
        <v>15.506862381812395</v>
      </c>
      <c r="L248" s="143">
        <f t="shared" si="28"/>
        <v>2318.9551009093475</v>
      </c>
      <c r="M248" s="143">
        <f t="shared" si="28"/>
        <v>4.9636208640417481</v>
      </c>
      <c r="N248" s="143">
        <f t="shared" si="28"/>
        <v>24155.688524596881</v>
      </c>
      <c r="O248" s="143">
        <f t="shared" si="28"/>
        <v>12532.281984244952</v>
      </c>
      <c r="P248" s="143">
        <f t="shared" si="28"/>
        <v>40156.225394336841</v>
      </c>
      <c r="Q248" s="143">
        <f t="shared" si="28"/>
        <v>79.110621689207392</v>
      </c>
      <c r="R248" s="143">
        <f t="shared" si="28"/>
        <v>3713.4470000000006</v>
      </c>
      <c r="S248" s="143">
        <f t="shared" si="28"/>
        <v>28.257000000000001</v>
      </c>
      <c r="T248" s="143">
        <f t="shared" si="28"/>
        <v>113.25500000000001</v>
      </c>
      <c r="U248" s="143">
        <f t="shared" si="28"/>
        <v>0</v>
      </c>
      <c r="V248" s="143">
        <f t="shared" si="28"/>
        <v>93.573000000000008</v>
      </c>
      <c r="W248" s="143">
        <f t="shared" si="28"/>
        <v>0</v>
      </c>
      <c r="X248" s="143">
        <f t="shared" si="28"/>
        <v>534.005</v>
      </c>
      <c r="Y248" s="143">
        <f t="shared" si="28"/>
        <v>0</v>
      </c>
      <c r="AQ248" s="3"/>
    </row>
    <row r="249" spans="5:43" x14ac:dyDescent="0.25">
      <c r="F249" s="89" t="s">
        <v>451</v>
      </c>
      <c r="G249" s="89" t="s">
        <v>206</v>
      </c>
      <c r="J249" s="164">
        <f t="shared" ref="J249:Y249" si="29">J242 + J247 + J248</f>
        <v>2205334.3086330174</v>
      </c>
      <c r="K249" s="164">
        <f t="shared" si="29"/>
        <v>3024.6701201283286</v>
      </c>
      <c r="L249" s="164">
        <f t="shared" si="29"/>
        <v>843284.94774204772</v>
      </c>
      <c r="M249" s="164">
        <f t="shared" si="29"/>
        <v>2996.7048058884111</v>
      </c>
      <c r="N249" s="164">
        <f t="shared" si="29"/>
        <v>1058497.0242129595</v>
      </c>
      <c r="O249" s="164">
        <f t="shared" si="29"/>
        <v>197577.11425691497</v>
      </c>
      <c r="P249" s="164">
        <f t="shared" si="29"/>
        <v>1656173.2796076136</v>
      </c>
      <c r="Q249" s="164">
        <f t="shared" si="29"/>
        <v>30003.16690372517</v>
      </c>
      <c r="R249" s="164">
        <f t="shared" si="29"/>
        <v>101581.4545087218</v>
      </c>
      <c r="S249" s="164">
        <f t="shared" si="29"/>
        <v>28.257000000000001</v>
      </c>
      <c r="T249" s="164">
        <f t="shared" si="29"/>
        <v>23928.992700000006</v>
      </c>
      <c r="U249" s="164">
        <f t="shared" si="29"/>
        <v>0</v>
      </c>
      <c r="V249" s="164">
        <f t="shared" si="29"/>
        <v>3317.8217</v>
      </c>
      <c r="W249" s="164">
        <f t="shared" si="29"/>
        <v>0</v>
      </c>
      <c r="X249" s="164">
        <f t="shared" si="29"/>
        <v>309734.76939999999</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157</v>
      </c>
      <c r="I251" t="s">
        <v>153</v>
      </c>
      <c r="J251" s="101"/>
      <c r="K251" s="101"/>
      <c r="L251" s="101"/>
      <c r="M251" s="101"/>
      <c r="N251" s="101"/>
      <c r="O251" s="101"/>
      <c r="P251" s="101"/>
      <c r="Q251" s="101"/>
      <c r="R251" s="101"/>
      <c r="S251" s="101"/>
      <c r="T251" s="101"/>
      <c r="U251" s="101"/>
      <c r="V251" s="101"/>
      <c r="W251" s="101"/>
      <c r="X251" s="101"/>
      <c r="Y251" s="101"/>
      <c r="AA251" t="s">
        <v>308</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444</v>
      </c>
      <c r="G253" s="89" t="s">
        <v>206</v>
      </c>
      <c r="J253" s="141">
        <f t="shared" ref="J253:Y253" si="30">J$201</f>
        <v>3181300.0383317643</v>
      </c>
      <c r="K253" s="141">
        <f t="shared" si="30"/>
        <v>7951.9525613351861</v>
      </c>
      <c r="L253" s="141">
        <f t="shared" si="30"/>
        <v>951389.83090149553</v>
      </c>
      <c r="M253" s="141">
        <f t="shared" si="30"/>
        <v>8895.6207003617601</v>
      </c>
      <c r="N253" s="141">
        <f t="shared" si="30"/>
        <v>1121023.2407494052</v>
      </c>
      <c r="O253" s="141">
        <f t="shared" si="30"/>
        <v>221986.21590881274</v>
      </c>
      <c r="P253" s="141">
        <f t="shared" si="30"/>
        <v>2262685.4228489283</v>
      </c>
      <c r="Q253" s="141">
        <f t="shared" si="30"/>
        <v>99538.398472304776</v>
      </c>
      <c r="R253" s="141">
        <f t="shared" si="30"/>
        <v>54622.312445790958</v>
      </c>
      <c r="S253" s="141">
        <f t="shared" si="30"/>
        <v>0</v>
      </c>
      <c r="T253" s="141">
        <f t="shared" si="30"/>
        <v>25980.259299999998</v>
      </c>
      <c r="U253" s="141">
        <f t="shared" si="30"/>
        <v>0</v>
      </c>
      <c r="V253" s="141">
        <f t="shared" si="30"/>
        <v>5456.4781000000003</v>
      </c>
      <c r="W253" s="141">
        <f t="shared" si="30"/>
        <v>0</v>
      </c>
      <c r="X253" s="141">
        <f t="shared" si="30"/>
        <v>381710.65130000003</v>
      </c>
      <c r="Y253" s="141">
        <f t="shared" si="30"/>
        <v>0</v>
      </c>
      <c r="AQ253" s="3"/>
    </row>
    <row r="254" spans="5:43" x14ac:dyDescent="0.25">
      <c r="F254" s="89" t="s">
        <v>445</v>
      </c>
      <c r="G254" s="89" t="s">
        <v>206</v>
      </c>
      <c r="J254" s="141">
        <f t="shared" ref="J254:Y254" si="31">J$210</f>
        <v>61508.146726310944</v>
      </c>
      <c r="K254" s="141">
        <f t="shared" si="31"/>
        <v>0</v>
      </c>
      <c r="L254" s="141">
        <f t="shared" si="31"/>
        <v>2926.3718046408126</v>
      </c>
      <c r="M254" s="141">
        <f t="shared" si="31"/>
        <v>0</v>
      </c>
      <c r="N254" s="141">
        <f t="shared" si="31"/>
        <v>11993.223102387432</v>
      </c>
      <c r="O254" s="141">
        <f t="shared" si="31"/>
        <v>0</v>
      </c>
      <c r="P254" s="141">
        <f t="shared" si="31"/>
        <v>0</v>
      </c>
      <c r="Q254" s="141">
        <f t="shared" si="31"/>
        <v>139.29179941102402</v>
      </c>
      <c r="R254" s="141">
        <f t="shared" si="31"/>
        <v>1230.577</v>
      </c>
      <c r="S254" s="141">
        <f t="shared" si="31"/>
        <v>0</v>
      </c>
      <c r="T254" s="141">
        <f t="shared" si="31"/>
        <v>8.6150000000000002</v>
      </c>
      <c r="U254" s="141">
        <f t="shared" si="31"/>
        <v>0</v>
      </c>
      <c r="V254" s="141">
        <f t="shared" si="31"/>
        <v>0</v>
      </c>
      <c r="W254" s="141">
        <f t="shared" si="31"/>
        <v>0</v>
      </c>
      <c r="X254" s="141">
        <f t="shared" si="31"/>
        <v>0</v>
      </c>
      <c r="Y254" s="141">
        <f t="shared" si="31"/>
        <v>0</v>
      </c>
      <c r="AQ254" s="3"/>
    </row>
    <row r="255" spans="5:43" x14ac:dyDescent="0.25">
      <c r="F255" s="89" t="s">
        <v>446</v>
      </c>
      <c r="G255" s="89" t="s">
        <v>206</v>
      </c>
      <c r="J255" s="141">
        <f t="shared" ref="J255:Y255" si="32">J$219</f>
        <v>93183.244893325929</v>
      </c>
      <c r="K255" s="141">
        <f t="shared" si="32"/>
        <v>86.400026579674773</v>
      </c>
      <c r="L255" s="141">
        <f t="shared" si="32"/>
        <v>5923.7633841494298</v>
      </c>
      <c r="M255" s="141">
        <f t="shared" si="32"/>
        <v>14.576916202439337</v>
      </c>
      <c r="N255" s="141">
        <f t="shared" si="32"/>
        <v>69488.052591997577</v>
      </c>
      <c r="O255" s="141">
        <f t="shared" si="32"/>
        <v>20583.211117322378</v>
      </c>
      <c r="P255" s="141">
        <f t="shared" si="32"/>
        <v>68805.40001020761</v>
      </c>
      <c r="Q255" s="141">
        <f t="shared" si="32"/>
        <v>299.78858933193914</v>
      </c>
      <c r="R255" s="141">
        <f t="shared" si="32"/>
        <v>2195.2260000000001</v>
      </c>
      <c r="S255" s="141">
        <f t="shared" si="32"/>
        <v>18.324999999999999</v>
      </c>
      <c r="T255" s="141">
        <f t="shared" si="32"/>
        <v>68.24799999999999</v>
      </c>
      <c r="U255" s="141">
        <f t="shared" si="32"/>
        <v>0</v>
      </c>
      <c r="V255" s="141">
        <f t="shared" si="32"/>
        <v>105.008</v>
      </c>
      <c r="W255" s="141">
        <f t="shared" si="32"/>
        <v>0</v>
      </c>
      <c r="X255" s="141">
        <f t="shared" si="32"/>
        <v>839.64599999999996</v>
      </c>
      <c r="Y255" s="141">
        <f t="shared" si="32"/>
        <v>0</v>
      </c>
      <c r="AQ255" s="3"/>
    </row>
    <row r="256" spans="5:43" x14ac:dyDescent="0.25">
      <c r="F256" s="89" t="s">
        <v>447</v>
      </c>
      <c r="G256" s="89" t="s">
        <v>166</v>
      </c>
      <c r="J256" s="195">
        <f t="shared" ref="J256:Y256" si="33">IF(J$39, J$45, J$34)</f>
        <v>0.40611012535926394</v>
      </c>
      <c r="K256" s="195">
        <f t="shared" si="33"/>
        <v>0.40611012535926394</v>
      </c>
      <c r="L256" s="195">
        <f t="shared" si="33"/>
        <v>0.40611012535926394</v>
      </c>
      <c r="M256" s="195">
        <f t="shared" si="33"/>
        <v>0.40611012535926394</v>
      </c>
      <c r="N256" s="195">
        <f t="shared" si="33"/>
        <v>0.40611012535926394</v>
      </c>
      <c r="O256" s="195">
        <f t="shared" si="33"/>
        <v>0</v>
      </c>
      <c r="P256" s="195">
        <f t="shared" si="33"/>
        <v>0</v>
      </c>
      <c r="Q256" s="195">
        <f t="shared" si="33"/>
        <v>0.40611012535926394</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448</v>
      </c>
      <c r="G257" s="89" t="s">
        <v>166</v>
      </c>
      <c r="J257" s="195">
        <f t="shared" ref="J257:Y257" si="34">IF(J$39, J$45, J$35)</f>
        <v>0.58741903403166595</v>
      </c>
      <c r="K257" s="195">
        <f t="shared" si="34"/>
        <v>0.58741903403166595</v>
      </c>
      <c r="L257" s="195">
        <f t="shared" si="34"/>
        <v>0.58741903403166595</v>
      </c>
      <c r="M257" s="195">
        <f t="shared" si="34"/>
        <v>0.58741903403166595</v>
      </c>
      <c r="N257" s="195">
        <f t="shared" si="34"/>
        <v>0.58741903403166595</v>
      </c>
      <c r="O257" s="195">
        <f t="shared" si="34"/>
        <v>0.30208847695897212</v>
      </c>
      <c r="P257" s="195">
        <f t="shared" si="34"/>
        <v>0.12606452222036799</v>
      </c>
      <c r="Q257" s="195">
        <f t="shared" si="34"/>
        <v>0.58741903403166595</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449</v>
      </c>
      <c r="G258" s="89" t="s">
        <v>206</v>
      </c>
      <c r="J258" s="141">
        <f t="shared" ref="J258:Y258" si="35">J254 * (1 - J256)</f>
        <v>36529.065548672806</v>
      </c>
      <c r="K258" s="141">
        <f t="shared" si="35"/>
        <v>0</v>
      </c>
      <c r="L258" s="141">
        <f t="shared" si="35"/>
        <v>1737.9425842103167</v>
      </c>
      <c r="M258" s="141">
        <f t="shared" si="35"/>
        <v>0</v>
      </c>
      <c r="N258" s="141">
        <f t="shared" si="35"/>
        <v>7122.6537648152516</v>
      </c>
      <c r="O258" s="141">
        <f t="shared" si="35"/>
        <v>0</v>
      </c>
      <c r="P258" s="141">
        <f t="shared" si="35"/>
        <v>0</v>
      </c>
      <c r="Q258" s="141">
        <f t="shared" si="35"/>
        <v>82.723989290695599</v>
      </c>
      <c r="R258" s="141">
        <f t="shared" si="35"/>
        <v>1230.577</v>
      </c>
      <c r="S258" s="141">
        <f t="shared" si="35"/>
        <v>0</v>
      </c>
      <c r="T258" s="141">
        <f t="shared" si="35"/>
        <v>8.6150000000000002</v>
      </c>
      <c r="U258" s="141">
        <f t="shared" si="35"/>
        <v>0</v>
      </c>
      <c r="V258" s="141">
        <f t="shared" si="35"/>
        <v>0</v>
      </c>
      <c r="W258" s="141">
        <f t="shared" si="35"/>
        <v>0</v>
      </c>
      <c r="X258" s="141">
        <f t="shared" si="35"/>
        <v>0</v>
      </c>
      <c r="Y258" s="141">
        <f t="shared" si="35"/>
        <v>0</v>
      </c>
      <c r="AQ258" s="3"/>
    </row>
    <row r="259" spans="5:43" x14ac:dyDescent="0.25">
      <c r="F259" s="96" t="s">
        <v>450</v>
      </c>
      <c r="G259" s="96" t="s">
        <v>206</v>
      </c>
      <c r="H259" s="91"/>
      <c r="I259" s="91"/>
      <c r="J259" s="143">
        <f t="shared" ref="J259:Y259" si="36">J255 * (1 - J257)</f>
        <v>38445.633190152243</v>
      </c>
      <c r="K259" s="143">
        <f t="shared" si="36"/>
        <v>35.647006425931956</v>
      </c>
      <c r="L259" s="143">
        <f t="shared" si="36"/>
        <v>2444.0320192002191</v>
      </c>
      <c r="M259" s="143">
        <f t="shared" si="36"/>
        <v>6.0141581676418809</v>
      </c>
      <c r="N259" s="143">
        <f t="shared" si="36"/>
        <v>28669.447861664758</v>
      </c>
      <c r="O259" s="143">
        <f t="shared" si="36"/>
        <v>14365.260219965478</v>
      </c>
      <c r="P259" s="143">
        <f t="shared" si="36"/>
        <v>60131.480131739481</v>
      </c>
      <c r="Q259" s="143">
        <f t="shared" si="36"/>
        <v>123.68706577285565</v>
      </c>
      <c r="R259" s="143">
        <f t="shared" si="36"/>
        <v>2195.2260000000001</v>
      </c>
      <c r="S259" s="143">
        <f t="shared" si="36"/>
        <v>18.324999999999999</v>
      </c>
      <c r="T259" s="143">
        <f t="shared" si="36"/>
        <v>68.24799999999999</v>
      </c>
      <c r="U259" s="143">
        <f t="shared" si="36"/>
        <v>0</v>
      </c>
      <c r="V259" s="143">
        <f t="shared" si="36"/>
        <v>105.008</v>
      </c>
      <c r="W259" s="143">
        <f t="shared" si="36"/>
        <v>0</v>
      </c>
      <c r="X259" s="143">
        <f t="shared" si="36"/>
        <v>839.64599999999996</v>
      </c>
      <c r="Y259" s="143">
        <f t="shared" si="36"/>
        <v>0</v>
      </c>
      <c r="AQ259" s="3"/>
    </row>
    <row r="260" spans="5:43" x14ac:dyDescent="0.25">
      <c r="F260" s="89" t="s">
        <v>451</v>
      </c>
      <c r="G260" s="89" t="s">
        <v>206</v>
      </c>
      <c r="J260" s="164">
        <f t="shared" ref="J260:Y260" si="37">J253 + J258 + J259</f>
        <v>3256274.7370705893</v>
      </c>
      <c r="K260" s="164">
        <f t="shared" si="37"/>
        <v>7987.5995677611181</v>
      </c>
      <c r="L260" s="164">
        <f t="shared" si="37"/>
        <v>955571.80550490611</v>
      </c>
      <c r="M260" s="164">
        <f t="shared" si="37"/>
        <v>8901.6348585294018</v>
      </c>
      <c r="N260" s="164">
        <f t="shared" si="37"/>
        <v>1156815.3423758852</v>
      </c>
      <c r="O260" s="164">
        <f t="shared" si="37"/>
        <v>236351.47612877822</v>
      </c>
      <c r="P260" s="164">
        <f t="shared" si="37"/>
        <v>2322816.9029806675</v>
      </c>
      <c r="Q260" s="164">
        <f t="shared" si="37"/>
        <v>99744.809527368328</v>
      </c>
      <c r="R260" s="164">
        <f t="shared" si="37"/>
        <v>58048.115445790958</v>
      </c>
      <c r="S260" s="164">
        <f t="shared" si="37"/>
        <v>18.324999999999999</v>
      </c>
      <c r="T260" s="164">
        <f t="shared" si="37"/>
        <v>26057.122299999999</v>
      </c>
      <c r="U260" s="164">
        <f t="shared" si="37"/>
        <v>0</v>
      </c>
      <c r="V260" s="164">
        <f t="shared" si="37"/>
        <v>5561.4861000000001</v>
      </c>
      <c r="W260" s="164">
        <f t="shared" si="37"/>
        <v>0</v>
      </c>
      <c r="X260" s="164">
        <f t="shared" si="37"/>
        <v>382550.29730000003</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452</v>
      </c>
      <c r="I262" t="s">
        <v>153</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451</v>
      </c>
      <c r="G264" s="89" t="s">
        <v>206</v>
      </c>
      <c r="J264" s="141">
        <f t="shared" ref="J264:Y264" si="38">J260 + J249 + J238</f>
        <v>6375063.2192454105</v>
      </c>
      <c r="K264" s="141">
        <f t="shared" si="38"/>
        <v>11281.072963271918</v>
      </c>
      <c r="L264" s="141">
        <f t="shared" si="38"/>
        <v>2033669.2574327216</v>
      </c>
      <c r="M264" s="141">
        <f t="shared" si="38"/>
        <v>12421.978756240096</v>
      </c>
      <c r="N264" s="141">
        <f t="shared" si="38"/>
        <v>2511236.8846527888</v>
      </c>
      <c r="O264" s="141">
        <f t="shared" si="38"/>
        <v>489950.85727785068</v>
      </c>
      <c r="P264" s="141">
        <f t="shared" si="38"/>
        <v>4478697.9483462293</v>
      </c>
      <c r="Q264" s="141">
        <f t="shared" si="38"/>
        <v>137136.21043128523</v>
      </c>
      <c r="R264" s="141">
        <f t="shared" si="38"/>
        <v>180476.89823288727</v>
      </c>
      <c r="S264" s="141">
        <f t="shared" si="38"/>
        <v>54.613</v>
      </c>
      <c r="T264" s="141">
        <f t="shared" si="38"/>
        <v>55910.189800000007</v>
      </c>
      <c r="U264" s="141">
        <f t="shared" si="38"/>
        <v>0</v>
      </c>
      <c r="V264" s="141">
        <f t="shared" si="38"/>
        <v>9922.2096999999994</v>
      </c>
      <c r="W264" s="141">
        <f t="shared" si="38"/>
        <v>0</v>
      </c>
      <c r="X264" s="141">
        <f t="shared" si="38"/>
        <v>808450.40890000004</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211</v>
      </c>
      <c r="I266" t="s">
        <v>153</v>
      </c>
      <c r="J266" s="101"/>
      <c r="K266" s="101"/>
      <c r="L266" s="101"/>
      <c r="M266" s="101"/>
      <c r="N266" s="101"/>
      <c r="O266" s="101"/>
      <c r="P266" s="101"/>
      <c r="Q266" s="101"/>
      <c r="R266" s="101"/>
      <c r="S266" s="101"/>
      <c r="T266" s="101"/>
      <c r="U266" s="101"/>
      <c r="V266" s="101"/>
      <c r="W266" s="101"/>
      <c r="X266" s="101"/>
      <c r="Y266" s="101"/>
      <c r="AA266" t="s">
        <v>308</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444</v>
      </c>
      <c r="G268" s="89" t="s">
        <v>211</v>
      </c>
      <c r="J268" s="141">
        <f t="shared" ref="J268:Y268" si="39">J202</f>
        <v>2156414.718697391</v>
      </c>
      <c r="K268" s="141">
        <f t="shared" si="39"/>
        <v>4043.2318793394506</v>
      </c>
      <c r="L268" s="141">
        <f t="shared" si="39"/>
        <v>142669.49496676389</v>
      </c>
      <c r="M268" s="141">
        <f t="shared" si="39"/>
        <v>1571.1666666666665</v>
      </c>
      <c r="N268" s="141">
        <f t="shared" si="39"/>
        <v>15024.344632808288</v>
      </c>
      <c r="O268" s="141">
        <f t="shared" si="39"/>
        <v>680.98027884009957</v>
      </c>
      <c r="P268" s="141">
        <f t="shared" si="39"/>
        <v>1972.1992090396534</v>
      </c>
      <c r="Q268" s="141">
        <f t="shared" si="39"/>
        <v>623.86666666666667</v>
      </c>
      <c r="R268" s="141">
        <f t="shared" si="39"/>
        <v>32972.366465964653</v>
      </c>
      <c r="S268" s="141">
        <f t="shared" si="39"/>
        <v>0</v>
      </c>
      <c r="T268" s="141">
        <f t="shared" si="39"/>
        <v>717</v>
      </c>
      <c r="U268" s="141">
        <f t="shared" si="39"/>
        <v>0</v>
      </c>
      <c r="V268" s="141">
        <f t="shared" si="39"/>
        <v>36</v>
      </c>
      <c r="W268" s="141">
        <f t="shared" si="39"/>
        <v>0</v>
      </c>
      <c r="X268" s="141">
        <f t="shared" si="39"/>
        <v>286</v>
      </c>
      <c r="Y268" s="141">
        <f t="shared" si="39"/>
        <v>0</v>
      </c>
      <c r="AQ268" s="3"/>
    </row>
    <row r="269" spans="5:43" x14ac:dyDescent="0.25">
      <c r="F269" s="89" t="s">
        <v>445</v>
      </c>
      <c r="G269" s="89" t="s">
        <v>211</v>
      </c>
      <c r="J269" s="141">
        <f t="shared" ref="J269:Y269" si="40">J211</f>
        <v>44241.292567649827</v>
      </c>
      <c r="K269" s="141">
        <f t="shared" si="40"/>
        <v>0</v>
      </c>
      <c r="L269" s="141">
        <f t="shared" si="40"/>
        <v>626.5770291477329</v>
      </c>
      <c r="M269" s="141">
        <f t="shared" si="40"/>
        <v>0</v>
      </c>
      <c r="N269" s="141">
        <f t="shared" si="40"/>
        <v>174.39864689980519</v>
      </c>
      <c r="O269" s="141">
        <f t="shared" si="40"/>
        <v>0</v>
      </c>
      <c r="P269" s="141">
        <f t="shared" si="40"/>
        <v>0</v>
      </c>
      <c r="Q269" s="141">
        <f t="shared" si="40"/>
        <v>149.67048054834018</v>
      </c>
      <c r="R269" s="141">
        <f t="shared" si="40"/>
        <v>273.96666666666664</v>
      </c>
      <c r="S269" s="141">
        <f t="shared" si="40"/>
        <v>0</v>
      </c>
      <c r="T269" s="141">
        <f t="shared" si="40"/>
        <v>2</v>
      </c>
      <c r="U269" s="141">
        <f t="shared" si="40"/>
        <v>0</v>
      </c>
      <c r="V269" s="141">
        <f t="shared" si="40"/>
        <v>0</v>
      </c>
      <c r="W269" s="141">
        <f t="shared" si="40"/>
        <v>0</v>
      </c>
      <c r="X269" s="141">
        <f t="shared" si="40"/>
        <v>0</v>
      </c>
      <c r="Y269" s="141">
        <f t="shared" si="40"/>
        <v>0</v>
      </c>
      <c r="AQ269" s="3"/>
    </row>
    <row r="270" spans="5:43" x14ac:dyDescent="0.25">
      <c r="F270" s="89" t="s">
        <v>446</v>
      </c>
      <c r="G270" s="89" t="s">
        <v>211</v>
      </c>
      <c r="J270" s="141">
        <f t="shared" ref="J270:Y270" si="41">J220</f>
        <v>69159.345207045189</v>
      </c>
      <c r="K270" s="141">
        <f t="shared" si="41"/>
        <v>145.76603322968793</v>
      </c>
      <c r="L270" s="141">
        <f t="shared" si="41"/>
        <v>1320.1370211843459</v>
      </c>
      <c r="M270" s="141">
        <f t="shared" si="41"/>
        <v>1.301482439550784</v>
      </c>
      <c r="N270" s="141">
        <f t="shared" si="41"/>
        <v>672.86642124775562</v>
      </c>
      <c r="O270" s="141">
        <f t="shared" si="41"/>
        <v>76.787463933496269</v>
      </c>
      <c r="P270" s="141">
        <f t="shared" si="41"/>
        <v>50.757815142480595</v>
      </c>
      <c r="Q270" s="141">
        <f t="shared" si="41"/>
        <v>243.37721619599679</v>
      </c>
      <c r="R270" s="141">
        <f t="shared" si="41"/>
        <v>541.53333333333342</v>
      </c>
      <c r="S270" s="141">
        <f t="shared" si="41"/>
        <v>2</v>
      </c>
      <c r="T270" s="141">
        <f t="shared" si="41"/>
        <v>11</v>
      </c>
      <c r="U270" s="141">
        <f t="shared" si="41"/>
        <v>0</v>
      </c>
      <c r="V270" s="141">
        <f t="shared" si="41"/>
        <v>3</v>
      </c>
      <c r="W270" s="141">
        <f t="shared" si="41"/>
        <v>0</v>
      </c>
      <c r="X270" s="141">
        <f t="shared" si="41"/>
        <v>4</v>
      </c>
      <c r="Y270" s="141">
        <f t="shared" si="41"/>
        <v>0</v>
      </c>
      <c r="AQ270" s="3"/>
    </row>
    <row r="271" spans="5:43" x14ac:dyDescent="0.25">
      <c r="F271" s="89" t="s">
        <v>447</v>
      </c>
      <c r="G271" s="89" t="s">
        <v>166</v>
      </c>
      <c r="J271" s="195">
        <f t="shared" ref="J271:Y271" si="42">IF(J$40, J$46, J$34)</f>
        <v>0.40611012535926394</v>
      </c>
      <c r="K271" s="195">
        <f t="shared" si="42"/>
        <v>0.40611012535926394</v>
      </c>
      <c r="L271" s="195">
        <f t="shared" si="42"/>
        <v>0.40611012535926394</v>
      </c>
      <c r="M271" s="195">
        <f t="shared" si="42"/>
        <v>0.40611012535926394</v>
      </c>
      <c r="N271" s="195">
        <f t="shared" si="42"/>
        <v>0.40611012535926394</v>
      </c>
      <c r="O271" s="195">
        <f t="shared" si="42"/>
        <v>0</v>
      </c>
      <c r="P271" s="195">
        <f t="shared" si="42"/>
        <v>0</v>
      </c>
      <c r="Q271" s="195">
        <f t="shared" si="42"/>
        <v>0.40611012535926394</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448</v>
      </c>
      <c r="G272" s="89" t="s">
        <v>166</v>
      </c>
      <c r="J272" s="195">
        <f t="shared" ref="J272:Y272" si="43">IF(J$40, J$46, J$35)</f>
        <v>0.58741903403166595</v>
      </c>
      <c r="K272" s="195">
        <f t="shared" si="43"/>
        <v>0.58741903403166595</v>
      </c>
      <c r="L272" s="195">
        <f t="shared" si="43"/>
        <v>0.58741903403166595</v>
      </c>
      <c r="M272" s="195">
        <f t="shared" si="43"/>
        <v>0.58741903403166595</v>
      </c>
      <c r="N272" s="195">
        <f t="shared" si="43"/>
        <v>0.58741903403166595</v>
      </c>
      <c r="O272" s="195">
        <f t="shared" si="43"/>
        <v>0.30208847695897212</v>
      </c>
      <c r="P272" s="195">
        <f t="shared" si="43"/>
        <v>0.12606452222036799</v>
      </c>
      <c r="Q272" s="195">
        <f t="shared" si="43"/>
        <v>0.58741903403166595</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449</v>
      </c>
      <c r="G273" s="89" t="s">
        <v>211</v>
      </c>
      <c r="J273" s="141">
        <f t="shared" ref="J273:Y273" si="44">J269 * (1 - J271)</f>
        <v>26274.455696945683</v>
      </c>
      <c r="K273" s="141">
        <f t="shared" si="44"/>
        <v>0</v>
      </c>
      <c r="L273" s="141">
        <f t="shared" si="44"/>
        <v>372.11775329331192</v>
      </c>
      <c r="M273" s="141">
        <f t="shared" si="44"/>
        <v>0</v>
      </c>
      <c r="N273" s="141">
        <f t="shared" si="44"/>
        <v>103.57359054483929</v>
      </c>
      <c r="O273" s="141">
        <f t="shared" si="44"/>
        <v>0</v>
      </c>
      <c r="P273" s="141">
        <f t="shared" si="44"/>
        <v>0</v>
      </c>
      <c r="Q273" s="141">
        <f t="shared" si="44"/>
        <v>88.887782930272479</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450</v>
      </c>
      <c r="G274" s="96" t="s">
        <v>211</v>
      </c>
      <c r="H274" s="91"/>
      <c r="I274" s="91"/>
      <c r="J274" s="143">
        <f t="shared" ref="J274:Y274" si="45">J270 * (1 - J272)</f>
        <v>28533.829451260179</v>
      </c>
      <c r="K274" s="143">
        <f t="shared" si="45"/>
        <v>60.140290795276925</v>
      </c>
      <c r="L274" s="143">
        <f t="shared" si="45"/>
        <v>544.66340741079648</v>
      </c>
      <c r="M274" s="143">
        <f t="shared" si="45"/>
        <v>0.53696688210068644</v>
      </c>
      <c r="N274" s="143">
        <f t="shared" si="45"/>
        <v>277.61187804605498</v>
      </c>
      <c r="O274" s="143">
        <f t="shared" si="45"/>
        <v>53.590855904284382</v>
      </c>
      <c r="P274" s="143">
        <f t="shared" si="45"/>
        <v>44.359055427594015</v>
      </c>
      <c r="Q274" s="143">
        <f t="shared" si="45"/>
        <v>100.41280695282843</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451</v>
      </c>
      <c r="G275" s="89" t="s">
        <v>211</v>
      </c>
      <c r="J275" s="164">
        <f t="shared" ref="J275:Y275" si="46">J268 + J273 + J274</f>
        <v>2211223.0038455967</v>
      </c>
      <c r="K275" s="164">
        <f t="shared" si="46"/>
        <v>4103.3721701347276</v>
      </c>
      <c r="L275" s="164">
        <f t="shared" si="46"/>
        <v>143586.27612746798</v>
      </c>
      <c r="M275" s="164">
        <f t="shared" si="46"/>
        <v>1571.7036335487671</v>
      </c>
      <c r="N275" s="164">
        <f t="shared" si="46"/>
        <v>15405.530101399183</v>
      </c>
      <c r="O275" s="164">
        <f t="shared" si="46"/>
        <v>734.57113474438393</v>
      </c>
      <c r="P275" s="164">
        <f t="shared" si="46"/>
        <v>2016.5582644672475</v>
      </c>
      <c r="Q275" s="164">
        <f t="shared" si="46"/>
        <v>813.16725654976756</v>
      </c>
      <c r="R275" s="164">
        <f t="shared" si="46"/>
        <v>32972.366465964653</v>
      </c>
      <c r="S275" s="164">
        <f t="shared" si="46"/>
        <v>0</v>
      </c>
      <c r="T275" s="164">
        <f t="shared" si="46"/>
        <v>717</v>
      </c>
      <c r="U275" s="164">
        <f t="shared" si="46"/>
        <v>0</v>
      </c>
      <c r="V275" s="164">
        <f t="shared" si="46"/>
        <v>36</v>
      </c>
      <c r="W275" s="164">
        <f t="shared" si="46"/>
        <v>0</v>
      </c>
      <c r="X275" s="164">
        <f t="shared" si="46"/>
        <v>286</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249</v>
      </c>
      <c r="I277" t="s">
        <v>153</v>
      </c>
      <c r="J277" s="101"/>
      <c r="K277" s="101"/>
      <c r="L277" s="101"/>
      <c r="M277" s="101"/>
      <c r="N277" s="101"/>
      <c r="O277" s="101"/>
      <c r="P277" s="101"/>
      <c r="Q277" s="101"/>
      <c r="R277" s="101"/>
      <c r="S277" s="101"/>
      <c r="T277" s="101"/>
      <c r="U277" s="101"/>
      <c r="V277" s="101"/>
      <c r="W277" s="101"/>
      <c r="X277" s="101"/>
      <c r="Y277" s="101"/>
      <c r="AA277" t="s">
        <v>308</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444</v>
      </c>
      <c r="G279" s="89" t="s">
        <v>250</v>
      </c>
      <c r="J279" s="141">
        <f t="shared" ref="J279:Y279" si="47">J203</f>
        <v>0</v>
      </c>
      <c r="K279" s="141">
        <f t="shared" si="47"/>
        <v>0</v>
      </c>
      <c r="L279" s="141">
        <f t="shared" si="47"/>
        <v>0</v>
      </c>
      <c r="M279" s="141">
        <f t="shared" si="47"/>
        <v>0</v>
      </c>
      <c r="N279" s="141">
        <f t="shared" si="47"/>
        <v>1758945</v>
      </c>
      <c r="O279" s="141">
        <f t="shared" si="47"/>
        <v>279225</v>
      </c>
      <c r="P279" s="141">
        <f t="shared" si="47"/>
        <v>2092054</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445</v>
      </c>
      <c r="G280" s="89" t="s">
        <v>250</v>
      </c>
      <c r="J280" s="141">
        <f t="shared" ref="J280:Y280" si="48">J212</f>
        <v>0</v>
      </c>
      <c r="K280" s="141">
        <f t="shared" si="48"/>
        <v>0</v>
      </c>
      <c r="L280" s="141">
        <f t="shared" si="48"/>
        <v>0</v>
      </c>
      <c r="M280" s="141">
        <f t="shared" si="48"/>
        <v>0</v>
      </c>
      <c r="N280" s="141">
        <f t="shared" si="48"/>
        <v>21056</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446</v>
      </c>
      <c r="G281" s="89" t="s">
        <v>250</v>
      </c>
      <c r="J281" s="141">
        <f t="shared" ref="J281:Y281" si="49">J221</f>
        <v>0</v>
      </c>
      <c r="K281" s="141">
        <f t="shared" si="49"/>
        <v>0</v>
      </c>
      <c r="L281" s="141">
        <f t="shared" si="49"/>
        <v>0</v>
      </c>
      <c r="M281" s="141">
        <f t="shared" si="49"/>
        <v>0</v>
      </c>
      <c r="N281" s="141">
        <f t="shared" si="49"/>
        <v>150748</v>
      </c>
      <c r="O281" s="141">
        <f t="shared" si="49"/>
        <v>36431</v>
      </c>
      <c r="P281" s="141">
        <f t="shared" si="49"/>
        <v>71650</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447</v>
      </c>
      <c r="G282" s="89" t="s">
        <v>166</v>
      </c>
      <c r="J282" s="195">
        <f t="shared" ref="J282:Y282" si="50">IF(J$41, J$47, J$34)</f>
        <v>0.40611012535926394</v>
      </c>
      <c r="K282" s="195">
        <f t="shared" si="50"/>
        <v>0.40611012535926394</v>
      </c>
      <c r="L282" s="195">
        <f t="shared" si="50"/>
        <v>0.40611012535926394</v>
      </c>
      <c r="M282" s="195">
        <f t="shared" si="50"/>
        <v>0.40611012535926394</v>
      </c>
      <c r="N282" s="195">
        <f t="shared" si="50"/>
        <v>0.40611012535926394</v>
      </c>
      <c r="O282" s="195">
        <f t="shared" si="50"/>
        <v>0</v>
      </c>
      <c r="P282" s="195">
        <f t="shared" si="50"/>
        <v>0</v>
      </c>
      <c r="Q282" s="195">
        <f t="shared" si="50"/>
        <v>0.40611012535926394</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448</v>
      </c>
      <c r="G283" s="89" t="s">
        <v>166</v>
      </c>
      <c r="J283" s="195">
        <f t="shared" ref="J283:Y283" si="51">IF(J$41, J$47, J$35)</f>
        <v>0.58741903403166595</v>
      </c>
      <c r="K283" s="195">
        <f t="shared" si="51"/>
        <v>0.58741903403166595</v>
      </c>
      <c r="L283" s="195">
        <f t="shared" si="51"/>
        <v>0.58741903403166595</v>
      </c>
      <c r="M283" s="195">
        <f t="shared" si="51"/>
        <v>0.58741903403166595</v>
      </c>
      <c r="N283" s="195">
        <f t="shared" si="51"/>
        <v>0.58741903403166595</v>
      </c>
      <c r="O283" s="195">
        <f t="shared" si="51"/>
        <v>0.30208847695897212</v>
      </c>
      <c r="P283" s="195">
        <f t="shared" si="51"/>
        <v>0.12606452222036799</v>
      </c>
      <c r="Q283" s="195">
        <f t="shared" si="51"/>
        <v>0.58741903403166595</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449</v>
      </c>
      <c r="G284" s="89" t="s">
        <v>250</v>
      </c>
      <c r="J284" s="141">
        <f t="shared" ref="J284:Y284" si="52">J280 * (1 - J282)</f>
        <v>0</v>
      </c>
      <c r="K284" s="141">
        <f t="shared" si="52"/>
        <v>0</v>
      </c>
      <c r="L284" s="141">
        <f t="shared" si="52"/>
        <v>0</v>
      </c>
      <c r="M284" s="141">
        <f t="shared" si="52"/>
        <v>0</v>
      </c>
      <c r="N284" s="141">
        <f t="shared" si="52"/>
        <v>12504.945200435339</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450</v>
      </c>
      <c r="G285" s="96" t="s">
        <v>250</v>
      </c>
      <c r="H285" s="91"/>
      <c r="I285" s="91"/>
      <c r="J285" s="143">
        <f t="shared" ref="J285:Y285" si="53">J281 * (1 - J283)</f>
        <v>0</v>
      </c>
      <c r="K285" s="143">
        <f t="shared" si="53"/>
        <v>0</v>
      </c>
      <c r="L285" s="143">
        <f t="shared" si="53"/>
        <v>0</v>
      </c>
      <c r="M285" s="143">
        <f t="shared" si="53"/>
        <v>0</v>
      </c>
      <c r="N285" s="143">
        <f t="shared" si="53"/>
        <v>62195.755457794417</v>
      </c>
      <c r="O285" s="143">
        <f t="shared" si="53"/>
        <v>25425.614695907687</v>
      </c>
      <c r="P285" s="143">
        <f t="shared" si="53"/>
        <v>62617.47698291063</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451</v>
      </c>
      <c r="G286" s="89" t="s">
        <v>250</v>
      </c>
      <c r="J286" s="164">
        <f t="shared" ref="J286:Y286" si="54">J279 + J284 + J285</f>
        <v>0</v>
      </c>
      <c r="K286" s="164">
        <f t="shared" si="54"/>
        <v>0</v>
      </c>
      <c r="L286" s="164">
        <f t="shared" si="54"/>
        <v>0</v>
      </c>
      <c r="M286" s="164">
        <f t="shared" si="54"/>
        <v>0</v>
      </c>
      <c r="N286" s="164">
        <f t="shared" si="54"/>
        <v>1833645.7006582299</v>
      </c>
      <c r="O286" s="164">
        <f t="shared" si="54"/>
        <v>304650.61469590769</v>
      </c>
      <c r="P286" s="164">
        <f t="shared" si="54"/>
        <v>2154671.4769829107</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251</v>
      </c>
      <c r="I288" t="s">
        <v>153</v>
      </c>
      <c r="J288" s="101"/>
      <c r="K288" s="101"/>
      <c r="L288" s="101"/>
      <c r="M288" s="101"/>
      <c r="N288" s="101"/>
      <c r="O288" s="101"/>
      <c r="P288" s="101"/>
      <c r="Q288" s="101"/>
      <c r="R288" s="101"/>
      <c r="S288" s="101"/>
      <c r="T288" s="101"/>
      <c r="U288" s="101"/>
      <c r="V288" s="101"/>
      <c r="W288" s="101"/>
      <c r="X288" s="101"/>
      <c r="Y288" s="101"/>
      <c r="AA288" t="s">
        <v>308</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444</v>
      </c>
      <c r="G290" s="89" t="s">
        <v>250</v>
      </c>
      <c r="J290" s="141">
        <f t="shared" ref="J290:Y290" si="55">J204</f>
        <v>0</v>
      </c>
      <c r="K290" s="141">
        <f t="shared" si="55"/>
        <v>0</v>
      </c>
      <c r="L290" s="141">
        <f t="shared" si="55"/>
        <v>0</v>
      </c>
      <c r="M290" s="141">
        <f t="shared" si="55"/>
        <v>0</v>
      </c>
      <c r="N290" s="141">
        <f t="shared" si="55"/>
        <v>35606.630136986299</v>
      </c>
      <c r="O290" s="141">
        <f t="shared" si="55"/>
        <v>1518.6876712328767</v>
      </c>
      <c r="P290" s="141">
        <f t="shared" si="55"/>
        <v>24517.490410958904</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445</v>
      </c>
      <c r="G291" s="89" t="s">
        <v>250</v>
      </c>
      <c r="J291" s="141">
        <f t="shared" ref="J291:Y291" si="56">J213</f>
        <v>0</v>
      </c>
      <c r="K291" s="141">
        <f t="shared" si="56"/>
        <v>0</v>
      </c>
      <c r="L291" s="141">
        <f t="shared" si="56"/>
        <v>0</v>
      </c>
      <c r="M291" s="141">
        <f t="shared" si="56"/>
        <v>0</v>
      </c>
      <c r="N291" s="141">
        <f t="shared" si="56"/>
        <v>60.975342465753428</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446</v>
      </c>
      <c r="G292" s="89" t="s">
        <v>250</v>
      </c>
      <c r="J292" s="141">
        <f t="shared" ref="J292:Y292" si="57">J222</f>
        <v>0</v>
      </c>
      <c r="K292" s="141">
        <f t="shared" si="57"/>
        <v>0</v>
      </c>
      <c r="L292" s="141">
        <f t="shared" si="57"/>
        <v>0</v>
      </c>
      <c r="M292" s="141">
        <f t="shared" si="57"/>
        <v>0</v>
      </c>
      <c r="N292" s="141">
        <f t="shared" si="57"/>
        <v>21.443835616438356</v>
      </c>
      <c r="O292" s="141">
        <f t="shared" si="57"/>
        <v>123.18082191780822</v>
      </c>
      <c r="P292" s="141">
        <f t="shared" si="57"/>
        <v>55.715068493150682</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447</v>
      </c>
      <c r="G293" s="89" t="s">
        <v>166</v>
      </c>
      <c r="J293" s="195">
        <f t="shared" ref="J293:Y293" si="58">IF(J$42, J$48, J$34)</f>
        <v>0.40611012535926394</v>
      </c>
      <c r="K293" s="195">
        <f t="shared" si="58"/>
        <v>0.40611012535926394</v>
      </c>
      <c r="L293" s="195">
        <f t="shared" si="58"/>
        <v>0.40611012535926394</v>
      </c>
      <c r="M293" s="195">
        <f t="shared" si="58"/>
        <v>0.40611012535926394</v>
      </c>
      <c r="N293" s="195">
        <f t="shared" si="58"/>
        <v>0.40611012535926394</v>
      </c>
      <c r="O293" s="195">
        <f t="shared" si="58"/>
        <v>0</v>
      </c>
      <c r="P293" s="195">
        <f t="shared" si="58"/>
        <v>0</v>
      </c>
      <c r="Q293" s="195">
        <f t="shared" si="58"/>
        <v>0.40611012535926394</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448</v>
      </c>
      <c r="G294" s="89" t="s">
        <v>166</v>
      </c>
      <c r="J294" s="195">
        <f t="shared" ref="J294:Y294" si="59">IF(J$42, J$48, J$35)</f>
        <v>0.58741903403166595</v>
      </c>
      <c r="K294" s="195">
        <f t="shared" si="59"/>
        <v>0.58741903403166595</v>
      </c>
      <c r="L294" s="195">
        <f t="shared" si="59"/>
        <v>0.58741903403166595</v>
      </c>
      <c r="M294" s="195">
        <f t="shared" si="59"/>
        <v>0.58741903403166595</v>
      </c>
      <c r="N294" s="195">
        <f t="shared" si="59"/>
        <v>0.58741903403166595</v>
      </c>
      <c r="O294" s="195">
        <f t="shared" si="59"/>
        <v>0.30208847695897212</v>
      </c>
      <c r="P294" s="195">
        <f t="shared" si="59"/>
        <v>0.12606452222036799</v>
      </c>
      <c r="Q294" s="195">
        <f t="shared" si="59"/>
        <v>0.58741903403166595</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449</v>
      </c>
      <c r="G295" s="89" t="s">
        <v>250</v>
      </c>
      <c r="J295" s="141">
        <f t="shared" ref="J295:Y295" si="60">J291 * (1 - J293)</f>
        <v>0</v>
      </c>
      <c r="K295" s="141">
        <f t="shared" si="60"/>
        <v>0</v>
      </c>
      <c r="L295" s="141">
        <f t="shared" si="60"/>
        <v>0</v>
      </c>
      <c r="M295" s="141">
        <f t="shared" si="60"/>
        <v>0</v>
      </c>
      <c r="N295" s="141">
        <f t="shared" si="60"/>
        <v>36.212638493162252</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450</v>
      </c>
      <c r="G296" s="96" t="s">
        <v>250</v>
      </c>
      <c r="H296" s="91"/>
      <c r="I296" s="91"/>
      <c r="J296" s="143">
        <f t="shared" ref="J296:Y296" si="61">J292 * (1 - J294)</f>
        <v>0</v>
      </c>
      <c r="K296" s="143">
        <f t="shared" si="61"/>
        <v>0</v>
      </c>
      <c r="L296" s="143">
        <f t="shared" si="61"/>
        <v>0</v>
      </c>
      <c r="M296" s="143">
        <f t="shared" si="61"/>
        <v>0</v>
      </c>
      <c r="N296" s="143">
        <f t="shared" si="61"/>
        <v>8.8473184126963034</v>
      </c>
      <c r="O296" s="143">
        <f t="shared" si="61"/>
        <v>85.969315034103161</v>
      </c>
      <c r="P296" s="143">
        <f t="shared" si="61"/>
        <v>48.691375003086563</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451</v>
      </c>
      <c r="G297" s="89" t="s">
        <v>250</v>
      </c>
      <c r="J297" s="164">
        <f t="shared" ref="J297:Y297" si="62">J290 + J295 + J296</f>
        <v>0</v>
      </c>
      <c r="K297" s="164">
        <f t="shared" si="62"/>
        <v>0</v>
      </c>
      <c r="L297" s="164">
        <f t="shared" si="62"/>
        <v>0</v>
      </c>
      <c r="M297" s="164">
        <f t="shared" si="62"/>
        <v>0</v>
      </c>
      <c r="N297" s="164">
        <f t="shared" si="62"/>
        <v>35651.690093892161</v>
      </c>
      <c r="O297" s="164">
        <f t="shared" si="62"/>
        <v>1604.6569862669799</v>
      </c>
      <c r="P297" s="164">
        <f t="shared" si="62"/>
        <v>24566.181785961991</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252</v>
      </c>
      <c r="I299" t="s">
        <v>153</v>
      </c>
      <c r="J299" s="101"/>
      <c r="K299" s="101"/>
      <c r="L299" s="101"/>
      <c r="M299" s="101"/>
      <c r="N299" s="101"/>
      <c r="O299" s="101"/>
      <c r="P299" s="101"/>
      <c r="Q299" s="101"/>
      <c r="R299" s="101"/>
      <c r="S299" s="101"/>
      <c r="T299" s="101"/>
      <c r="U299" s="101"/>
      <c r="V299" s="101"/>
      <c r="W299" s="101"/>
      <c r="X299" s="101"/>
      <c r="Y299" s="101"/>
      <c r="AA299" t="s">
        <v>308</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444</v>
      </c>
      <c r="G301" s="89" t="s">
        <v>253</v>
      </c>
      <c r="J301" s="141">
        <f t="shared" ref="J301:Y301" si="63">J205</f>
        <v>0</v>
      </c>
      <c r="K301" s="141">
        <f t="shared" si="63"/>
        <v>0</v>
      </c>
      <c r="L301" s="141">
        <f t="shared" si="63"/>
        <v>0</v>
      </c>
      <c r="M301" s="141">
        <f t="shared" si="63"/>
        <v>0</v>
      </c>
      <c r="N301" s="141">
        <f t="shared" si="63"/>
        <v>233252.364</v>
      </c>
      <c r="O301" s="141">
        <f t="shared" si="63"/>
        <v>36247.743999999999</v>
      </c>
      <c r="P301" s="141">
        <f t="shared" si="63"/>
        <v>391237.89500000002</v>
      </c>
      <c r="Q301" s="141">
        <f t="shared" si="63"/>
        <v>0</v>
      </c>
      <c r="R301" s="141">
        <f t="shared" si="63"/>
        <v>0</v>
      </c>
      <c r="S301" s="141">
        <f t="shared" si="63"/>
        <v>0</v>
      </c>
      <c r="T301" s="141">
        <f t="shared" si="63"/>
        <v>6266.0650000000005</v>
      </c>
      <c r="U301" s="141">
        <f t="shared" si="63"/>
        <v>0</v>
      </c>
      <c r="V301" s="141">
        <f t="shared" si="63"/>
        <v>448.65200000000004</v>
      </c>
      <c r="W301" s="141">
        <f t="shared" si="63"/>
        <v>0</v>
      </c>
      <c r="X301" s="141">
        <f t="shared" si="63"/>
        <v>31743.218000000001</v>
      </c>
      <c r="Y301" s="141">
        <f t="shared" si="63"/>
        <v>0</v>
      </c>
      <c r="AQ301" s="3"/>
    </row>
    <row r="302" spans="5:43" x14ac:dyDescent="0.25">
      <c r="F302" s="89" t="s">
        <v>445</v>
      </c>
      <c r="G302" s="89" t="s">
        <v>253</v>
      </c>
      <c r="J302" s="141">
        <f t="shared" ref="J302:Y302" si="64">J214</f>
        <v>0</v>
      </c>
      <c r="K302" s="141">
        <f t="shared" si="64"/>
        <v>0</v>
      </c>
      <c r="L302" s="141">
        <f t="shared" si="64"/>
        <v>0</v>
      </c>
      <c r="M302" s="141">
        <f t="shared" si="64"/>
        <v>0</v>
      </c>
      <c r="N302" s="141">
        <f t="shared" si="64"/>
        <v>1182.797</v>
      </c>
      <c r="O302" s="141">
        <f t="shared" si="64"/>
        <v>0</v>
      </c>
      <c r="P302" s="141">
        <f t="shared" si="64"/>
        <v>0</v>
      </c>
      <c r="Q302" s="141">
        <f t="shared" si="64"/>
        <v>0</v>
      </c>
      <c r="R302" s="141">
        <f t="shared" si="64"/>
        <v>0</v>
      </c>
      <c r="S302" s="141">
        <f t="shared" si="64"/>
        <v>0</v>
      </c>
      <c r="T302" s="141">
        <f t="shared" si="64"/>
        <v>7.8289999999999997</v>
      </c>
      <c r="U302" s="141">
        <f t="shared" si="64"/>
        <v>0</v>
      </c>
      <c r="V302" s="141">
        <f t="shared" si="64"/>
        <v>0</v>
      </c>
      <c r="W302" s="141">
        <f t="shared" si="64"/>
        <v>0</v>
      </c>
      <c r="X302" s="141">
        <f t="shared" si="64"/>
        <v>0</v>
      </c>
      <c r="Y302" s="141">
        <f t="shared" si="64"/>
        <v>0</v>
      </c>
      <c r="AQ302" s="3"/>
    </row>
    <row r="303" spans="5:43" x14ac:dyDescent="0.25">
      <c r="F303" s="89" t="s">
        <v>446</v>
      </c>
      <c r="G303" s="89" t="s">
        <v>253</v>
      </c>
      <c r="J303" s="141">
        <f t="shared" ref="J303:Y303" si="65">J223</f>
        <v>0</v>
      </c>
      <c r="K303" s="141">
        <f t="shared" si="65"/>
        <v>0</v>
      </c>
      <c r="L303" s="141">
        <f t="shared" si="65"/>
        <v>0</v>
      </c>
      <c r="M303" s="141">
        <f t="shared" si="65"/>
        <v>0</v>
      </c>
      <c r="N303" s="141">
        <f t="shared" si="65"/>
        <v>8724.0133999999998</v>
      </c>
      <c r="O303" s="141">
        <f t="shared" si="65"/>
        <v>2640.9349999999999</v>
      </c>
      <c r="P303" s="141">
        <f t="shared" si="65"/>
        <v>9701.0930000000008</v>
      </c>
      <c r="Q303" s="141">
        <f t="shared" si="65"/>
        <v>0</v>
      </c>
      <c r="R303" s="141">
        <f t="shared" si="65"/>
        <v>0</v>
      </c>
      <c r="S303" s="141">
        <f t="shared" si="65"/>
        <v>0</v>
      </c>
      <c r="T303" s="141">
        <f t="shared" si="65"/>
        <v>35.960999999999999</v>
      </c>
      <c r="U303" s="141">
        <f t="shared" si="65"/>
        <v>0</v>
      </c>
      <c r="V303" s="141">
        <f t="shared" si="65"/>
        <v>166.20500000000001</v>
      </c>
      <c r="W303" s="141">
        <f t="shared" si="65"/>
        <v>0</v>
      </c>
      <c r="X303" s="141">
        <f t="shared" si="65"/>
        <v>206.58199999999999</v>
      </c>
      <c r="Y303" s="141">
        <f t="shared" si="65"/>
        <v>0</v>
      </c>
      <c r="AQ303" s="3"/>
    </row>
    <row r="304" spans="5:43" x14ac:dyDescent="0.25">
      <c r="F304" s="89" t="s">
        <v>447</v>
      </c>
      <c r="G304" s="89" t="s">
        <v>166</v>
      </c>
      <c r="J304" s="195">
        <f t="shared" ref="J304:Y304" si="66">IF(J$43, J$49, J$34)</f>
        <v>0.40611012535926394</v>
      </c>
      <c r="K304" s="195">
        <f t="shared" si="66"/>
        <v>0.40611012535926394</v>
      </c>
      <c r="L304" s="195">
        <f t="shared" si="66"/>
        <v>0.40611012535926394</v>
      </c>
      <c r="M304" s="195">
        <f t="shared" si="66"/>
        <v>0.40611012535926394</v>
      </c>
      <c r="N304" s="195">
        <f t="shared" si="66"/>
        <v>0.40611012535926394</v>
      </c>
      <c r="O304" s="195">
        <f t="shared" si="66"/>
        <v>0</v>
      </c>
      <c r="P304" s="195">
        <f t="shared" si="66"/>
        <v>0</v>
      </c>
      <c r="Q304" s="195">
        <f t="shared" si="66"/>
        <v>0.40611012535926394</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448</v>
      </c>
      <c r="G305" s="89" t="s">
        <v>166</v>
      </c>
      <c r="J305" s="195">
        <f t="shared" ref="J305:Y305" si="67">IF(J$43, J$49, J$35)</f>
        <v>0.58741903403166595</v>
      </c>
      <c r="K305" s="195">
        <f t="shared" si="67"/>
        <v>0.58741903403166595</v>
      </c>
      <c r="L305" s="195">
        <f t="shared" si="67"/>
        <v>0.58741903403166595</v>
      </c>
      <c r="M305" s="195">
        <f t="shared" si="67"/>
        <v>0.58741903403166595</v>
      </c>
      <c r="N305" s="195">
        <f t="shared" si="67"/>
        <v>0.58741903403166595</v>
      </c>
      <c r="O305" s="195">
        <f t="shared" si="67"/>
        <v>0.30208847695897212</v>
      </c>
      <c r="P305" s="195">
        <f t="shared" si="67"/>
        <v>0.12606452222036799</v>
      </c>
      <c r="Q305" s="195">
        <f t="shared" si="67"/>
        <v>0.58741903403166595</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449</v>
      </c>
      <c r="G306" s="89" t="s">
        <v>253</v>
      </c>
      <c r="J306" s="141">
        <f t="shared" ref="J306:Y306" si="68">J302 * (1 - J304)</f>
        <v>0</v>
      </c>
      <c r="K306" s="141">
        <f t="shared" si="68"/>
        <v>0</v>
      </c>
      <c r="L306" s="141">
        <f t="shared" si="68"/>
        <v>0</v>
      </c>
      <c r="M306" s="141">
        <f t="shared" si="68"/>
        <v>0</v>
      </c>
      <c r="N306" s="141">
        <f t="shared" si="68"/>
        <v>702.45116205543866</v>
      </c>
      <c r="O306" s="141">
        <f t="shared" si="68"/>
        <v>0</v>
      </c>
      <c r="P306" s="141">
        <f t="shared" si="68"/>
        <v>0</v>
      </c>
      <c r="Q306" s="141">
        <f t="shared" si="68"/>
        <v>0</v>
      </c>
      <c r="R306" s="141">
        <f t="shared" si="68"/>
        <v>0</v>
      </c>
      <c r="S306" s="141">
        <f t="shared" si="68"/>
        <v>0</v>
      </c>
      <c r="T306" s="141">
        <f t="shared" si="68"/>
        <v>7.8289999999999997</v>
      </c>
      <c r="U306" s="141">
        <f t="shared" si="68"/>
        <v>0</v>
      </c>
      <c r="V306" s="141">
        <f t="shared" si="68"/>
        <v>0</v>
      </c>
      <c r="W306" s="141">
        <f t="shared" si="68"/>
        <v>0</v>
      </c>
      <c r="X306" s="141">
        <f t="shared" si="68"/>
        <v>0</v>
      </c>
      <c r="Y306" s="141">
        <f t="shared" si="68"/>
        <v>0</v>
      </c>
      <c r="AQ306" s="3"/>
    </row>
    <row r="307" spans="2:43" x14ac:dyDescent="0.25">
      <c r="F307" s="96" t="s">
        <v>450</v>
      </c>
      <c r="G307" s="96" t="s">
        <v>253</v>
      </c>
      <c r="H307" s="91"/>
      <c r="I307" s="91"/>
      <c r="J307" s="143">
        <f t="shared" ref="J307:Y307" si="69">J303 * (1 - J305)</f>
        <v>0</v>
      </c>
      <c r="K307" s="143">
        <f t="shared" si="69"/>
        <v>0</v>
      </c>
      <c r="L307" s="143">
        <f t="shared" si="69"/>
        <v>0</v>
      </c>
      <c r="M307" s="143">
        <f t="shared" si="69"/>
        <v>0</v>
      </c>
      <c r="N307" s="143">
        <f t="shared" si="69"/>
        <v>3599.3618756926903</v>
      </c>
      <c r="O307" s="143">
        <f t="shared" si="69"/>
        <v>1843.138968102357</v>
      </c>
      <c r="P307" s="143">
        <f t="shared" si="69"/>
        <v>8478.1293459396438</v>
      </c>
      <c r="Q307" s="143">
        <f t="shared" si="69"/>
        <v>0</v>
      </c>
      <c r="R307" s="143">
        <f t="shared" si="69"/>
        <v>0</v>
      </c>
      <c r="S307" s="143">
        <f t="shared" si="69"/>
        <v>0</v>
      </c>
      <c r="T307" s="143">
        <f t="shared" si="69"/>
        <v>35.960999999999999</v>
      </c>
      <c r="U307" s="143">
        <f t="shared" si="69"/>
        <v>0</v>
      </c>
      <c r="V307" s="143">
        <f t="shared" si="69"/>
        <v>166.20500000000001</v>
      </c>
      <c r="W307" s="143">
        <f t="shared" si="69"/>
        <v>0</v>
      </c>
      <c r="X307" s="143">
        <f t="shared" si="69"/>
        <v>206.58199999999999</v>
      </c>
      <c r="Y307" s="143">
        <f t="shared" si="69"/>
        <v>0</v>
      </c>
      <c r="AQ307" s="3"/>
    </row>
    <row r="308" spans="2:43" x14ac:dyDescent="0.25">
      <c r="F308" s="89" t="s">
        <v>451</v>
      </c>
      <c r="G308" s="89" t="s">
        <v>253</v>
      </c>
      <c r="J308" s="164">
        <f t="shared" ref="J308:Y308" si="70">J301 + J306 + J307</f>
        <v>0</v>
      </c>
      <c r="K308" s="164">
        <f t="shared" si="70"/>
        <v>0</v>
      </c>
      <c r="L308" s="164">
        <f t="shared" si="70"/>
        <v>0</v>
      </c>
      <c r="M308" s="164">
        <f t="shared" si="70"/>
        <v>0</v>
      </c>
      <c r="N308" s="164">
        <f t="shared" si="70"/>
        <v>237554.17703774813</v>
      </c>
      <c r="O308" s="164">
        <f t="shared" si="70"/>
        <v>38090.882968102356</v>
      </c>
      <c r="P308" s="164">
        <f t="shared" si="70"/>
        <v>399716.02434593969</v>
      </c>
      <c r="Q308" s="164">
        <f t="shared" si="70"/>
        <v>0</v>
      </c>
      <c r="R308" s="164">
        <f t="shared" si="70"/>
        <v>0</v>
      </c>
      <c r="S308" s="164">
        <f t="shared" si="70"/>
        <v>0</v>
      </c>
      <c r="T308" s="164">
        <f t="shared" si="70"/>
        <v>6309.8550000000005</v>
      </c>
      <c r="U308" s="164">
        <f t="shared" si="70"/>
        <v>0</v>
      </c>
      <c r="V308" s="164">
        <f t="shared" si="70"/>
        <v>614.85700000000008</v>
      </c>
      <c r="W308" s="164">
        <f t="shared" si="70"/>
        <v>0</v>
      </c>
      <c r="X308" s="164">
        <f t="shared" si="70"/>
        <v>31949.8</v>
      </c>
      <c r="Y308" s="164">
        <f t="shared" si="70"/>
        <v>0</v>
      </c>
      <c r="AQ308" s="3"/>
    </row>
    <row r="309" spans="2:43" x14ac:dyDescent="0.25">
      <c r="D309" s="60"/>
      <c r="AQ309" s="3"/>
    </row>
    <row r="310" spans="2:43" x14ac:dyDescent="0.25">
      <c r="B310" s="70" t="s">
        <v>919</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1023</v>
      </c>
      <c r="AQ312" s="3"/>
    </row>
    <row r="313" spans="2:43" x14ac:dyDescent="0.25">
      <c r="C313" s="60"/>
      <c r="AQ313" s="3"/>
    </row>
    <row r="314" spans="2:43" x14ac:dyDescent="0.25">
      <c r="C314" s="60"/>
      <c r="E314" s="60" t="s">
        <v>447</v>
      </c>
      <c r="AQ314" s="3"/>
    </row>
    <row r="315" spans="2:43" x14ac:dyDescent="0.25">
      <c r="C315" s="60"/>
      <c r="F315" s="111" t="s">
        <v>246</v>
      </c>
      <c r="G315" s="90" t="s">
        <v>166</v>
      </c>
      <c r="H315" s="90"/>
      <c r="I315" s="90"/>
      <c r="J315" s="196">
        <f>IF(J$39, J$45, J$34)</f>
        <v>0.40611012535926394</v>
      </c>
      <c r="K315" s="196">
        <f t="shared" ref="K315:Y315" si="71">IF(K$39, K$45, K$34)</f>
        <v>0.40611012535926394</v>
      </c>
      <c r="L315" s="196">
        <f t="shared" si="71"/>
        <v>0.40611012535926394</v>
      </c>
      <c r="M315" s="196">
        <f t="shared" si="71"/>
        <v>0.40611012535926394</v>
      </c>
      <c r="N315" s="196">
        <f t="shared" si="71"/>
        <v>0.40611012535926394</v>
      </c>
      <c r="O315" s="196">
        <f t="shared" si="71"/>
        <v>0</v>
      </c>
      <c r="P315" s="196">
        <f t="shared" si="71"/>
        <v>0</v>
      </c>
      <c r="Q315" s="196">
        <f t="shared" si="71"/>
        <v>0.40611012535926394</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247</v>
      </c>
      <c r="G316" t="s">
        <v>166</v>
      </c>
      <c r="J316" s="194">
        <f t="shared" ref="J316:Y317" si="72">IF(J$39, J$45, J$34)</f>
        <v>0.40611012535926394</v>
      </c>
      <c r="K316" s="194">
        <f t="shared" si="72"/>
        <v>0.40611012535926394</v>
      </c>
      <c r="L316" s="194">
        <f t="shared" si="72"/>
        <v>0.40611012535926394</v>
      </c>
      <c r="M316" s="194">
        <f t="shared" si="72"/>
        <v>0.40611012535926394</v>
      </c>
      <c r="N316" s="194">
        <f t="shared" si="72"/>
        <v>0.40611012535926394</v>
      </c>
      <c r="O316" s="194">
        <f t="shared" si="72"/>
        <v>0</v>
      </c>
      <c r="P316" s="194">
        <f t="shared" si="72"/>
        <v>0</v>
      </c>
      <c r="Q316" s="194">
        <f t="shared" si="72"/>
        <v>0.40611012535926394</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248</v>
      </c>
      <c r="G317" s="91" t="s">
        <v>166</v>
      </c>
      <c r="H317" s="91"/>
      <c r="I317" s="91"/>
      <c r="J317" s="197">
        <f t="shared" si="72"/>
        <v>0.40611012535926394</v>
      </c>
      <c r="K317" s="197">
        <f t="shared" si="72"/>
        <v>0.40611012535926394</v>
      </c>
      <c r="L317" s="197">
        <f t="shared" si="72"/>
        <v>0.40611012535926394</v>
      </c>
      <c r="M317" s="197">
        <f t="shared" si="72"/>
        <v>0.40611012535926394</v>
      </c>
      <c r="N317" s="197">
        <f t="shared" si="72"/>
        <v>0.40611012535926394</v>
      </c>
      <c r="O317" s="197">
        <f t="shared" si="72"/>
        <v>0</v>
      </c>
      <c r="P317" s="197">
        <f t="shared" si="72"/>
        <v>0</v>
      </c>
      <c r="Q317" s="197">
        <f t="shared" si="72"/>
        <v>0.40611012535926394</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211</v>
      </c>
      <c r="G318" t="s">
        <v>166</v>
      </c>
      <c r="J318" s="194">
        <f t="shared" ref="J318:Y318" si="73">IF(J$39, J46, J$34)</f>
        <v>0.40611012535926394</v>
      </c>
      <c r="K318" s="194">
        <f t="shared" si="73"/>
        <v>0.40611012535926394</v>
      </c>
      <c r="L318" s="194">
        <f t="shared" si="73"/>
        <v>0.40611012535926394</v>
      </c>
      <c r="M318" s="194">
        <f t="shared" si="73"/>
        <v>0.40611012535926394</v>
      </c>
      <c r="N318" s="194">
        <f t="shared" si="73"/>
        <v>0.40611012535926394</v>
      </c>
      <c r="O318" s="194">
        <f t="shared" si="73"/>
        <v>0</v>
      </c>
      <c r="P318" s="194">
        <f t="shared" si="73"/>
        <v>0</v>
      </c>
      <c r="Q318" s="194">
        <f t="shared" si="73"/>
        <v>0.40611012535926394</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249</v>
      </c>
      <c r="G319" t="s">
        <v>166</v>
      </c>
      <c r="J319" s="194">
        <f t="shared" ref="J319:Y319" si="74">IF(J$39, J47, J$34)</f>
        <v>0.40611012535926394</v>
      </c>
      <c r="K319" s="194">
        <f t="shared" si="74"/>
        <v>0.40611012535926394</v>
      </c>
      <c r="L319" s="194">
        <f t="shared" si="74"/>
        <v>0.40611012535926394</v>
      </c>
      <c r="M319" s="194">
        <f t="shared" si="74"/>
        <v>0.40611012535926394</v>
      </c>
      <c r="N319" s="194">
        <f t="shared" si="74"/>
        <v>0.40611012535926394</v>
      </c>
      <c r="O319" s="194">
        <f t="shared" si="74"/>
        <v>0</v>
      </c>
      <c r="P319" s="194">
        <f t="shared" si="74"/>
        <v>0</v>
      </c>
      <c r="Q319" s="194">
        <f t="shared" si="74"/>
        <v>0.40611012535926394</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251</v>
      </c>
      <c r="G320" t="s">
        <v>166</v>
      </c>
      <c r="J320" s="194">
        <f t="shared" ref="J320:Y320" si="75">IF(J$39, J48, J$34)</f>
        <v>0.40611012535926394</v>
      </c>
      <c r="K320" s="194">
        <f t="shared" si="75"/>
        <v>0.40611012535926394</v>
      </c>
      <c r="L320" s="194">
        <f t="shared" si="75"/>
        <v>0.40611012535926394</v>
      </c>
      <c r="M320" s="194">
        <f t="shared" si="75"/>
        <v>0.40611012535926394</v>
      </c>
      <c r="N320" s="194">
        <f t="shared" si="75"/>
        <v>0.40611012535926394</v>
      </c>
      <c r="O320" s="194">
        <f t="shared" si="75"/>
        <v>0</v>
      </c>
      <c r="P320" s="194">
        <f t="shared" si="75"/>
        <v>0</v>
      </c>
      <c r="Q320" s="194">
        <f t="shared" si="75"/>
        <v>0.40611012535926394</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252</v>
      </c>
      <c r="G321" s="91" t="s">
        <v>166</v>
      </c>
      <c r="H321" s="91"/>
      <c r="I321" s="91"/>
      <c r="J321" s="197">
        <f t="shared" ref="J321:Y321" si="76">IF(J$39, J49, J$34)</f>
        <v>0.40611012535926394</v>
      </c>
      <c r="K321" s="197">
        <f t="shared" si="76"/>
        <v>0.40611012535926394</v>
      </c>
      <c r="L321" s="197">
        <f t="shared" si="76"/>
        <v>0.40611012535926394</v>
      </c>
      <c r="M321" s="197">
        <f t="shared" si="76"/>
        <v>0.40611012535926394</v>
      </c>
      <c r="N321" s="197">
        <f t="shared" si="76"/>
        <v>0.40611012535926394</v>
      </c>
      <c r="O321" s="197">
        <f t="shared" si="76"/>
        <v>0</v>
      </c>
      <c r="P321" s="197">
        <f t="shared" si="76"/>
        <v>0</v>
      </c>
      <c r="Q321" s="197">
        <f t="shared" si="76"/>
        <v>0.40611012535926394</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448</v>
      </c>
      <c r="AQ323" s="3"/>
    </row>
    <row r="324" spans="3:43" x14ac:dyDescent="0.25">
      <c r="C324" s="60"/>
      <c r="F324" s="111" t="s">
        <v>246</v>
      </c>
      <c r="G324" s="90" t="s">
        <v>166</v>
      </c>
      <c r="H324" s="90"/>
      <c r="I324" s="90"/>
      <c r="J324" s="196">
        <f>IF(J$39, J$45, J$35)</f>
        <v>0.58741903403166595</v>
      </c>
      <c r="K324" s="196">
        <f t="shared" ref="K324:Y326" si="77">IF(K$39, K$45, K$35)</f>
        <v>0.58741903403166595</v>
      </c>
      <c r="L324" s="196">
        <f t="shared" si="77"/>
        <v>0.58741903403166595</v>
      </c>
      <c r="M324" s="196">
        <f t="shared" si="77"/>
        <v>0.58741903403166595</v>
      </c>
      <c r="N324" s="196">
        <f t="shared" si="77"/>
        <v>0.58741903403166595</v>
      </c>
      <c r="O324" s="196">
        <f t="shared" si="77"/>
        <v>0.30208847695897212</v>
      </c>
      <c r="P324" s="196">
        <f t="shared" si="77"/>
        <v>0.12606452222036799</v>
      </c>
      <c r="Q324" s="196">
        <f t="shared" si="77"/>
        <v>0.58741903403166595</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247</v>
      </c>
      <c r="G325" t="s">
        <v>166</v>
      </c>
      <c r="J325" s="194">
        <f t="shared" ref="J325:J326" si="78">IF(J$39, J$45, J$35)</f>
        <v>0.58741903403166595</v>
      </c>
      <c r="K325" s="194">
        <f t="shared" si="77"/>
        <v>0.58741903403166595</v>
      </c>
      <c r="L325" s="194">
        <f t="shared" si="77"/>
        <v>0.58741903403166595</v>
      </c>
      <c r="M325" s="194">
        <f t="shared" si="77"/>
        <v>0.58741903403166595</v>
      </c>
      <c r="N325" s="194">
        <f t="shared" si="77"/>
        <v>0.58741903403166595</v>
      </c>
      <c r="O325" s="194">
        <f t="shared" si="77"/>
        <v>0.30208847695897212</v>
      </c>
      <c r="P325" s="194">
        <f t="shared" si="77"/>
        <v>0.12606452222036799</v>
      </c>
      <c r="Q325" s="194">
        <f t="shared" si="77"/>
        <v>0.58741903403166595</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248</v>
      </c>
      <c r="G326" s="91" t="s">
        <v>166</v>
      </c>
      <c r="H326" s="91"/>
      <c r="I326" s="91"/>
      <c r="J326" s="197">
        <f t="shared" si="78"/>
        <v>0.58741903403166595</v>
      </c>
      <c r="K326" s="197">
        <f t="shared" si="77"/>
        <v>0.58741903403166595</v>
      </c>
      <c r="L326" s="197">
        <f t="shared" si="77"/>
        <v>0.58741903403166595</v>
      </c>
      <c r="M326" s="197">
        <f t="shared" si="77"/>
        <v>0.58741903403166595</v>
      </c>
      <c r="N326" s="197">
        <f t="shared" si="77"/>
        <v>0.58741903403166595</v>
      </c>
      <c r="O326" s="197">
        <f t="shared" si="77"/>
        <v>0.30208847695897212</v>
      </c>
      <c r="P326" s="197">
        <f t="shared" si="77"/>
        <v>0.12606452222036799</v>
      </c>
      <c r="Q326" s="197">
        <f t="shared" si="77"/>
        <v>0.58741903403166595</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211</v>
      </c>
      <c r="G327" t="s">
        <v>166</v>
      </c>
      <c r="J327" s="194">
        <f t="shared" ref="J327:Y327" si="79">IF(J$39, J46, J$35)</f>
        <v>0.58741903403166595</v>
      </c>
      <c r="K327" s="194">
        <f t="shared" si="79"/>
        <v>0.58741903403166595</v>
      </c>
      <c r="L327" s="194">
        <f t="shared" si="79"/>
        <v>0.58741903403166595</v>
      </c>
      <c r="M327" s="194">
        <f t="shared" si="79"/>
        <v>0.58741903403166595</v>
      </c>
      <c r="N327" s="194">
        <f t="shared" si="79"/>
        <v>0.58741903403166595</v>
      </c>
      <c r="O327" s="194">
        <f t="shared" si="79"/>
        <v>0.30208847695897212</v>
      </c>
      <c r="P327" s="194">
        <f t="shared" si="79"/>
        <v>0.12606452222036799</v>
      </c>
      <c r="Q327" s="194">
        <f t="shared" si="79"/>
        <v>0.58741903403166595</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249</v>
      </c>
      <c r="G328" t="s">
        <v>166</v>
      </c>
      <c r="J328" s="194">
        <f t="shared" ref="J328:Y328" si="80">IF(J$39, J47, J$35)</f>
        <v>0.58741903403166595</v>
      </c>
      <c r="K328" s="194">
        <f t="shared" si="80"/>
        <v>0.58741903403166595</v>
      </c>
      <c r="L328" s="194">
        <f t="shared" si="80"/>
        <v>0.58741903403166595</v>
      </c>
      <c r="M328" s="194">
        <f t="shared" si="80"/>
        <v>0.58741903403166595</v>
      </c>
      <c r="N328" s="194">
        <f t="shared" si="80"/>
        <v>0.58741903403166595</v>
      </c>
      <c r="O328" s="194">
        <f t="shared" si="80"/>
        <v>0.30208847695897212</v>
      </c>
      <c r="P328" s="194">
        <f t="shared" si="80"/>
        <v>0.12606452222036799</v>
      </c>
      <c r="Q328" s="194">
        <f t="shared" si="80"/>
        <v>0.58741903403166595</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251</v>
      </c>
      <c r="G329" t="s">
        <v>166</v>
      </c>
      <c r="J329" s="194">
        <f t="shared" ref="J329:Y329" si="81">IF(J$39, J48, J$35)</f>
        <v>0.58741903403166595</v>
      </c>
      <c r="K329" s="194">
        <f t="shared" si="81"/>
        <v>0.58741903403166595</v>
      </c>
      <c r="L329" s="194">
        <f t="shared" si="81"/>
        <v>0.58741903403166595</v>
      </c>
      <c r="M329" s="194">
        <f t="shared" si="81"/>
        <v>0.58741903403166595</v>
      </c>
      <c r="N329" s="194">
        <f t="shared" si="81"/>
        <v>0.58741903403166595</v>
      </c>
      <c r="O329" s="194">
        <f t="shared" si="81"/>
        <v>0.30208847695897212</v>
      </c>
      <c r="P329" s="194">
        <f t="shared" si="81"/>
        <v>0.12606452222036799</v>
      </c>
      <c r="Q329" s="194">
        <f t="shared" si="81"/>
        <v>0.58741903403166595</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252</v>
      </c>
      <c r="G330" s="91" t="s">
        <v>166</v>
      </c>
      <c r="H330" s="91"/>
      <c r="I330" s="91"/>
      <c r="J330" s="197">
        <f t="shared" ref="J330:Y330" si="82">IF(J$39, J49, J$35)</f>
        <v>0.58741903403166595</v>
      </c>
      <c r="K330" s="197">
        <f t="shared" si="82"/>
        <v>0.58741903403166595</v>
      </c>
      <c r="L330" s="197">
        <f t="shared" si="82"/>
        <v>0.58741903403166595</v>
      </c>
      <c r="M330" s="197">
        <f t="shared" si="82"/>
        <v>0.58741903403166595</v>
      </c>
      <c r="N330" s="197">
        <f t="shared" si="82"/>
        <v>0.58741903403166595</v>
      </c>
      <c r="O330" s="197">
        <f t="shared" si="82"/>
        <v>0.30208847695897212</v>
      </c>
      <c r="P330" s="197">
        <f t="shared" si="82"/>
        <v>0.12606452222036799</v>
      </c>
      <c r="Q330" s="197">
        <f t="shared" si="82"/>
        <v>0.58741903403166595</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956</v>
      </c>
      <c r="G334" s="46"/>
      <c r="I334" t="s">
        <v>153</v>
      </c>
      <c r="AQ334" s="3"/>
    </row>
    <row r="335" spans="3:43" x14ac:dyDescent="0.25">
      <c r="E335" s="60"/>
      <c r="F335" s="111" t="s">
        <v>246</v>
      </c>
      <c r="G335" s="111" t="s">
        <v>206</v>
      </c>
      <c r="H335" s="90"/>
      <c r="I335" s="90"/>
      <c r="J335" s="112"/>
      <c r="K335" s="169">
        <f t="shared" ref="K335:P341" si="83">(1 - K315) * K105</f>
        <v>0</v>
      </c>
      <c r="L335" s="169">
        <f t="shared" si="83"/>
        <v>0</v>
      </c>
      <c r="M335" s="169">
        <f t="shared" si="83"/>
        <v>0</v>
      </c>
      <c r="N335" s="169">
        <f t="shared" si="83"/>
        <v>0</v>
      </c>
      <c r="O335" s="169">
        <f t="shared" si="83"/>
        <v>0</v>
      </c>
      <c r="P335" s="169">
        <f t="shared" si="83"/>
        <v>0</v>
      </c>
      <c r="Q335" s="112"/>
      <c r="R335" s="169">
        <f t="shared" ref="R335:Y341" si="84">(1 - R315) * R105</f>
        <v>461.60500000000002</v>
      </c>
      <c r="S335" s="169">
        <f t="shared" si="84"/>
        <v>0</v>
      </c>
      <c r="T335" s="169">
        <f t="shared" si="84"/>
        <v>1.7350000000000001</v>
      </c>
      <c r="U335" s="169">
        <f t="shared" si="84"/>
        <v>0</v>
      </c>
      <c r="V335" s="169">
        <f t="shared" si="84"/>
        <v>0</v>
      </c>
      <c r="W335" s="169">
        <f t="shared" si="84"/>
        <v>0</v>
      </c>
      <c r="X335" s="169">
        <f t="shared" si="84"/>
        <v>0</v>
      </c>
      <c r="Y335" s="169">
        <f t="shared" si="84"/>
        <v>0</v>
      </c>
      <c r="AQ335" s="3"/>
    </row>
    <row r="336" spans="3:43" x14ac:dyDescent="0.25">
      <c r="E336" s="60"/>
      <c r="F336" s="113" t="s">
        <v>247</v>
      </c>
      <c r="G336" s="113" t="s">
        <v>206</v>
      </c>
      <c r="J336" s="121"/>
      <c r="K336" s="191">
        <f t="shared" si="83"/>
        <v>0</v>
      </c>
      <c r="L336" s="191">
        <f t="shared" si="83"/>
        <v>0</v>
      </c>
      <c r="M336" s="191">
        <f t="shared" si="83"/>
        <v>0</v>
      </c>
      <c r="N336" s="191">
        <f t="shared" si="83"/>
        <v>0</v>
      </c>
      <c r="O336" s="191">
        <f t="shared" si="83"/>
        <v>0</v>
      </c>
      <c r="P336" s="191">
        <f t="shared" si="83"/>
        <v>0</v>
      </c>
      <c r="Q336" s="121"/>
      <c r="R336" s="191">
        <f t="shared" si="84"/>
        <v>2076.4070000000002</v>
      </c>
      <c r="S336" s="191">
        <f t="shared" si="84"/>
        <v>0</v>
      </c>
      <c r="T336" s="191">
        <f t="shared" si="84"/>
        <v>16.108000000000001</v>
      </c>
      <c r="U336" s="191">
        <f t="shared" si="84"/>
        <v>0</v>
      </c>
      <c r="V336" s="191">
        <f t="shared" si="84"/>
        <v>0</v>
      </c>
      <c r="W336" s="191">
        <f t="shared" si="84"/>
        <v>0</v>
      </c>
      <c r="X336" s="191">
        <f t="shared" si="84"/>
        <v>0</v>
      </c>
      <c r="Y336" s="191">
        <f t="shared" si="84"/>
        <v>0</v>
      </c>
      <c r="AQ336" s="3"/>
    </row>
    <row r="337" spans="5:43" x14ac:dyDescent="0.25">
      <c r="E337" s="60"/>
      <c r="F337" s="113" t="s">
        <v>248</v>
      </c>
      <c r="G337" s="113" t="s">
        <v>206</v>
      </c>
      <c r="J337" s="121"/>
      <c r="K337" s="191">
        <f t="shared" si="83"/>
        <v>0</v>
      </c>
      <c r="L337" s="191">
        <f t="shared" si="83"/>
        <v>0</v>
      </c>
      <c r="M337" s="191">
        <f t="shared" si="83"/>
        <v>0</v>
      </c>
      <c r="N337" s="191">
        <f t="shared" si="83"/>
        <v>0</v>
      </c>
      <c r="O337" s="191">
        <f t="shared" si="83"/>
        <v>0</v>
      </c>
      <c r="P337" s="191">
        <f t="shared" si="83"/>
        <v>0</v>
      </c>
      <c r="Q337" s="121"/>
      <c r="R337" s="191">
        <f t="shared" si="84"/>
        <v>1230.577</v>
      </c>
      <c r="S337" s="191">
        <f t="shared" si="84"/>
        <v>0</v>
      </c>
      <c r="T337" s="191">
        <f t="shared" si="84"/>
        <v>8.6150000000000002</v>
      </c>
      <c r="U337" s="191">
        <f t="shared" si="84"/>
        <v>0</v>
      </c>
      <c r="V337" s="191">
        <f t="shared" si="84"/>
        <v>0</v>
      </c>
      <c r="W337" s="191">
        <f t="shared" si="84"/>
        <v>0</v>
      </c>
      <c r="X337" s="191">
        <f t="shared" si="84"/>
        <v>0</v>
      </c>
      <c r="Y337" s="191">
        <f t="shared" si="84"/>
        <v>0</v>
      </c>
      <c r="AQ337" s="3"/>
    </row>
    <row r="338" spans="5:43" x14ac:dyDescent="0.25">
      <c r="E338" s="60"/>
      <c r="F338" s="113" t="s">
        <v>211</v>
      </c>
      <c r="G338" s="113" t="s">
        <v>211</v>
      </c>
      <c r="J338" s="121"/>
      <c r="K338" s="191">
        <f t="shared" si="83"/>
        <v>0</v>
      </c>
      <c r="L338" s="191">
        <f t="shared" si="83"/>
        <v>0</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249</v>
      </c>
      <c r="G339" s="113" t="s">
        <v>250</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251</v>
      </c>
      <c r="G340" s="113" t="s">
        <v>250</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252</v>
      </c>
      <c r="G341" s="115" t="s">
        <v>253</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7.8289999999999997</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957</v>
      </c>
      <c r="G343" s="46"/>
      <c r="I343" t="s">
        <v>153</v>
      </c>
      <c r="AQ343" s="3"/>
    </row>
    <row r="344" spans="5:43" x14ac:dyDescent="0.25">
      <c r="E344" s="60"/>
      <c r="F344" s="111" t="s">
        <v>246</v>
      </c>
      <c r="G344" s="111" t="s">
        <v>206</v>
      </c>
      <c r="H344" s="90"/>
      <c r="I344" s="90"/>
      <c r="J344" s="112"/>
      <c r="K344" s="169">
        <f t="shared" ref="K344:P350" si="85">(1 - K324) * K152</f>
        <v>1.2038340580489071</v>
      </c>
      <c r="L344" s="169">
        <f t="shared" si="85"/>
        <v>0</v>
      </c>
      <c r="M344" s="169">
        <f t="shared" si="85"/>
        <v>1.3828935640218827</v>
      </c>
      <c r="N344" s="169">
        <f t="shared" si="85"/>
        <v>0</v>
      </c>
      <c r="O344" s="169">
        <f t="shared" si="85"/>
        <v>0</v>
      </c>
      <c r="P344" s="169">
        <f t="shared" si="85"/>
        <v>0</v>
      </c>
      <c r="Q344" s="112"/>
      <c r="R344" s="169">
        <f t="shared" ref="R344:Y350" si="86">(1 - R324) * R152</f>
        <v>813.798</v>
      </c>
      <c r="S344" s="169">
        <f t="shared" si="86"/>
        <v>8.0310000000000006</v>
      </c>
      <c r="T344" s="169">
        <f t="shared" si="86"/>
        <v>19.936</v>
      </c>
      <c r="U344" s="169">
        <f t="shared" si="86"/>
        <v>0</v>
      </c>
      <c r="V344" s="169">
        <f t="shared" si="86"/>
        <v>29.873000000000001</v>
      </c>
      <c r="W344" s="169">
        <f t="shared" si="86"/>
        <v>0</v>
      </c>
      <c r="X344" s="169">
        <f t="shared" si="86"/>
        <v>185.017</v>
      </c>
      <c r="Y344" s="169">
        <f t="shared" si="86"/>
        <v>0</v>
      </c>
      <c r="AQ344" s="3"/>
    </row>
    <row r="345" spans="5:43" x14ac:dyDescent="0.25">
      <c r="E345" s="60"/>
      <c r="F345" s="113" t="s">
        <v>247</v>
      </c>
      <c r="G345" s="113" t="s">
        <v>206</v>
      </c>
      <c r="J345" s="121"/>
      <c r="K345" s="191">
        <f t="shared" si="85"/>
        <v>15.506862381812395</v>
      </c>
      <c r="L345" s="191">
        <f t="shared" si="85"/>
        <v>0</v>
      </c>
      <c r="M345" s="191">
        <f t="shared" si="85"/>
        <v>4.9636208640417481</v>
      </c>
      <c r="N345" s="191">
        <f t="shared" si="85"/>
        <v>0</v>
      </c>
      <c r="O345" s="191">
        <f t="shared" si="85"/>
        <v>0</v>
      </c>
      <c r="P345" s="191">
        <f t="shared" si="85"/>
        <v>0</v>
      </c>
      <c r="Q345" s="121"/>
      <c r="R345" s="191">
        <f t="shared" si="86"/>
        <v>3713.4470000000006</v>
      </c>
      <c r="S345" s="191">
        <f t="shared" si="86"/>
        <v>28.257000000000001</v>
      </c>
      <c r="T345" s="191">
        <f t="shared" si="86"/>
        <v>113.25500000000001</v>
      </c>
      <c r="U345" s="191">
        <f t="shared" si="86"/>
        <v>0</v>
      </c>
      <c r="V345" s="191">
        <f t="shared" si="86"/>
        <v>93.573000000000008</v>
      </c>
      <c r="W345" s="191">
        <f t="shared" si="86"/>
        <v>0</v>
      </c>
      <c r="X345" s="191">
        <f t="shared" si="86"/>
        <v>534.005</v>
      </c>
      <c r="Y345" s="191">
        <f t="shared" si="86"/>
        <v>0</v>
      </c>
      <c r="AQ345" s="3"/>
    </row>
    <row r="346" spans="5:43" x14ac:dyDescent="0.25">
      <c r="E346" s="60"/>
      <c r="F346" s="113" t="s">
        <v>248</v>
      </c>
      <c r="G346" s="113" t="s">
        <v>206</v>
      </c>
      <c r="J346" s="121"/>
      <c r="K346" s="191">
        <f t="shared" si="85"/>
        <v>35.647006425931956</v>
      </c>
      <c r="L346" s="191">
        <f t="shared" si="85"/>
        <v>0</v>
      </c>
      <c r="M346" s="191">
        <f t="shared" si="85"/>
        <v>6.0141581676418809</v>
      </c>
      <c r="N346" s="191">
        <f t="shared" si="85"/>
        <v>0</v>
      </c>
      <c r="O346" s="191">
        <f t="shared" si="85"/>
        <v>0</v>
      </c>
      <c r="P346" s="191">
        <f t="shared" si="85"/>
        <v>0</v>
      </c>
      <c r="Q346" s="121"/>
      <c r="R346" s="191">
        <f t="shared" si="86"/>
        <v>2195.2260000000001</v>
      </c>
      <c r="S346" s="191">
        <f t="shared" si="86"/>
        <v>18.324999999999999</v>
      </c>
      <c r="T346" s="191">
        <f t="shared" si="86"/>
        <v>68.24799999999999</v>
      </c>
      <c r="U346" s="191">
        <f t="shared" si="86"/>
        <v>0</v>
      </c>
      <c r="V346" s="191">
        <f t="shared" si="86"/>
        <v>105.008</v>
      </c>
      <c r="W346" s="191">
        <f t="shared" si="86"/>
        <v>0</v>
      </c>
      <c r="X346" s="191">
        <f t="shared" si="86"/>
        <v>839.64599999999996</v>
      </c>
      <c r="Y346" s="191">
        <f t="shared" si="86"/>
        <v>0</v>
      </c>
      <c r="AQ346" s="3"/>
    </row>
    <row r="347" spans="5:43" x14ac:dyDescent="0.25">
      <c r="E347" s="60"/>
      <c r="F347" s="113" t="s">
        <v>211</v>
      </c>
      <c r="G347" s="113" t="s">
        <v>211</v>
      </c>
      <c r="J347" s="121"/>
      <c r="K347" s="191">
        <f t="shared" si="85"/>
        <v>60.140290795276925</v>
      </c>
      <c r="L347" s="191">
        <f t="shared" si="85"/>
        <v>0</v>
      </c>
      <c r="M347" s="191">
        <f t="shared" si="85"/>
        <v>0.53696688210068644</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249</v>
      </c>
      <c r="G348" s="113" t="s">
        <v>250</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251</v>
      </c>
      <c r="G349" s="113" t="s">
        <v>250</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252</v>
      </c>
      <c r="G350" s="115" t="s">
        <v>253</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35.960999999999999</v>
      </c>
      <c r="U350" s="143">
        <f t="shared" si="86"/>
        <v>0</v>
      </c>
      <c r="V350" s="143">
        <f t="shared" si="86"/>
        <v>166.20500000000001</v>
      </c>
      <c r="W350" s="143">
        <f t="shared" si="86"/>
        <v>0</v>
      </c>
      <c r="X350" s="143">
        <f t="shared" si="86"/>
        <v>206.58199999999999</v>
      </c>
      <c r="Y350" s="143">
        <f t="shared" si="86"/>
        <v>0</v>
      </c>
      <c r="AQ350" s="3"/>
    </row>
    <row r="351" spans="5:43" x14ac:dyDescent="0.25">
      <c r="AQ351" s="3"/>
    </row>
    <row r="352" spans="5:43" x14ac:dyDescent="0.25">
      <c r="E352" s="60" t="s">
        <v>958</v>
      </c>
      <c r="G352" s="46"/>
      <c r="I352" t="s">
        <v>153</v>
      </c>
      <c r="AQ352" s="3"/>
    </row>
    <row r="353" spans="3:43" x14ac:dyDescent="0.25">
      <c r="E353" s="60"/>
      <c r="F353" s="111" t="s">
        <v>246</v>
      </c>
      <c r="G353" s="111" t="s">
        <v>206</v>
      </c>
      <c r="H353" s="90"/>
      <c r="I353" s="90"/>
      <c r="J353" s="112"/>
      <c r="K353" s="169">
        <f t="shared" ref="K353:P359" si="87">K58+K335+K344</f>
        <v>268.80327538247229</v>
      </c>
      <c r="L353" s="169">
        <f t="shared" si="87"/>
        <v>23.8864359599051</v>
      </c>
      <c r="M353" s="169">
        <f t="shared" si="87"/>
        <v>523.63909182228326</v>
      </c>
      <c r="N353" s="169">
        <f t="shared" si="87"/>
        <v>3.2128723712107869</v>
      </c>
      <c r="O353" s="169">
        <f t="shared" si="87"/>
        <v>8.8172625295477786E-2</v>
      </c>
      <c r="P353" s="169">
        <f t="shared" si="87"/>
        <v>541.96235961505158</v>
      </c>
      <c r="Q353" s="112"/>
      <c r="R353" s="169">
        <f t="shared" ref="R353:Y359" si="88">R58+R335+R344</f>
        <v>20847.328278374502</v>
      </c>
      <c r="S353" s="169">
        <f t="shared" si="88"/>
        <v>8.0310000000000006</v>
      </c>
      <c r="T353" s="169">
        <f t="shared" si="88"/>
        <v>5924.0747999999994</v>
      </c>
      <c r="U353" s="169">
        <f t="shared" si="88"/>
        <v>0</v>
      </c>
      <c r="V353" s="169">
        <f t="shared" si="88"/>
        <v>1042.9018999999998</v>
      </c>
      <c r="W353" s="169">
        <f t="shared" si="88"/>
        <v>0</v>
      </c>
      <c r="X353" s="169">
        <f t="shared" si="88"/>
        <v>116165.3422</v>
      </c>
      <c r="Y353" s="169">
        <f t="shared" si="88"/>
        <v>0</v>
      </c>
      <c r="AQ353" s="3"/>
    </row>
    <row r="354" spans="3:43" x14ac:dyDescent="0.25">
      <c r="E354" s="60"/>
      <c r="F354" s="113" t="s">
        <v>247</v>
      </c>
      <c r="G354" s="113" t="s">
        <v>206</v>
      </c>
      <c r="J354" s="121"/>
      <c r="K354" s="191">
        <f t="shared" si="87"/>
        <v>3024.6701201283286</v>
      </c>
      <c r="L354" s="191">
        <f t="shared" si="87"/>
        <v>84.429234480720567</v>
      </c>
      <c r="M354" s="191">
        <f t="shared" si="87"/>
        <v>2996.7048058884111</v>
      </c>
      <c r="N354" s="191">
        <f t="shared" si="87"/>
        <v>11.018313324190808</v>
      </c>
      <c r="O354" s="191">
        <f t="shared" si="87"/>
        <v>0.44361509342263367</v>
      </c>
      <c r="P354" s="191">
        <f t="shared" si="87"/>
        <v>1787.6325942714436</v>
      </c>
      <c r="Q354" s="121"/>
      <c r="R354" s="191">
        <f t="shared" si="88"/>
        <v>101581.4545087218</v>
      </c>
      <c r="S354" s="191">
        <f t="shared" si="88"/>
        <v>28.257000000000001</v>
      </c>
      <c r="T354" s="191">
        <f t="shared" si="88"/>
        <v>23928.992700000006</v>
      </c>
      <c r="U354" s="191">
        <f t="shared" si="88"/>
        <v>0</v>
      </c>
      <c r="V354" s="191">
        <f t="shared" si="88"/>
        <v>3317.8217</v>
      </c>
      <c r="W354" s="191">
        <f t="shared" si="88"/>
        <v>0</v>
      </c>
      <c r="X354" s="191">
        <f t="shared" si="88"/>
        <v>309734.76939999999</v>
      </c>
      <c r="Y354" s="191">
        <f t="shared" si="88"/>
        <v>0</v>
      </c>
      <c r="AQ354" s="3"/>
    </row>
    <row r="355" spans="3:43" x14ac:dyDescent="0.25">
      <c r="E355" s="60"/>
      <c r="F355" s="113" t="s">
        <v>248</v>
      </c>
      <c r="G355" s="113" t="s">
        <v>206</v>
      </c>
      <c r="J355" s="121"/>
      <c r="K355" s="191">
        <f t="shared" si="87"/>
        <v>7987.5995677611181</v>
      </c>
      <c r="L355" s="191">
        <f t="shared" si="87"/>
        <v>84.08467623411623</v>
      </c>
      <c r="M355" s="191">
        <f t="shared" si="87"/>
        <v>8901.6348585294018</v>
      </c>
      <c r="N355" s="191">
        <f t="shared" si="87"/>
        <v>19.264918608979336</v>
      </c>
      <c r="O355" s="191">
        <f t="shared" si="87"/>
        <v>0.50314829432551389</v>
      </c>
      <c r="P355" s="191">
        <f t="shared" si="87"/>
        <v>3484.4255497876861</v>
      </c>
      <c r="Q355" s="121"/>
      <c r="R355" s="191">
        <f t="shared" si="88"/>
        <v>58048.115445790958</v>
      </c>
      <c r="S355" s="191">
        <f t="shared" si="88"/>
        <v>18.324999999999999</v>
      </c>
      <c r="T355" s="191">
        <f t="shared" si="88"/>
        <v>26057.122299999999</v>
      </c>
      <c r="U355" s="191">
        <f t="shared" si="88"/>
        <v>0</v>
      </c>
      <c r="V355" s="191">
        <f t="shared" si="88"/>
        <v>5561.4861000000001</v>
      </c>
      <c r="W355" s="191">
        <f t="shared" si="88"/>
        <v>0</v>
      </c>
      <c r="X355" s="191">
        <f t="shared" si="88"/>
        <v>382550.29730000003</v>
      </c>
      <c r="Y355" s="191">
        <f t="shared" si="88"/>
        <v>0</v>
      </c>
      <c r="AQ355" s="3"/>
    </row>
    <row r="356" spans="3:43" x14ac:dyDescent="0.25">
      <c r="E356" s="60"/>
      <c r="F356" s="113" t="s">
        <v>211</v>
      </c>
      <c r="G356" s="113" t="s">
        <v>211</v>
      </c>
      <c r="J356" s="121"/>
      <c r="K356" s="191">
        <f t="shared" si="87"/>
        <v>4103.3721701347276</v>
      </c>
      <c r="L356" s="191">
        <f t="shared" si="87"/>
        <v>21.99813867057907</v>
      </c>
      <c r="M356" s="191">
        <f t="shared" si="87"/>
        <v>1571.7036335487671</v>
      </c>
      <c r="N356" s="191">
        <f t="shared" si="87"/>
        <v>8.1262089826560899</v>
      </c>
      <c r="O356" s="191">
        <f t="shared" si="87"/>
        <v>1.1072850062440645</v>
      </c>
      <c r="P356" s="191">
        <f t="shared" si="87"/>
        <v>75.007576408708928</v>
      </c>
      <c r="Q356" s="121"/>
      <c r="R356" s="191">
        <f t="shared" si="88"/>
        <v>32972.366465964653</v>
      </c>
      <c r="S356" s="191">
        <f t="shared" si="88"/>
        <v>0</v>
      </c>
      <c r="T356" s="191">
        <f t="shared" si="88"/>
        <v>717</v>
      </c>
      <c r="U356" s="191">
        <f t="shared" si="88"/>
        <v>0</v>
      </c>
      <c r="V356" s="191">
        <f t="shared" si="88"/>
        <v>36</v>
      </c>
      <c r="W356" s="191">
        <f t="shared" si="88"/>
        <v>0</v>
      </c>
      <c r="X356" s="191">
        <f t="shared" si="88"/>
        <v>286</v>
      </c>
      <c r="Y356" s="191">
        <f t="shared" si="88"/>
        <v>0</v>
      </c>
      <c r="AQ356" s="3"/>
    </row>
    <row r="357" spans="3:43" x14ac:dyDescent="0.25">
      <c r="E357" s="60"/>
      <c r="F357" s="113" t="s">
        <v>249</v>
      </c>
      <c r="G357" s="113" t="s">
        <v>250</v>
      </c>
      <c r="J357" s="121"/>
      <c r="K357" s="191">
        <f t="shared" si="87"/>
        <v>0</v>
      </c>
      <c r="L357" s="191">
        <f t="shared" si="87"/>
        <v>0</v>
      </c>
      <c r="M357" s="191">
        <f t="shared" si="87"/>
        <v>0</v>
      </c>
      <c r="N357" s="191">
        <f t="shared" si="87"/>
        <v>235</v>
      </c>
      <c r="O357" s="191">
        <f t="shared" si="87"/>
        <v>30</v>
      </c>
      <c r="P357" s="191">
        <f t="shared" si="87"/>
        <v>10815</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251</v>
      </c>
      <c r="G358" s="113" t="s">
        <v>250</v>
      </c>
      <c r="J358" s="121"/>
      <c r="K358" s="191">
        <f t="shared" si="87"/>
        <v>0</v>
      </c>
      <c r="L358" s="191">
        <f t="shared" si="87"/>
        <v>0</v>
      </c>
      <c r="M358" s="191">
        <f t="shared" si="87"/>
        <v>0</v>
      </c>
      <c r="N358" s="191">
        <f t="shared" si="87"/>
        <v>1.2328767123287672</v>
      </c>
      <c r="O358" s="191">
        <f t="shared" si="87"/>
        <v>0</v>
      </c>
      <c r="P358" s="191">
        <f t="shared" si="87"/>
        <v>1069.3095890410959</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252</v>
      </c>
      <c r="G359" s="115" t="s">
        <v>253</v>
      </c>
      <c r="H359" s="91"/>
      <c r="I359" s="91"/>
      <c r="J359" s="116"/>
      <c r="K359" s="143">
        <f t="shared" si="87"/>
        <v>0</v>
      </c>
      <c r="L359" s="143">
        <f t="shared" si="87"/>
        <v>0</v>
      </c>
      <c r="M359" s="143">
        <f t="shared" si="87"/>
        <v>0</v>
      </c>
      <c r="N359" s="143">
        <f t="shared" si="87"/>
        <v>11.863</v>
      </c>
      <c r="O359" s="143">
        <f t="shared" si="87"/>
        <v>7.0000000000000007E-2</v>
      </c>
      <c r="P359" s="143">
        <f t="shared" si="87"/>
        <v>3977.5509999999999</v>
      </c>
      <c r="Q359" s="116"/>
      <c r="R359" s="143">
        <f t="shared" si="88"/>
        <v>0</v>
      </c>
      <c r="S359" s="143">
        <f t="shared" si="88"/>
        <v>0</v>
      </c>
      <c r="T359" s="143">
        <f t="shared" si="88"/>
        <v>6309.8550000000005</v>
      </c>
      <c r="U359" s="143">
        <f t="shared" si="88"/>
        <v>0</v>
      </c>
      <c r="V359" s="143">
        <f t="shared" si="88"/>
        <v>614.85700000000008</v>
      </c>
      <c r="W359" s="143">
        <f t="shared" si="88"/>
        <v>0</v>
      </c>
      <c r="X359" s="143">
        <f t="shared" si="88"/>
        <v>31949.8</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954</v>
      </c>
      <c r="G363" s="46"/>
      <c r="I363" t="s">
        <v>153</v>
      </c>
      <c r="AQ363" s="3"/>
    </row>
    <row r="364" spans="3:43" x14ac:dyDescent="0.25">
      <c r="E364" s="60"/>
      <c r="F364" s="111" t="s">
        <v>246</v>
      </c>
      <c r="G364" s="111" t="s">
        <v>206</v>
      </c>
      <c r="H364" s="90"/>
      <c r="I364" s="90"/>
      <c r="J364" s="169">
        <f t="shared" ref="J364:J370" si="89">(1 - J315) * J114</f>
        <v>10676.84590112781</v>
      </c>
      <c r="K364" s="112"/>
      <c r="L364" s="169">
        <f t="shared" ref="L364:L370" si="90">(1 - L315) * L114</f>
        <v>359.95532934857306</v>
      </c>
      <c r="M364" s="112"/>
      <c r="N364" s="169">
        <f t="shared" ref="N364:Q370" si="91">(1 - N315) * N114</f>
        <v>68.939531851826004</v>
      </c>
      <c r="O364" s="169">
        <f t="shared" si="91"/>
        <v>0</v>
      </c>
      <c r="P364" s="169">
        <f t="shared" si="91"/>
        <v>0</v>
      </c>
      <c r="Q364" s="169">
        <f t="shared" si="91"/>
        <v>5.6106660233114241</v>
      </c>
      <c r="R364" s="112"/>
      <c r="S364" s="112"/>
      <c r="T364" s="112"/>
      <c r="U364" s="112"/>
      <c r="V364" s="112"/>
      <c r="W364" s="112"/>
      <c r="X364" s="112"/>
      <c r="Y364" s="112"/>
      <c r="AQ364" s="3"/>
    </row>
    <row r="365" spans="3:43" x14ac:dyDescent="0.25">
      <c r="E365" s="60"/>
      <c r="F365" s="113" t="s">
        <v>247</v>
      </c>
      <c r="G365" s="113" t="s">
        <v>206</v>
      </c>
      <c r="J365" s="191">
        <f t="shared" si="89"/>
        <v>25602.10707081118</v>
      </c>
      <c r="K365" s="121"/>
      <c r="L365" s="191">
        <f t="shared" si="90"/>
        <v>1300.16401291238</v>
      </c>
      <c r="M365" s="121"/>
      <c r="N365" s="191">
        <f t="shared" si="91"/>
        <v>211.25640185461094</v>
      </c>
      <c r="O365" s="191">
        <f t="shared" si="91"/>
        <v>0</v>
      </c>
      <c r="P365" s="191">
        <f t="shared" si="91"/>
        <v>0</v>
      </c>
      <c r="Q365" s="191">
        <f t="shared" si="91"/>
        <v>47.243130889083311</v>
      </c>
      <c r="R365" s="121"/>
      <c r="S365" s="121"/>
      <c r="T365" s="121"/>
      <c r="U365" s="121"/>
      <c r="V365" s="121"/>
      <c r="W365" s="121"/>
      <c r="X365" s="121"/>
      <c r="Y365" s="121"/>
      <c r="AQ365" s="3"/>
    </row>
    <row r="366" spans="3:43" x14ac:dyDescent="0.25">
      <c r="E366" s="60"/>
      <c r="F366" s="113" t="s">
        <v>248</v>
      </c>
      <c r="G366" s="113" t="s">
        <v>206</v>
      </c>
      <c r="J366" s="191">
        <f t="shared" si="89"/>
        <v>36529.065548672806</v>
      </c>
      <c r="K366" s="121"/>
      <c r="L366" s="191">
        <f t="shared" si="90"/>
        <v>1353.481780425944</v>
      </c>
      <c r="M366" s="121"/>
      <c r="N366" s="191">
        <f t="shared" si="91"/>
        <v>265.43537279000952</v>
      </c>
      <c r="O366" s="191">
        <f t="shared" si="91"/>
        <v>0</v>
      </c>
      <c r="P366" s="191">
        <f t="shared" si="91"/>
        <v>0</v>
      </c>
      <c r="Q366" s="191">
        <f t="shared" si="91"/>
        <v>82.723989290695599</v>
      </c>
      <c r="R366" s="121"/>
      <c r="S366" s="121"/>
      <c r="T366" s="121"/>
      <c r="U366" s="121"/>
      <c r="V366" s="121"/>
      <c r="W366" s="121"/>
      <c r="X366" s="121"/>
      <c r="Y366" s="121"/>
      <c r="AQ366" s="3"/>
    </row>
    <row r="367" spans="3:43" x14ac:dyDescent="0.25">
      <c r="E367" s="60"/>
      <c r="F367" s="113" t="s">
        <v>211</v>
      </c>
      <c r="G367" s="113" t="s">
        <v>211</v>
      </c>
      <c r="J367" s="191">
        <f t="shared" si="89"/>
        <v>26274.455696945683</v>
      </c>
      <c r="K367" s="121"/>
      <c r="L367" s="191">
        <f t="shared" si="90"/>
        <v>288.15100414265743</v>
      </c>
      <c r="M367" s="121"/>
      <c r="N367" s="191">
        <f t="shared" si="91"/>
        <v>6.1834979429754755</v>
      </c>
      <c r="O367" s="191">
        <f t="shared" si="91"/>
        <v>0</v>
      </c>
      <c r="P367" s="191">
        <f t="shared" si="91"/>
        <v>0</v>
      </c>
      <c r="Q367" s="191">
        <f t="shared" si="91"/>
        <v>88.887782930272479</v>
      </c>
      <c r="R367" s="121"/>
      <c r="S367" s="121"/>
      <c r="T367" s="121"/>
      <c r="U367" s="121"/>
      <c r="V367" s="121"/>
      <c r="W367" s="121"/>
      <c r="X367" s="121"/>
      <c r="Y367" s="121"/>
      <c r="AQ367" s="3"/>
    </row>
    <row r="368" spans="3:43" x14ac:dyDescent="0.25">
      <c r="E368" s="60"/>
      <c r="F368" s="113" t="s">
        <v>249</v>
      </c>
      <c r="G368" s="113" t="s">
        <v>250</v>
      </c>
      <c r="J368" s="191">
        <f t="shared" si="89"/>
        <v>0</v>
      </c>
      <c r="K368" s="121"/>
      <c r="L368" s="191">
        <f t="shared" si="90"/>
        <v>0</v>
      </c>
      <c r="M368" s="121"/>
      <c r="N368" s="191">
        <f t="shared" si="91"/>
        <v>269.62600308689417</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251</v>
      </c>
      <c r="G369" s="113" t="s">
        <v>250</v>
      </c>
      <c r="J369" s="191">
        <f t="shared" si="89"/>
        <v>0</v>
      </c>
      <c r="K369" s="121"/>
      <c r="L369" s="191">
        <f t="shared" si="90"/>
        <v>0</v>
      </c>
      <c r="M369" s="121"/>
      <c r="N369" s="191">
        <f t="shared" si="91"/>
        <v>28.947656875981743</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252</v>
      </c>
      <c r="G370" s="115" t="s">
        <v>253</v>
      </c>
      <c r="H370" s="91"/>
      <c r="I370" s="91"/>
      <c r="J370" s="143">
        <f t="shared" si="89"/>
        <v>0</v>
      </c>
      <c r="K370" s="116"/>
      <c r="L370" s="143">
        <f t="shared" si="90"/>
        <v>0</v>
      </c>
      <c r="M370" s="116"/>
      <c r="N370" s="143">
        <f t="shared" si="91"/>
        <v>16.320093755127427</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955</v>
      </c>
      <c r="G372" s="46"/>
      <c r="I372" t="s">
        <v>153</v>
      </c>
      <c r="AQ372" s="3"/>
    </row>
    <row r="373" spans="5:43" x14ac:dyDescent="0.25">
      <c r="E373" s="60"/>
      <c r="F373" s="111" t="s">
        <v>246</v>
      </c>
      <c r="G373" s="111" t="s">
        <v>206</v>
      </c>
      <c r="H373" s="90"/>
      <c r="I373" s="90"/>
      <c r="J373" s="169">
        <f t="shared" ref="J373:J379" si="92">(1 - J324) * J161</f>
        <v>10801.488488445637</v>
      </c>
      <c r="K373" s="112"/>
      <c r="L373" s="169">
        <f t="shared" ref="L373:L379" si="93">(1 - L324) * L161</f>
        <v>543.30544002602153</v>
      </c>
      <c r="M373" s="112"/>
      <c r="N373" s="169">
        <f t="shared" ref="N373:Q379" si="94">(1 - N324) * N161</f>
        <v>559.20272457341514</v>
      </c>
      <c r="O373" s="169">
        <f t="shared" si="94"/>
        <v>152.3754878119276</v>
      </c>
      <c r="P373" s="169">
        <f t="shared" si="94"/>
        <v>405.8596660670554</v>
      </c>
      <c r="Q373" s="169">
        <f t="shared" si="94"/>
        <v>8.3829489796059278</v>
      </c>
      <c r="R373" s="112"/>
      <c r="S373" s="112"/>
      <c r="T373" s="112"/>
      <c r="U373" s="112"/>
      <c r="V373" s="112"/>
      <c r="W373" s="112"/>
      <c r="X373" s="112"/>
      <c r="Y373" s="112"/>
      <c r="AQ373" s="3"/>
    </row>
    <row r="374" spans="5:43" x14ac:dyDescent="0.25">
      <c r="E374" s="60"/>
      <c r="F374" s="113" t="s">
        <v>247</v>
      </c>
      <c r="G374" s="113" t="s">
        <v>206</v>
      </c>
      <c r="J374" s="191">
        <f t="shared" si="92"/>
        <v>26582.962352675739</v>
      </c>
      <c r="K374" s="121"/>
      <c r="L374" s="191">
        <f t="shared" si="93"/>
        <v>1956.0012036988335</v>
      </c>
      <c r="M374" s="121"/>
      <c r="N374" s="191">
        <f t="shared" si="94"/>
        <v>1674.3747124048693</v>
      </c>
      <c r="O374" s="191">
        <f t="shared" si="94"/>
        <v>575.35061123938476</v>
      </c>
      <c r="P374" s="191">
        <f t="shared" si="94"/>
        <v>1306.207953481653</v>
      </c>
      <c r="Q374" s="191">
        <f t="shared" si="94"/>
        <v>79.110621689207392</v>
      </c>
      <c r="R374" s="121"/>
      <c r="S374" s="121"/>
      <c r="T374" s="121"/>
      <c r="U374" s="121"/>
      <c r="V374" s="121"/>
      <c r="W374" s="121"/>
      <c r="X374" s="121"/>
      <c r="Y374" s="121"/>
      <c r="AQ374" s="3"/>
    </row>
    <row r="375" spans="5:43" x14ac:dyDescent="0.25">
      <c r="E375" s="60"/>
      <c r="F375" s="113" t="s">
        <v>248</v>
      </c>
      <c r="G375" s="113" t="s">
        <v>206</v>
      </c>
      <c r="J375" s="191">
        <f t="shared" si="92"/>
        <v>38445.633190152243</v>
      </c>
      <c r="K375" s="121"/>
      <c r="L375" s="191">
        <f t="shared" si="93"/>
        <v>2071.3097511180854</v>
      </c>
      <c r="M375" s="121"/>
      <c r="N375" s="191">
        <f t="shared" si="94"/>
        <v>2258.1110051526562</v>
      </c>
      <c r="O375" s="191">
        <f t="shared" si="94"/>
        <v>659.06884972013529</v>
      </c>
      <c r="P375" s="191">
        <f t="shared" si="94"/>
        <v>2299.2916044146377</v>
      </c>
      <c r="Q375" s="191">
        <f t="shared" si="94"/>
        <v>123.68706577285565</v>
      </c>
      <c r="R375" s="121"/>
      <c r="S375" s="121"/>
      <c r="T375" s="121"/>
      <c r="U375" s="121"/>
      <c r="V375" s="121"/>
      <c r="W375" s="121"/>
      <c r="X375" s="121"/>
      <c r="Y375" s="121"/>
      <c r="AQ375" s="3"/>
    </row>
    <row r="376" spans="5:43" x14ac:dyDescent="0.25">
      <c r="E376" s="60"/>
      <c r="F376" s="113" t="s">
        <v>211</v>
      </c>
      <c r="G376" s="113" t="s">
        <v>211</v>
      </c>
      <c r="J376" s="191">
        <f t="shared" si="92"/>
        <v>28533.829451260179</v>
      </c>
      <c r="K376" s="121"/>
      <c r="L376" s="191">
        <f t="shared" si="93"/>
        <v>455.99227627990314</v>
      </c>
      <c r="M376" s="121"/>
      <c r="N376" s="191">
        <f t="shared" si="94"/>
        <v>50.474886917464552</v>
      </c>
      <c r="O376" s="191">
        <f t="shared" si="94"/>
        <v>1.8166391831960804</v>
      </c>
      <c r="P376" s="191">
        <f t="shared" si="94"/>
        <v>7.961881743414315</v>
      </c>
      <c r="Q376" s="191">
        <f t="shared" si="94"/>
        <v>100.41280695282843</v>
      </c>
      <c r="R376" s="121"/>
      <c r="S376" s="121"/>
      <c r="T376" s="121"/>
      <c r="U376" s="121"/>
      <c r="V376" s="121"/>
      <c r="W376" s="121"/>
      <c r="X376" s="121"/>
      <c r="Y376" s="121"/>
      <c r="AQ376" s="3"/>
    </row>
    <row r="377" spans="5:43" x14ac:dyDescent="0.25">
      <c r="E377" s="60"/>
      <c r="F377" s="113" t="s">
        <v>249</v>
      </c>
      <c r="G377" s="113" t="s">
        <v>250</v>
      </c>
      <c r="J377" s="191">
        <f t="shared" si="92"/>
        <v>0</v>
      </c>
      <c r="K377" s="121"/>
      <c r="L377" s="191">
        <f t="shared" si="93"/>
        <v>0</v>
      </c>
      <c r="M377" s="121"/>
      <c r="N377" s="191">
        <f t="shared" si="94"/>
        <v>3127.7763030059405</v>
      </c>
      <c r="O377" s="191">
        <f t="shared" si="94"/>
        <v>261.71682114038543</v>
      </c>
      <c r="P377" s="191">
        <f t="shared" si="94"/>
        <v>1624.6460531923358</v>
      </c>
      <c r="Q377" s="191">
        <f t="shared" si="94"/>
        <v>0</v>
      </c>
      <c r="R377" s="121"/>
      <c r="S377" s="121"/>
      <c r="T377" s="121"/>
      <c r="U377" s="121"/>
      <c r="V377" s="121"/>
      <c r="W377" s="121"/>
      <c r="X377" s="121"/>
      <c r="Y377" s="121"/>
      <c r="AQ377" s="3"/>
    </row>
    <row r="378" spans="5:43" x14ac:dyDescent="0.25">
      <c r="E378" s="60"/>
      <c r="F378" s="113" t="s">
        <v>251</v>
      </c>
      <c r="G378" s="113" t="s">
        <v>250</v>
      </c>
      <c r="J378" s="191">
        <f t="shared" si="92"/>
        <v>0</v>
      </c>
      <c r="K378" s="121"/>
      <c r="L378" s="191">
        <f t="shared" si="93"/>
        <v>0</v>
      </c>
      <c r="M378" s="121"/>
      <c r="N378" s="191">
        <f t="shared" si="94"/>
        <v>2.6450396174408266</v>
      </c>
      <c r="O378" s="191">
        <f t="shared" si="94"/>
        <v>0</v>
      </c>
      <c r="P378" s="191">
        <f t="shared" si="94"/>
        <v>0</v>
      </c>
      <c r="Q378" s="191">
        <f t="shared" si="94"/>
        <v>0</v>
      </c>
      <c r="R378" s="121"/>
      <c r="S378" s="121"/>
      <c r="T378" s="121"/>
      <c r="U378" s="121"/>
      <c r="V378" s="121"/>
      <c r="W378" s="121"/>
      <c r="X378" s="121"/>
      <c r="Y378" s="121"/>
      <c r="AQ378" s="3"/>
    </row>
    <row r="379" spans="5:43" x14ac:dyDescent="0.25">
      <c r="E379" s="60"/>
      <c r="F379" s="115" t="s">
        <v>252</v>
      </c>
      <c r="G379" s="115" t="s">
        <v>253</v>
      </c>
      <c r="H379" s="91"/>
      <c r="I379" s="91"/>
      <c r="J379" s="143">
        <f t="shared" si="92"/>
        <v>0</v>
      </c>
      <c r="K379" s="116"/>
      <c r="L379" s="143">
        <f t="shared" si="93"/>
        <v>0</v>
      </c>
      <c r="M379" s="116"/>
      <c r="N379" s="143">
        <f t="shared" si="94"/>
        <v>218.21382535207226</v>
      </c>
      <c r="O379" s="143">
        <f t="shared" si="94"/>
        <v>56.70112377794527</v>
      </c>
      <c r="P379" s="143">
        <f t="shared" si="94"/>
        <v>50.602612034396252</v>
      </c>
      <c r="Q379" s="143">
        <f t="shared" si="94"/>
        <v>0</v>
      </c>
      <c r="R379" s="116"/>
      <c r="S379" s="116"/>
      <c r="T379" s="116"/>
      <c r="U379" s="116"/>
      <c r="V379" s="116"/>
      <c r="W379" s="116"/>
      <c r="X379" s="116"/>
      <c r="Y379" s="116"/>
      <c r="AQ379" s="3"/>
    </row>
    <row r="380" spans="5:43" x14ac:dyDescent="0.25">
      <c r="AQ380" s="3"/>
    </row>
    <row r="381" spans="5:43" x14ac:dyDescent="0.25">
      <c r="E381" s="60" t="s">
        <v>953</v>
      </c>
      <c r="G381" s="46"/>
      <c r="I381" t="s">
        <v>153</v>
      </c>
      <c r="AQ381" s="3"/>
    </row>
    <row r="382" spans="5:43" x14ac:dyDescent="0.25">
      <c r="E382" s="60"/>
      <c r="F382" s="111" t="s">
        <v>246</v>
      </c>
      <c r="G382" s="111" t="s">
        <v>206</v>
      </c>
      <c r="H382" s="90"/>
      <c r="I382" s="90"/>
      <c r="J382" s="169">
        <f t="shared" ref="J382:J388" si="95">J67+J364+J373</f>
        <v>913454.1735418035</v>
      </c>
      <c r="K382" s="112"/>
      <c r="L382" s="169">
        <f t="shared" ref="L382:L388" si="96">L67+L364+L373</f>
        <v>17455.792992918039</v>
      </c>
      <c r="M382" s="112"/>
      <c r="N382" s="169">
        <f t="shared" ref="N382:Q388" si="97">N67+N364+N373</f>
        <v>63501.817163596941</v>
      </c>
      <c r="O382" s="169">
        <f t="shared" si="97"/>
        <v>987.26008454584189</v>
      </c>
      <c r="P382" s="169">
        <f t="shared" si="97"/>
        <v>32280.533912678635</v>
      </c>
      <c r="Q382" s="169">
        <f t="shared" si="97"/>
        <v>7388.2340001917337</v>
      </c>
      <c r="R382" s="112"/>
      <c r="S382" s="112"/>
      <c r="T382" s="112"/>
      <c r="U382" s="112"/>
      <c r="V382" s="112"/>
      <c r="W382" s="112"/>
      <c r="X382" s="112"/>
      <c r="Y382" s="112"/>
      <c r="AQ382" s="3"/>
    </row>
    <row r="383" spans="5:43" x14ac:dyDescent="0.25">
      <c r="E383" s="60"/>
      <c r="F383" s="113" t="s">
        <v>247</v>
      </c>
      <c r="G383" s="113" t="s">
        <v>206</v>
      </c>
      <c r="J383" s="191">
        <f t="shared" si="95"/>
        <v>2205334.3086330174</v>
      </c>
      <c r="K383" s="121"/>
      <c r="L383" s="191">
        <f t="shared" si="96"/>
        <v>62931.357376763488</v>
      </c>
      <c r="M383" s="121"/>
      <c r="N383" s="191">
        <f t="shared" si="97"/>
        <v>227223.98729172221</v>
      </c>
      <c r="O383" s="191">
        <f t="shared" si="97"/>
        <v>3440.4754873021093</v>
      </c>
      <c r="P383" s="191">
        <f t="shared" si="97"/>
        <v>117049.61655678801</v>
      </c>
      <c r="Q383" s="191">
        <f t="shared" si="97"/>
        <v>30003.16690372517</v>
      </c>
      <c r="R383" s="121"/>
      <c r="S383" s="121"/>
      <c r="T383" s="121"/>
      <c r="U383" s="121"/>
      <c r="V383" s="121"/>
      <c r="W383" s="121"/>
      <c r="X383" s="121"/>
      <c r="Y383" s="121"/>
      <c r="AQ383" s="3"/>
    </row>
    <row r="384" spans="5:43" x14ac:dyDescent="0.25">
      <c r="E384" s="60"/>
      <c r="F384" s="113" t="s">
        <v>248</v>
      </c>
      <c r="G384" s="113" t="s">
        <v>206</v>
      </c>
      <c r="J384" s="191">
        <f t="shared" si="95"/>
        <v>3256274.7370705893</v>
      </c>
      <c r="K384" s="121"/>
      <c r="L384" s="191">
        <f t="shared" si="96"/>
        <v>66980.821559370976</v>
      </c>
      <c r="M384" s="121"/>
      <c r="N384" s="191">
        <f t="shared" si="97"/>
        <v>247788.12385693393</v>
      </c>
      <c r="O384" s="191">
        <f t="shared" si="97"/>
        <v>4151.746255602884</v>
      </c>
      <c r="P384" s="191">
        <f t="shared" si="97"/>
        <v>141238.06677438464</v>
      </c>
      <c r="Q384" s="191">
        <f t="shared" si="97"/>
        <v>99744.809527368328</v>
      </c>
      <c r="R384" s="121"/>
      <c r="S384" s="121"/>
      <c r="T384" s="121"/>
      <c r="U384" s="121"/>
      <c r="V384" s="121"/>
      <c r="W384" s="121"/>
      <c r="X384" s="121"/>
      <c r="Y384" s="121"/>
      <c r="AQ384" s="3"/>
    </row>
    <row r="385" spans="3:43" x14ac:dyDescent="0.25">
      <c r="E385" s="60"/>
      <c r="F385" s="113" t="s">
        <v>211</v>
      </c>
      <c r="G385" s="113" t="s">
        <v>211</v>
      </c>
      <c r="J385" s="191">
        <f t="shared" si="95"/>
        <v>2211223.0038455967</v>
      </c>
      <c r="K385" s="121"/>
      <c r="L385" s="191">
        <f t="shared" si="96"/>
        <v>50708.548973421945</v>
      </c>
      <c r="M385" s="121"/>
      <c r="N385" s="191">
        <f t="shared" si="97"/>
        <v>6867.4372884490795</v>
      </c>
      <c r="O385" s="191">
        <f t="shared" si="97"/>
        <v>12.889489245636724</v>
      </c>
      <c r="P385" s="191">
        <f t="shared" si="97"/>
        <v>608.02249301308575</v>
      </c>
      <c r="Q385" s="191">
        <f t="shared" si="97"/>
        <v>813.16725654976756</v>
      </c>
      <c r="R385" s="121"/>
      <c r="S385" s="121"/>
      <c r="T385" s="121"/>
      <c r="U385" s="121"/>
      <c r="V385" s="121"/>
      <c r="W385" s="121"/>
      <c r="X385" s="121"/>
      <c r="Y385" s="121"/>
      <c r="AQ385" s="3"/>
    </row>
    <row r="386" spans="3:43" x14ac:dyDescent="0.25">
      <c r="E386" s="60"/>
      <c r="F386" s="113" t="s">
        <v>249</v>
      </c>
      <c r="G386" s="113" t="s">
        <v>250</v>
      </c>
      <c r="J386" s="191">
        <f t="shared" si="95"/>
        <v>0</v>
      </c>
      <c r="K386" s="121"/>
      <c r="L386" s="191">
        <f t="shared" si="96"/>
        <v>0</v>
      </c>
      <c r="M386" s="121"/>
      <c r="N386" s="191">
        <f t="shared" si="97"/>
        <v>314029.40230609284</v>
      </c>
      <c r="O386" s="191">
        <f t="shared" si="97"/>
        <v>812.71682114038549</v>
      </c>
      <c r="P386" s="191">
        <f t="shared" si="97"/>
        <v>150418.64605319232</v>
      </c>
      <c r="Q386" s="191">
        <f t="shared" si="97"/>
        <v>0</v>
      </c>
      <c r="R386" s="121"/>
      <c r="S386" s="121"/>
      <c r="T386" s="121"/>
      <c r="U386" s="121"/>
      <c r="V386" s="121"/>
      <c r="W386" s="121"/>
      <c r="X386" s="121"/>
      <c r="Y386" s="121"/>
      <c r="AQ386" s="3"/>
    </row>
    <row r="387" spans="3:43" x14ac:dyDescent="0.25">
      <c r="E387" s="60"/>
      <c r="F387" s="113" t="s">
        <v>251</v>
      </c>
      <c r="G387" s="113" t="s">
        <v>250</v>
      </c>
      <c r="J387" s="191">
        <f t="shared" si="95"/>
        <v>0</v>
      </c>
      <c r="K387" s="121"/>
      <c r="L387" s="191">
        <f t="shared" si="96"/>
        <v>0</v>
      </c>
      <c r="M387" s="121"/>
      <c r="N387" s="191">
        <f t="shared" si="97"/>
        <v>20860.962559507119</v>
      </c>
      <c r="O387" s="191">
        <f t="shared" si="97"/>
        <v>106.63561643835617</v>
      </c>
      <c r="P387" s="191">
        <f t="shared" si="97"/>
        <v>8063.7479452054795</v>
      </c>
      <c r="Q387" s="191">
        <f t="shared" si="97"/>
        <v>0</v>
      </c>
      <c r="R387" s="121"/>
      <c r="S387" s="121"/>
      <c r="T387" s="121"/>
      <c r="U387" s="121"/>
      <c r="V387" s="121"/>
      <c r="W387" s="121"/>
      <c r="X387" s="121"/>
      <c r="Y387" s="121"/>
      <c r="AQ387" s="3"/>
    </row>
    <row r="388" spans="3:43" x14ac:dyDescent="0.25">
      <c r="E388" s="60"/>
      <c r="F388" s="115" t="s">
        <v>252</v>
      </c>
      <c r="G388" s="115" t="s">
        <v>253</v>
      </c>
      <c r="H388" s="91"/>
      <c r="I388" s="91"/>
      <c r="J388" s="143">
        <f t="shared" si="95"/>
        <v>0</v>
      </c>
      <c r="K388" s="116"/>
      <c r="L388" s="143">
        <f t="shared" si="96"/>
        <v>0</v>
      </c>
      <c r="M388" s="116"/>
      <c r="N388" s="143">
        <f t="shared" si="97"/>
        <v>48825.922919107208</v>
      </c>
      <c r="O388" s="143">
        <f t="shared" si="97"/>
        <v>645.46512377794534</v>
      </c>
      <c r="P388" s="143">
        <f t="shared" si="97"/>
        <v>40006.871612034396</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965</v>
      </c>
      <c r="G392" s="46"/>
      <c r="I392" t="s">
        <v>153</v>
      </c>
      <c r="AQ392" s="3"/>
    </row>
    <row r="393" spans="3:43" x14ac:dyDescent="0.25">
      <c r="E393" s="60"/>
      <c r="F393" s="111" t="s">
        <v>246</v>
      </c>
      <c r="G393" s="111" t="s">
        <v>206</v>
      </c>
      <c r="H393" s="90"/>
      <c r="I393" s="90"/>
      <c r="J393" s="112"/>
      <c r="K393" s="112"/>
      <c r="L393" s="169">
        <f t="shared" ref="L393:L399" si="98">(1 - L315) * L123</f>
        <v>47.631267487461123</v>
      </c>
      <c r="M393" s="112"/>
      <c r="N393" s="169">
        <f t="shared" ref="N393:P399" si="99">(1 - N315) * N123</f>
        <v>376.01580119272177</v>
      </c>
      <c r="O393" s="169">
        <f t="shared" si="99"/>
        <v>0</v>
      </c>
      <c r="P393" s="169">
        <f t="shared" si="99"/>
        <v>0</v>
      </c>
      <c r="Q393" s="112"/>
      <c r="R393" s="112"/>
      <c r="S393" s="112"/>
      <c r="T393" s="112"/>
      <c r="U393" s="112"/>
      <c r="V393" s="112"/>
      <c r="W393" s="112"/>
      <c r="X393" s="112"/>
      <c r="Y393" s="112"/>
      <c r="AQ393" s="3"/>
    </row>
    <row r="394" spans="3:43" x14ac:dyDescent="0.25">
      <c r="E394" s="60"/>
      <c r="F394" s="113" t="s">
        <v>247</v>
      </c>
      <c r="G394" s="113" t="s">
        <v>206</v>
      </c>
      <c r="J394" s="121"/>
      <c r="K394" s="121"/>
      <c r="L394" s="191">
        <f t="shared" si="98"/>
        <v>170.97346298768645</v>
      </c>
      <c r="M394" s="121"/>
      <c r="N394" s="191">
        <f t="shared" si="99"/>
        <v>1219.5316641345801</v>
      </c>
      <c r="O394" s="191">
        <f t="shared" si="99"/>
        <v>0</v>
      </c>
      <c r="P394" s="191">
        <f t="shared" si="99"/>
        <v>0</v>
      </c>
      <c r="Q394" s="121"/>
      <c r="R394" s="121"/>
      <c r="S394" s="121"/>
      <c r="T394" s="121"/>
      <c r="U394" s="121"/>
      <c r="V394" s="121"/>
      <c r="W394" s="121"/>
      <c r="X394" s="121"/>
      <c r="Y394" s="121"/>
      <c r="AQ394" s="3"/>
    </row>
    <row r="395" spans="3:43" x14ac:dyDescent="0.25">
      <c r="E395" s="60"/>
      <c r="F395" s="113" t="s">
        <v>248</v>
      </c>
      <c r="G395" s="113" t="s">
        <v>206</v>
      </c>
      <c r="J395" s="121"/>
      <c r="K395" s="121"/>
      <c r="L395" s="191">
        <f t="shared" si="98"/>
        <v>179.5533646407826</v>
      </c>
      <c r="M395" s="121"/>
      <c r="N395" s="191">
        <f t="shared" si="99"/>
        <v>1572.5854914996107</v>
      </c>
      <c r="O395" s="191">
        <f t="shared" si="99"/>
        <v>0</v>
      </c>
      <c r="P395" s="191">
        <f t="shared" si="99"/>
        <v>0</v>
      </c>
      <c r="Q395" s="121"/>
      <c r="R395" s="121"/>
      <c r="S395" s="121"/>
      <c r="T395" s="121"/>
      <c r="U395" s="121"/>
      <c r="V395" s="121"/>
      <c r="W395" s="121"/>
      <c r="X395" s="121"/>
      <c r="Y395" s="121"/>
      <c r="AQ395" s="3"/>
    </row>
    <row r="396" spans="3:43" x14ac:dyDescent="0.25">
      <c r="E396" s="60"/>
      <c r="F396" s="113" t="s">
        <v>211</v>
      </c>
      <c r="G396" s="113" t="s">
        <v>211</v>
      </c>
      <c r="J396" s="121"/>
      <c r="K396" s="121"/>
      <c r="L396" s="191">
        <f t="shared" si="98"/>
        <v>46.917290642326421</v>
      </c>
      <c r="M396" s="121"/>
      <c r="N396" s="191">
        <f t="shared" si="99"/>
        <v>36.328050414980943</v>
      </c>
      <c r="O396" s="191">
        <f t="shared" si="99"/>
        <v>0</v>
      </c>
      <c r="P396" s="191">
        <f t="shared" si="99"/>
        <v>0</v>
      </c>
      <c r="Q396" s="121"/>
      <c r="R396" s="121"/>
      <c r="S396" s="121"/>
      <c r="T396" s="121"/>
      <c r="U396" s="121"/>
      <c r="V396" s="121"/>
      <c r="W396" s="121"/>
      <c r="X396" s="121"/>
      <c r="Y396" s="121"/>
      <c r="AQ396" s="3"/>
    </row>
    <row r="397" spans="3:43" x14ac:dyDescent="0.25">
      <c r="E397" s="60"/>
      <c r="F397" s="113" t="s">
        <v>249</v>
      </c>
      <c r="G397" s="113" t="s">
        <v>250</v>
      </c>
      <c r="J397" s="121"/>
      <c r="K397" s="121"/>
      <c r="L397" s="191">
        <f t="shared" si="98"/>
        <v>0</v>
      </c>
      <c r="M397" s="121"/>
      <c r="N397" s="191">
        <f t="shared" si="99"/>
        <v>3149.3980052198235</v>
      </c>
      <c r="O397" s="191">
        <f t="shared" si="99"/>
        <v>0</v>
      </c>
      <c r="P397" s="191">
        <f t="shared" si="99"/>
        <v>0</v>
      </c>
      <c r="Q397" s="121"/>
      <c r="R397" s="121"/>
      <c r="S397" s="121"/>
      <c r="T397" s="121"/>
      <c r="U397" s="121"/>
      <c r="V397" s="121"/>
      <c r="W397" s="121"/>
      <c r="X397" s="121"/>
      <c r="Y397" s="121"/>
      <c r="AQ397" s="3"/>
    </row>
    <row r="398" spans="3:43" x14ac:dyDescent="0.25">
      <c r="E398" s="60"/>
      <c r="F398" s="113" t="s">
        <v>251</v>
      </c>
      <c r="G398" s="113" t="s">
        <v>250</v>
      </c>
      <c r="J398" s="121"/>
      <c r="K398" s="121"/>
      <c r="L398" s="191">
        <f t="shared" si="98"/>
        <v>0</v>
      </c>
      <c r="M398" s="121"/>
      <c r="N398" s="191">
        <f t="shared" si="99"/>
        <v>2.6749450792037535</v>
      </c>
      <c r="O398" s="191">
        <f t="shared" si="99"/>
        <v>0</v>
      </c>
      <c r="P398" s="191">
        <f t="shared" si="99"/>
        <v>0</v>
      </c>
      <c r="Q398" s="121"/>
      <c r="R398" s="121"/>
      <c r="S398" s="121"/>
      <c r="T398" s="121"/>
      <c r="U398" s="121"/>
      <c r="V398" s="121"/>
      <c r="W398" s="121"/>
      <c r="X398" s="121"/>
      <c r="Y398" s="121"/>
      <c r="AQ398" s="3"/>
    </row>
    <row r="399" spans="3:43" x14ac:dyDescent="0.25">
      <c r="E399" s="60"/>
      <c r="F399" s="115" t="s">
        <v>252</v>
      </c>
      <c r="G399" s="115" t="s">
        <v>253</v>
      </c>
      <c r="H399" s="91"/>
      <c r="I399" s="91"/>
      <c r="J399" s="116"/>
      <c r="K399" s="116"/>
      <c r="L399" s="143">
        <f t="shared" si="98"/>
        <v>0</v>
      </c>
      <c r="M399" s="116"/>
      <c r="N399" s="143">
        <f t="shared" si="99"/>
        <v>123.27906628804935</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966</v>
      </c>
      <c r="G401" s="46"/>
      <c r="I401" t="s">
        <v>153</v>
      </c>
      <c r="AQ401" s="3"/>
    </row>
    <row r="402" spans="5:43" x14ac:dyDescent="0.25">
      <c r="E402" s="60"/>
      <c r="F402" s="111" t="s">
        <v>246</v>
      </c>
      <c r="G402" s="111" t="s">
        <v>206</v>
      </c>
      <c r="H402" s="90"/>
      <c r="I402" s="90"/>
      <c r="J402" s="112"/>
      <c r="K402" s="112"/>
      <c r="L402" s="169">
        <f t="shared" ref="L402:L408" si="100">(1 - L324) * L170</f>
        <v>9.1477463895560671</v>
      </c>
      <c r="M402" s="112"/>
      <c r="N402" s="169">
        <f t="shared" ref="N402:P408" si="101">(1 - N324) * N170</f>
        <v>1785.2689283966488</v>
      </c>
      <c r="O402" s="169">
        <f t="shared" si="101"/>
        <v>54.177563094404988</v>
      </c>
      <c r="P402" s="169">
        <f t="shared" si="101"/>
        <v>1028.9074850722066</v>
      </c>
      <c r="Q402" s="112"/>
      <c r="R402" s="112"/>
      <c r="S402" s="112"/>
      <c r="T402" s="112"/>
      <c r="U402" s="112"/>
      <c r="V402" s="112"/>
      <c r="W402" s="112"/>
      <c r="X402" s="112"/>
      <c r="Y402" s="112"/>
      <c r="AQ402" s="3"/>
    </row>
    <row r="403" spans="5:43" x14ac:dyDescent="0.25">
      <c r="E403" s="60"/>
      <c r="F403" s="113" t="s">
        <v>247</v>
      </c>
      <c r="G403" s="113" t="s">
        <v>206</v>
      </c>
      <c r="J403" s="121"/>
      <c r="K403" s="121"/>
      <c r="L403" s="191">
        <f t="shared" si="100"/>
        <v>34.23763097004516</v>
      </c>
      <c r="M403" s="121"/>
      <c r="N403" s="191">
        <f t="shared" si="101"/>
        <v>5496.7814650832461</v>
      </c>
      <c r="O403" s="191">
        <f t="shared" si="101"/>
        <v>306.47405609620091</v>
      </c>
      <c r="P403" s="191">
        <f t="shared" si="101"/>
        <v>3504.4748403922163</v>
      </c>
      <c r="Q403" s="121"/>
      <c r="R403" s="121"/>
      <c r="S403" s="121"/>
      <c r="T403" s="121"/>
      <c r="U403" s="121"/>
      <c r="V403" s="121"/>
      <c r="W403" s="121"/>
      <c r="X403" s="121"/>
      <c r="Y403" s="121"/>
      <c r="AQ403" s="3"/>
    </row>
    <row r="404" spans="5:43" x14ac:dyDescent="0.25">
      <c r="E404" s="60"/>
      <c r="F404" s="113" t="s">
        <v>248</v>
      </c>
      <c r="G404" s="113" t="s">
        <v>206</v>
      </c>
      <c r="J404" s="121"/>
      <c r="K404" s="121"/>
      <c r="L404" s="191">
        <f t="shared" si="100"/>
        <v>33.997365652292991</v>
      </c>
      <c r="M404" s="121"/>
      <c r="N404" s="191">
        <f t="shared" si="101"/>
        <v>7206.978169375966</v>
      </c>
      <c r="O404" s="191">
        <f t="shared" si="101"/>
        <v>194.16361673905831</v>
      </c>
      <c r="P404" s="191">
        <f t="shared" si="101"/>
        <v>3685.6273743976858</v>
      </c>
      <c r="Q404" s="121"/>
      <c r="R404" s="121"/>
      <c r="S404" s="121"/>
      <c r="T404" s="121"/>
      <c r="U404" s="121"/>
      <c r="V404" s="121"/>
      <c r="W404" s="121"/>
      <c r="X404" s="121"/>
      <c r="Y404" s="121"/>
      <c r="AQ404" s="3"/>
    </row>
    <row r="405" spans="5:43" x14ac:dyDescent="0.25">
      <c r="E405" s="60"/>
      <c r="F405" s="113" t="s">
        <v>211</v>
      </c>
      <c r="G405" s="113" t="s">
        <v>211</v>
      </c>
      <c r="J405" s="121"/>
      <c r="K405" s="121"/>
      <c r="L405" s="191">
        <f t="shared" si="100"/>
        <v>19.8677746377254</v>
      </c>
      <c r="M405" s="121"/>
      <c r="N405" s="191">
        <f t="shared" si="101"/>
        <v>87.525601782411925</v>
      </c>
      <c r="O405" s="191">
        <f t="shared" si="101"/>
        <v>1.8166391831960804</v>
      </c>
      <c r="P405" s="191">
        <f t="shared" si="101"/>
        <v>10.236705098675543</v>
      </c>
      <c r="Q405" s="121"/>
      <c r="R405" s="121"/>
      <c r="S405" s="121"/>
      <c r="T405" s="121"/>
      <c r="U405" s="121"/>
      <c r="V405" s="121"/>
      <c r="W405" s="121"/>
      <c r="X405" s="121"/>
      <c r="Y405" s="121"/>
      <c r="AQ405" s="3"/>
    </row>
    <row r="406" spans="5:43" x14ac:dyDescent="0.25">
      <c r="E406" s="60"/>
      <c r="F406" s="113" t="s">
        <v>249</v>
      </c>
      <c r="G406" s="113" t="s">
        <v>250</v>
      </c>
      <c r="J406" s="121"/>
      <c r="K406" s="121"/>
      <c r="L406" s="191">
        <f t="shared" si="100"/>
        <v>0</v>
      </c>
      <c r="M406" s="121"/>
      <c r="N406" s="191">
        <f t="shared" si="101"/>
        <v>10541.856261456904</v>
      </c>
      <c r="O406" s="191">
        <f t="shared" si="101"/>
        <v>139.58230460820559</v>
      </c>
      <c r="P406" s="191">
        <f t="shared" si="101"/>
        <v>6137.6488604463557</v>
      </c>
      <c r="Q406" s="121"/>
      <c r="R406" s="121"/>
      <c r="S406" s="121"/>
      <c r="T406" s="121"/>
      <c r="U406" s="121"/>
      <c r="V406" s="121"/>
      <c r="W406" s="121"/>
      <c r="X406" s="121"/>
      <c r="Y406" s="121"/>
      <c r="AQ406" s="3"/>
    </row>
    <row r="407" spans="5:43" x14ac:dyDescent="0.25">
      <c r="E407" s="60"/>
      <c r="F407" s="113" t="s">
        <v>251</v>
      </c>
      <c r="G407" s="113" t="s">
        <v>250</v>
      </c>
      <c r="J407" s="121"/>
      <c r="K407" s="121"/>
      <c r="L407" s="191">
        <f t="shared" si="100"/>
        <v>0</v>
      </c>
      <c r="M407" s="121"/>
      <c r="N407" s="191">
        <f t="shared" si="101"/>
        <v>0</v>
      </c>
      <c r="O407" s="191">
        <f t="shared" si="101"/>
        <v>85.969315034103161</v>
      </c>
      <c r="P407" s="191">
        <f t="shared" si="101"/>
        <v>0</v>
      </c>
      <c r="Q407" s="121"/>
      <c r="R407" s="121"/>
      <c r="S407" s="121"/>
      <c r="T407" s="121"/>
      <c r="U407" s="121"/>
      <c r="V407" s="121"/>
      <c r="W407" s="121"/>
      <c r="X407" s="121"/>
      <c r="Y407" s="121"/>
      <c r="AQ407" s="3"/>
    </row>
    <row r="408" spans="5:43" x14ac:dyDescent="0.25">
      <c r="E408" s="60"/>
      <c r="F408" s="115" t="s">
        <v>252</v>
      </c>
      <c r="G408" s="115" t="s">
        <v>253</v>
      </c>
      <c r="H408" s="91"/>
      <c r="I408" s="91"/>
      <c r="J408" s="116"/>
      <c r="K408" s="116"/>
      <c r="L408" s="143">
        <f t="shared" si="100"/>
        <v>0</v>
      </c>
      <c r="M408" s="116"/>
      <c r="N408" s="143">
        <f t="shared" si="101"/>
        <v>630.88374377666912</v>
      </c>
      <c r="O408" s="143">
        <f t="shared" si="101"/>
        <v>17.627151337447241</v>
      </c>
      <c r="P408" s="143">
        <f t="shared" si="101"/>
        <v>107.29742828439433</v>
      </c>
      <c r="Q408" s="116"/>
      <c r="R408" s="116"/>
      <c r="S408" s="116"/>
      <c r="T408" s="116"/>
      <c r="U408" s="116"/>
      <c r="V408" s="116"/>
      <c r="W408" s="116"/>
      <c r="X408" s="116"/>
      <c r="Y408" s="116"/>
      <c r="AQ408" s="3"/>
    </row>
    <row r="409" spans="5:43" x14ac:dyDescent="0.25">
      <c r="AQ409" s="3"/>
    </row>
    <row r="410" spans="5:43" x14ac:dyDescent="0.25">
      <c r="E410" s="60" t="s">
        <v>967</v>
      </c>
      <c r="G410" s="46"/>
      <c r="I410" t="s">
        <v>153</v>
      </c>
      <c r="AQ410" s="3"/>
    </row>
    <row r="411" spans="5:43" x14ac:dyDescent="0.25">
      <c r="E411" s="60"/>
      <c r="F411" s="111" t="s">
        <v>246</v>
      </c>
      <c r="G411" s="111" t="s">
        <v>206</v>
      </c>
      <c r="H411" s="90"/>
      <c r="I411" s="90"/>
      <c r="J411" s="112"/>
      <c r="K411" s="112"/>
      <c r="L411" s="169">
        <f t="shared" ref="L411:L417" si="102">L76+L393+L402</f>
        <v>40589.387749905822</v>
      </c>
      <c r="M411" s="112"/>
      <c r="N411" s="169">
        <f t="shared" ref="N411:P417" si="103">N76+N393+N402</f>
        <v>87523.696794855496</v>
      </c>
      <c r="O411" s="169">
        <f t="shared" si="103"/>
        <v>1314.8316275491463</v>
      </c>
      <c r="P411" s="169">
        <f t="shared" si="103"/>
        <v>108471.97690409535</v>
      </c>
      <c r="Q411" s="112"/>
      <c r="R411" s="112"/>
      <c r="S411" s="112"/>
      <c r="T411" s="112"/>
      <c r="U411" s="112"/>
      <c r="V411" s="112"/>
      <c r="W411" s="112"/>
      <c r="X411" s="112"/>
      <c r="Y411" s="112"/>
      <c r="AQ411" s="3"/>
    </row>
    <row r="412" spans="5:43" x14ac:dyDescent="0.25">
      <c r="E412" s="60"/>
      <c r="F412" s="113" t="s">
        <v>247</v>
      </c>
      <c r="G412" s="113" t="s">
        <v>206</v>
      </c>
      <c r="J412" s="121"/>
      <c r="K412" s="121"/>
      <c r="L412" s="191">
        <f t="shared" si="102"/>
        <v>146508.01072477657</v>
      </c>
      <c r="M412" s="121"/>
      <c r="N412" s="191">
        <f t="shared" si="103"/>
        <v>301176.22088279913</v>
      </c>
      <c r="O412" s="191">
        <f t="shared" si="103"/>
        <v>4468.9871351334423</v>
      </c>
      <c r="P412" s="191">
        <f t="shared" si="103"/>
        <v>372505.33476005297</v>
      </c>
      <c r="Q412" s="121"/>
      <c r="R412" s="121"/>
      <c r="S412" s="121"/>
      <c r="T412" s="121"/>
      <c r="U412" s="121"/>
      <c r="V412" s="121"/>
      <c r="W412" s="121"/>
      <c r="X412" s="121"/>
      <c r="Y412" s="121"/>
      <c r="AQ412" s="3"/>
    </row>
    <row r="413" spans="5:43" x14ac:dyDescent="0.25">
      <c r="E413" s="60"/>
      <c r="F413" s="113" t="s">
        <v>248</v>
      </c>
      <c r="G413" s="113" t="s">
        <v>206</v>
      </c>
      <c r="J413" s="121"/>
      <c r="K413" s="121"/>
      <c r="L413" s="191">
        <f t="shared" si="102"/>
        <v>156920.28452086382</v>
      </c>
      <c r="M413" s="121"/>
      <c r="N413" s="191">
        <f t="shared" si="103"/>
        <v>335160.65596344805</v>
      </c>
      <c r="O413" s="191">
        <f t="shared" si="103"/>
        <v>5094.0932196201147</v>
      </c>
      <c r="P413" s="191">
        <f t="shared" si="103"/>
        <v>470943.49719390366</v>
      </c>
      <c r="Q413" s="121"/>
      <c r="R413" s="121"/>
      <c r="S413" s="121"/>
      <c r="T413" s="121"/>
      <c r="U413" s="121"/>
      <c r="V413" s="121"/>
      <c r="W413" s="121"/>
      <c r="X413" s="121"/>
      <c r="Y413" s="121"/>
      <c r="AQ413" s="3"/>
    </row>
    <row r="414" spans="5:43" x14ac:dyDescent="0.25">
      <c r="E414" s="60"/>
      <c r="F414" s="113" t="s">
        <v>211</v>
      </c>
      <c r="G414" s="113" t="s">
        <v>211</v>
      </c>
      <c r="J414" s="121"/>
      <c r="K414" s="121"/>
      <c r="L414" s="191">
        <f t="shared" si="102"/>
        <v>46377.166603043697</v>
      </c>
      <c r="M414" s="121"/>
      <c r="N414" s="191">
        <f t="shared" si="103"/>
        <v>4708.0512945382643</v>
      </c>
      <c r="O414" s="191">
        <f t="shared" si="103"/>
        <v>35.035189370518033</v>
      </c>
      <c r="P414" s="191">
        <f t="shared" si="103"/>
        <v>698.30620602123213</v>
      </c>
      <c r="Q414" s="121"/>
      <c r="R414" s="121"/>
      <c r="S414" s="121"/>
      <c r="T414" s="121"/>
      <c r="U414" s="121"/>
      <c r="V414" s="121"/>
      <c r="W414" s="121"/>
      <c r="X414" s="121"/>
      <c r="Y414" s="121"/>
      <c r="AQ414" s="3"/>
    </row>
    <row r="415" spans="5:43" x14ac:dyDescent="0.25">
      <c r="E415" s="60"/>
      <c r="F415" s="113" t="s">
        <v>249</v>
      </c>
      <c r="G415" s="113" t="s">
        <v>250</v>
      </c>
      <c r="J415" s="121"/>
      <c r="K415" s="121"/>
      <c r="L415" s="191">
        <f t="shared" si="102"/>
        <v>0</v>
      </c>
      <c r="M415" s="121"/>
      <c r="N415" s="191">
        <f t="shared" si="103"/>
        <v>528624.25426667673</v>
      </c>
      <c r="O415" s="191">
        <f t="shared" si="103"/>
        <v>4074.5823046082055</v>
      </c>
      <c r="P415" s="191">
        <f t="shared" si="103"/>
        <v>483174.64886044635</v>
      </c>
      <c r="Q415" s="121"/>
      <c r="R415" s="121"/>
      <c r="S415" s="121"/>
      <c r="T415" s="121"/>
      <c r="U415" s="121"/>
      <c r="V415" s="121"/>
      <c r="W415" s="121"/>
      <c r="X415" s="121"/>
      <c r="Y415" s="121"/>
      <c r="AQ415" s="3"/>
    </row>
    <row r="416" spans="5:43" x14ac:dyDescent="0.25">
      <c r="E416" s="60"/>
      <c r="F416" s="113" t="s">
        <v>251</v>
      </c>
      <c r="G416" s="113" t="s">
        <v>250</v>
      </c>
      <c r="J416" s="121"/>
      <c r="K416" s="121"/>
      <c r="L416" s="191">
        <f t="shared" si="102"/>
        <v>0</v>
      </c>
      <c r="M416" s="121"/>
      <c r="N416" s="191">
        <f t="shared" si="103"/>
        <v>8093.3023423394779</v>
      </c>
      <c r="O416" s="191">
        <f t="shared" si="103"/>
        <v>289.13095886971962</v>
      </c>
      <c r="P416" s="191">
        <f t="shared" si="103"/>
        <v>6804.5150684931505</v>
      </c>
      <c r="Q416" s="121"/>
      <c r="R416" s="121"/>
      <c r="S416" s="121"/>
      <c r="T416" s="121"/>
      <c r="U416" s="121"/>
      <c r="V416" s="121"/>
      <c r="W416" s="121"/>
      <c r="X416" s="121"/>
      <c r="Y416" s="121"/>
      <c r="AQ416" s="3"/>
    </row>
    <row r="417" spans="3:43" x14ac:dyDescent="0.25">
      <c r="E417" s="60"/>
      <c r="F417" s="115" t="s">
        <v>252</v>
      </c>
      <c r="G417" s="115" t="s">
        <v>253</v>
      </c>
      <c r="H417" s="91"/>
      <c r="I417" s="91"/>
      <c r="J417" s="116"/>
      <c r="K417" s="116"/>
      <c r="L417" s="143">
        <f t="shared" si="102"/>
        <v>0</v>
      </c>
      <c r="M417" s="116"/>
      <c r="N417" s="143">
        <f t="shared" si="103"/>
        <v>63272.735810064718</v>
      </c>
      <c r="O417" s="143">
        <f t="shared" si="103"/>
        <v>981.47515133744719</v>
      </c>
      <c r="P417" s="143">
        <f t="shared" si="103"/>
        <v>84858.318428284387</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962</v>
      </c>
      <c r="G421" s="46"/>
      <c r="I421" t="s">
        <v>153</v>
      </c>
      <c r="AQ421" s="3"/>
    </row>
    <row r="422" spans="3:43" x14ac:dyDescent="0.25">
      <c r="E422" s="60"/>
      <c r="F422" s="111" t="s">
        <v>246</v>
      </c>
      <c r="G422" s="111" t="s">
        <v>206</v>
      </c>
      <c r="H422" s="90"/>
      <c r="I422" s="90"/>
      <c r="J422" s="112"/>
      <c r="K422" s="112"/>
      <c r="L422" s="169">
        <f t="shared" ref="L422:L428" si="104">(1 - L315) * L132</f>
        <v>17.350557206731441</v>
      </c>
      <c r="M422" s="112"/>
      <c r="N422" s="169">
        <f t="shared" ref="N422:P428" si="105">(1 - N315) * N132</f>
        <v>1025.7623230279632</v>
      </c>
      <c r="O422" s="169">
        <f t="shared" si="105"/>
        <v>0</v>
      </c>
      <c r="P422" s="169">
        <f t="shared" si="105"/>
        <v>0</v>
      </c>
      <c r="Q422" s="112"/>
      <c r="R422" s="112"/>
      <c r="S422" s="112"/>
      <c r="T422" s="112"/>
      <c r="U422" s="112"/>
      <c r="V422" s="112"/>
      <c r="W422" s="112"/>
      <c r="X422" s="112"/>
      <c r="Y422" s="112"/>
      <c r="AQ422" s="3"/>
    </row>
    <row r="423" spans="3:43" x14ac:dyDescent="0.25">
      <c r="E423" s="60"/>
      <c r="F423" s="113" t="s">
        <v>247</v>
      </c>
      <c r="G423" s="113" t="s">
        <v>206</v>
      </c>
      <c r="J423" s="121"/>
      <c r="K423" s="121"/>
      <c r="L423" s="191">
        <f t="shared" si="104"/>
        <v>61.111381112800878</v>
      </c>
      <c r="M423" s="121"/>
      <c r="N423" s="191">
        <f t="shared" si="105"/>
        <v>3115.1321522608973</v>
      </c>
      <c r="O423" s="191">
        <f t="shared" si="105"/>
        <v>0</v>
      </c>
      <c r="P423" s="191">
        <f t="shared" si="105"/>
        <v>0</v>
      </c>
      <c r="Q423" s="121"/>
      <c r="R423" s="121"/>
      <c r="S423" s="121"/>
      <c r="T423" s="121"/>
      <c r="U423" s="121"/>
      <c r="V423" s="121"/>
      <c r="W423" s="121"/>
      <c r="X423" s="121"/>
      <c r="Y423" s="121"/>
      <c r="AQ423" s="3"/>
    </row>
    <row r="424" spans="3:43" x14ac:dyDescent="0.25">
      <c r="E424" s="60"/>
      <c r="F424" s="113" t="s">
        <v>248</v>
      </c>
      <c r="G424" s="113" t="s">
        <v>206</v>
      </c>
      <c r="J424" s="121"/>
      <c r="K424" s="121"/>
      <c r="L424" s="191">
        <f t="shared" si="104"/>
        <v>64.139220575520937</v>
      </c>
      <c r="M424" s="121"/>
      <c r="N424" s="191">
        <f t="shared" si="105"/>
        <v>4269.5875655386408</v>
      </c>
      <c r="O424" s="191">
        <f t="shared" si="105"/>
        <v>0</v>
      </c>
      <c r="P424" s="191">
        <f t="shared" si="105"/>
        <v>0</v>
      </c>
      <c r="Q424" s="121"/>
      <c r="R424" s="121"/>
      <c r="S424" s="121"/>
      <c r="T424" s="121"/>
      <c r="U424" s="121"/>
      <c r="V424" s="121"/>
      <c r="W424" s="121"/>
      <c r="X424" s="121"/>
      <c r="Y424" s="121"/>
      <c r="AQ424" s="3"/>
    </row>
    <row r="425" spans="3:43" x14ac:dyDescent="0.25">
      <c r="E425" s="60"/>
      <c r="F425" s="113" t="s">
        <v>211</v>
      </c>
      <c r="G425" s="113" t="s">
        <v>211</v>
      </c>
      <c r="J425" s="121"/>
      <c r="K425" s="121"/>
      <c r="L425" s="191">
        <f t="shared" si="104"/>
        <v>17.133442216994563</v>
      </c>
      <c r="M425" s="121"/>
      <c r="N425" s="191">
        <f t="shared" si="105"/>
        <v>51.013858029547734</v>
      </c>
      <c r="O425" s="191">
        <f t="shared" si="105"/>
        <v>0</v>
      </c>
      <c r="P425" s="191">
        <f t="shared" si="105"/>
        <v>0</v>
      </c>
      <c r="Q425" s="121"/>
      <c r="R425" s="121"/>
      <c r="S425" s="121"/>
      <c r="T425" s="121"/>
      <c r="U425" s="121"/>
      <c r="V425" s="121"/>
      <c r="W425" s="121"/>
      <c r="X425" s="121"/>
      <c r="Y425" s="121"/>
      <c r="AQ425" s="3"/>
    </row>
    <row r="426" spans="3:43" x14ac:dyDescent="0.25">
      <c r="E426" s="60"/>
      <c r="F426" s="113" t="s">
        <v>249</v>
      </c>
      <c r="G426" s="113" t="s">
        <v>250</v>
      </c>
      <c r="J426" s="121"/>
      <c r="K426" s="121"/>
      <c r="L426" s="191">
        <f t="shared" si="104"/>
        <v>0</v>
      </c>
      <c r="M426" s="121"/>
      <c r="N426" s="191">
        <f t="shared" si="105"/>
        <v>6909.3148015703237</v>
      </c>
      <c r="O426" s="191">
        <f t="shared" si="105"/>
        <v>0</v>
      </c>
      <c r="P426" s="191">
        <f t="shared" si="105"/>
        <v>0</v>
      </c>
      <c r="Q426" s="121"/>
      <c r="R426" s="121"/>
      <c r="S426" s="121"/>
      <c r="T426" s="121"/>
      <c r="U426" s="121"/>
      <c r="V426" s="121"/>
      <c r="W426" s="121"/>
      <c r="X426" s="121"/>
      <c r="Y426" s="121"/>
      <c r="AQ426" s="3"/>
    </row>
    <row r="427" spans="3:43" x14ac:dyDescent="0.25">
      <c r="E427" s="60"/>
      <c r="F427" s="113" t="s">
        <v>251</v>
      </c>
      <c r="G427" s="113" t="s">
        <v>250</v>
      </c>
      <c r="J427" s="121"/>
      <c r="K427" s="121"/>
      <c r="L427" s="191">
        <f t="shared" si="104"/>
        <v>0</v>
      </c>
      <c r="M427" s="121"/>
      <c r="N427" s="191">
        <f t="shared" si="105"/>
        <v>4.5900365379767569</v>
      </c>
      <c r="O427" s="191">
        <f t="shared" si="105"/>
        <v>0</v>
      </c>
      <c r="P427" s="191">
        <f t="shared" si="105"/>
        <v>0</v>
      </c>
      <c r="Q427" s="121"/>
      <c r="R427" s="121"/>
      <c r="S427" s="121"/>
      <c r="T427" s="121"/>
      <c r="U427" s="121"/>
      <c r="V427" s="121"/>
      <c r="W427" s="121"/>
      <c r="X427" s="121"/>
      <c r="Y427" s="121"/>
      <c r="AQ427" s="3"/>
    </row>
    <row r="428" spans="3:43" x14ac:dyDescent="0.25">
      <c r="E428" s="60"/>
      <c r="F428" s="115" t="s">
        <v>252</v>
      </c>
      <c r="G428" s="115" t="s">
        <v>253</v>
      </c>
      <c r="H428" s="91"/>
      <c r="I428" s="91"/>
      <c r="J428" s="116"/>
      <c r="K428" s="116"/>
      <c r="L428" s="143">
        <f t="shared" si="104"/>
        <v>0</v>
      </c>
      <c r="M428" s="116"/>
      <c r="N428" s="143">
        <f t="shared" si="105"/>
        <v>416.26453981418763</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963</v>
      </c>
      <c r="G430" s="46"/>
      <c r="I430" t="s">
        <v>153</v>
      </c>
      <c r="AQ430" s="3"/>
    </row>
    <row r="431" spans="3:43" x14ac:dyDescent="0.25">
      <c r="E431" s="60"/>
      <c r="F431" s="111" t="s">
        <v>246</v>
      </c>
      <c r="G431" s="111" t="s">
        <v>206</v>
      </c>
      <c r="H431" s="90"/>
      <c r="I431" s="90"/>
      <c r="J431" s="112"/>
      <c r="K431" s="112"/>
      <c r="L431" s="169">
        <f t="shared" ref="L431:L437" si="106">(1 - L324) * L179</f>
        <v>52.509404847977088</v>
      </c>
      <c r="M431" s="112"/>
      <c r="N431" s="169">
        <f t="shared" ref="N431:P437" si="107">(1 - N324) * N179</f>
        <v>713.4426656865495</v>
      </c>
      <c r="O431" s="169">
        <f t="shared" si="107"/>
        <v>64.851642228061237</v>
      </c>
      <c r="P431" s="169">
        <f t="shared" si="107"/>
        <v>3494.5298403219977</v>
      </c>
      <c r="Q431" s="112"/>
      <c r="R431" s="112"/>
      <c r="S431" s="112"/>
      <c r="T431" s="112"/>
      <c r="U431" s="112"/>
      <c r="V431" s="112"/>
      <c r="W431" s="112"/>
      <c r="X431" s="112"/>
      <c r="Y431" s="112"/>
      <c r="AQ431" s="3"/>
    </row>
    <row r="432" spans="3:43" x14ac:dyDescent="0.25">
      <c r="E432" s="60"/>
      <c r="F432" s="113" t="s">
        <v>247</v>
      </c>
      <c r="G432" s="113" t="s">
        <v>206</v>
      </c>
      <c r="J432" s="121"/>
      <c r="K432" s="121"/>
      <c r="L432" s="191">
        <f t="shared" si="106"/>
        <v>189.6319948283946</v>
      </c>
      <c r="M432" s="121"/>
      <c r="N432" s="191">
        <f t="shared" si="107"/>
        <v>2380.7976783023109</v>
      </c>
      <c r="O432" s="191">
        <f t="shared" si="107"/>
        <v>209.44057549949795</v>
      </c>
      <c r="P432" s="191">
        <f t="shared" si="107"/>
        <v>11555.107905506076</v>
      </c>
      <c r="Q432" s="121"/>
      <c r="R432" s="121"/>
      <c r="S432" s="121"/>
      <c r="T432" s="121"/>
      <c r="U432" s="121"/>
      <c r="V432" s="121"/>
      <c r="W432" s="121"/>
      <c r="X432" s="121"/>
      <c r="Y432" s="121"/>
      <c r="AQ432" s="3"/>
    </row>
    <row r="433" spans="3:43" x14ac:dyDescent="0.25">
      <c r="E433" s="60"/>
      <c r="F433" s="113" t="s">
        <v>248</v>
      </c>
      <c r="G433" s="113" t="s">
        <v>206</v>
      </c>
      <c r="J433" s="121"/>
      <c r="K433" s="121"/>
      <c r="L433" s="191">
        <f t="shared" si="106"/>
        <v>192.33669681548457</v>
      </c>
      <c r="M433" s="121"/>
      <c r="N433" s="191">
        <f t="shared" si="107"/>
        <v>2458.3161890783954</v>
      </c>
      <c r="O433" s="191">
        <f t="shared" si="107"/>
        <v>306.36389992645456</v>
      </c>
      <c r="P433" s="191">
        <f t="shared" si="107"/>
        <v>15428.528708664066</v>
      </c>
      <c r="Q433" s="121"/>
      <c r="R433" s="121"/>
      <c r="S433" s="121"/>
      <c r="T433" s="121"/>
      <c r="U433" s="121"/>
      <c r="V433" s="121"/>
      <c r="W433" s="121"/>
      <c r="X433" s="121"/>
      <c r="Y433" s="121"/>
      <c r="AQ433" s="3"/>
    </row>
    <row r="434" spans="3:43" x14ac:dyDescent="0.25">
      <c r="E434" s="60"/>
      <c r="F434" s="113" t="s">
        <v>211</v>
      </c>
      <c r="G434" s="113" t="s">
        <v>211</v>
      </c>
      <c r="J434" s="121"/>
      <c r="K434" s="121"/>
      <c r="L434" s="191">
        <f t="shared" si="106"/>
        <v>51.620416265946005</v>
      </c>
      <c r="M434" s="121"/>
      <c r="N434" s="191">
        <f t="shared" si="107"/>
        <v>39.735549275450801</v>
      </c>
      <c r="O434" s="191">
        <f t="shared" si="107"/>
        <v>2.7249587747941217</v>
      </c>
      <c r="P434" s="191">
        <f t="shared" si="107"/>
        <v>12.511528453936773</v>
      </c>
      <c r="Q434" s="121"/>
      <c r="R434" s="121"/>
      <c r="S434" s="121"/>
      <c r="T434" s="121"/>
      <c r="U434" s="121"/>
      <c r="V434" s="121"/>
      <c r="W434" s="121"/>
      <c r="X434" s="121"/>
      <c r="Y434" s="121"/>
      <c r="AQ434" s="3"/>
    </row>
    <row r="435" spans="3:43" x14ac:dyDescent="0.25">
      <c r="E435" s="60"/>
      <c r="F435" s="113" t="s">
        <v>249</v>
      </c>
      <c r="G435" s="113" t="s">
        <v>250</v>
      </c>
      <c r="J435" s="121"/>
      <c r="K435" s="121"/>
      <c r="L435" s="191">
        <f t="shared" si="106"/>
        <v>0</v>
      </c>
      <c r="M435" s="121"/>
      <c r="N435" s="191">
        <f t="shared" si="107"/>
        <v>5137.8707692036642</v>
      </c>
      <c r="O435" s="191">
        <f t="shared" si="107"/>
        <v>936.59726392105938</v>
      </c>
      <c r="P435" s="191">
        <f t="shared" si="107"/>
        <v>15086.748152909788</v>
      </c>
      <c r="Q435" s="121"/>
      <c r="R435" s="121"/>
      <c r="S435" s="121"/>
      <c r="T435" s="121"/>
      <c r="U435" s="121"/>
      <c r="V435" s="121"/>
      <c r="W435" s="121"/>
      <c r="X435" s="121"/>
      <c r="Y435" s="121"/>
      <c r="AQ435" s="3"/>
    </row>
    <row r="436" spans="3:43" x14ac:dyDescent="0.25">
      <c r="E436" s="60"/>
      <c r="F436" s="113" t="s">
        <v>251</v>
      </c>
      <c r="G436" s="113" t="s">
        <v>250</v>
      </c>
      <c r="J436" s="121"/>
      <c r="K436" s="121"/>
      <c r="L436" s="191">
        <f t="shared" si="106"/>
        <v>0</v>
      </c>
      <c r="M436" s="121"/>
      <c r="N436" s="191">
        <f t="shared" si="107"/>
        <v>0</v>
      </c>
      <c r="O436" s="191">
        <f t="shared" si="107"/>
        <v>0</v>
      </c>
      <c r="P436" s="191">
        <f t="shared" si="107"/>
        <v>0</v>
      </c>
      <c r="Q436" s="121"/>
      <c r="R436" s="121"/>
      <c r="S436" s="121"/>
      <c r="T436" s="121"/>
      <c r="U436" s="121"/>
      <c r="V436" s="121"/>
      <c r="W436" s="121"/>
      <c r="X436" s="121"/>
      <c r="Y436" s="121"/>
      <c r="AQ436" s="3"/>
    </row>
    <row r="437" spans="3:43" x14ac:dyDescent="0.25">
      <c r="E437" s="60"/>
      <c r="F437" s="115" t="s">
        <v>252</v>
      </c>
      <c r="G437" s="115" t="s">
        <v>253</v>
      </c>
      <c r="H437" s="91"/>
      <c r="I437" s="91"/>
      <c r="J437" s="116"/>
      <c r="K437" s="116"/>
      <c r="L437" s="143">
        <f t="shared" si="106"/>
        <v>0</v>
      </c>
      <c r="M437" s="116"/>
      <c r="N437" s="143">
        <f t="shared" si="107"/>
        <v>214.23637980775118</v>
      </c>
      <c r="O437" s="143">
        <f t="shared" si="107"/>
        <v>9.080526826286814</v>
      </c>
      <c r="P437" s="143">
        <f t="shared" si="107"/>
        <v>503.09406681601183</v>
      </c>
      <c r="Q437" s="116"/>
      <c r="R437" s="116"/>
      <c r="S437" s="116"/>
      <c r="T437" s="116"/>
      <c r="U437" s="116"/>
      <c r="V437" s="116"/>
      <c r="W437" s="116"/>
      <c r="X437" s="116"/>
      <c r="Y437" s="116"/>
      <c r="AQ437" s="3"/>
    </row>
    <row r="438" spans="3:43" x14ac:dyDescent="0.25">
      <c r="AQ438" s="3"/>
    </row>
    <row r="439" spans="3:43" x14ac:dyDescent="0.25">
      <c r="E439" s="60" t="s">
        <v>964</v>
      </c>
      <c r="G439" s="46"/>
      <c r="I439" t="s">
        <v>153</v>
      </c>
      <c r="AQ439" s="3"/>
    </row>
    <row r="440" spans="3:43" x14ac:dyDescent="0.25">
      <c r="E440" s="60"/>
      <c r="F440" s="111" t="s">
        <v>246</v>
      </c>
      <c r="G440" s="111" t="s">
        <v>206</v>
      </c>
      <c r="H440" s="90"/>
      <c r="I440" s="90"/>
      <c r="J440" s="112"/>
      <c r="K440" s="112"/>
      <c r="L440" s="169">
        <f t="shared" ref="L440:L446" si="108">L85+L422+L431</f>
        <v>45351.153182606788</v>
      </c>
      <c r="M440" s="112"/>
      <c r="N440" s="169">
        <f t="shared" ref="N440:P446" si="109">N85+N422+N431</f>
        <v>54846.556150575161</v>
      </c>
      <c r="O440" s="169">
        <f t="shared" si="109"/>
        <v>2919.3772255470758</v>
      </c>
      <c r="P440" s="169">
        <f t="shared" si="109"/>
        <v>102009.29593258552</v>
      </c>
      <c r="Q440" s="112"/>
      <c r="R440" s="112"/>
      <c r="S440" s="112"/>
      <c r="T440" s="112"/>
      <c r="U440" s="112"/>
      <c r="V440" s="112"/>
      <c r="W440" s="112"/>
      <c r="X440" s="112"/>
      <c r="Y440" s="112"/>
      <c r="AQ440" s="3"/>
    </row>
    <row r="441" spans="3:43" x14ac:dyDescent="0.25">
      <c r="E441" s="60"/>
      <c r="F441" s="113" t="s">
        <v>247</v>
      </c>
      <c r="G441" s="113" t="s">
        <v>206</v>
      </c>
      <c r="J441" s="121"/>
      <c r="K441" s="121"/>
      <c r="L441" s="191">
        <f t="shared" si="108"/>
        <v>163824.95099984153</v>
      </c>
      <c r="M441" s="121"/>
      <c r="N441" s="191">
        <f t="shared" si="109"/>
        <v>196687.71125038658</v>
      </c>
      <c r="O441" s="191">
        <f t="shared" si="109"/>
        <v>9891.0431704156144</v>
      </c>
      <c r="P441" s="191">
        <f t="shared" si="109"/>
        <v>334569.58181155205</v>
      </c>
      <c r="Q441" s="121"/>
      <c r="R441" s="121"/>
      <c r="S441" s="121"/>
      <c r="T441" s="121"/>
      <c r="U441" s="121"/>
      <c r="V441" s="121"/>
      <c r="W441" s="121"/>
      <c r="X441" s="121"/>
      <c r="Y441" s="121"/>
      <c r="AQ441" s="3"/>
    </row>
    <row r="442" spans="3:43" x14ac:dyDescent="0.25">
      <c r="E442" s="60"/>
      <c r="F442" s="113" t="s">
        <v>248</v>
      </c>
      <c r="G442" s="113" t="s">
        <v>206</v>
      </c>
      <c r="J442" s="121"/>
      <c r="K442" s="121"/>
      <c r="L442" s="191">
        <f t="shared" si="108"/>
        <v>181021.82113432416</v>
      </c>
      <c r="M442" s="121"/>
      <c r="N442" s="191">
        <f t="shared" si="109"/>
        <v>216514.40068314568</v>
      </c>
      <c r="O442" s="191">
        <f t="shared" si="109"/>
        <v>11704.797503811011</v>
      </c>
      <c r="P442" s="191">
        <f t="shared" si="109"/>
        <v>457236.18379073829</v>
      </c>
      <c r="Q442" s="121"/>
      <c r="R442" s="121"/>
      <c r="S442" s="121"/>
      <c r="T442" s="121"/>
      <c r="U442" s="121"/>
      <c r="V442" s="121"/>
      <c r="W442" s="121"/>
      <c r="X442" s="121"/>
      <c r="Y442" s="121"/>
      <c r="AQ442" s="3"/>
    </row>
    <row r="443" spans="3:43" x14ac:dyDescent="0.25">
      <c r="E443" s="60"/>
      <c r="F443" s="113" t="s">
        <v>211</v>
      </c>
      <c r="G443" s="113" t="s">
        <v>211</v>
      </c>
      <c r="J443" s="121"/>
      <c r="K443" s="121"/>
      <c r="L443" s="191">
        <f t="shared" si="108"/>
        <v>22115.055120545327</v>
      </c>
      <c r="M443" s="121"/>
      <c r="N443" s="191">
        <f t="shared" si="109"/>
        <v>2029.8660257913084</v>
      </c>
      <c r="O443" s="191">
        <f t="shared" si="109"/>
        <v>60.303779099485467</v>
      </c>
      <c r="P443" s="191">
        <f t="shared" si="109"/>
        <v>302.54082390094447</v>
      </c>
      <c r="Q443" s="121"/>
      <c r="R443" s="121"/>
      <c r="S443" s="121"/>
      <c r="T443" s="121"/>
      <c r="U443" s="121"/>
      <c r="V443" s="121"/>
      <c r="W443" s="121"/>
      <c r="X443" s="121"/>
      <c r="Y443" s="121"/>
      <c r="AQ443" s="3"/>
    </row>
    <row r="444" spans="3:43" x14ac:dyDescent="0.25">
      <c r="E444" s="60"/>
      <c r="F444" s="113" t="s">
        <v>249</v>
      </c>
      <c r="G444" s="113" t="s">
        <v>250</v>
      </c>
      <c r="J444" s="121"/>
      <c r="K444" s="121"/>
      <c r="L444" s="191">
        <f t="shared" si="108"/>
        <v>0</v>
      </c>
      <c r="M444" s="121"/>
      <c r="N444" s="191">
        <f t="shared" si="109"/>
        <v>369763.18557077396</v>
      </c>
      <c r="O444" s="191">
        <f t="shared" si="109"/>
        <v>10678.597263921059</v>
      </c>
      <c r="P444" s="191">
        <f t="shared" si="109"/>
        <v>408941.7481529098</v>
      </c>
      <c r="Q444" s="121"/>
      <c r="R444" s="121"/>
      <c r="S444" s="121"/>
      <c r="T444" s="121"/>
      <c r="U444" s="121"/>
      <c r="V444" s="121"/>
      <c r="W444" s="121"/>
      <c r="X444" s="121"/>
      <c r="Y444" s="121"/>
      <c r="AQ444" s="3"/>
    </row>
    <row r="445" spans="3:43" x14ac:dyDescent="0.25">
      <c r="E445" s="60"/>
      <c r="F445" s="113" t="s">
        <v>251</v>
      </c>
      <c r="G445" s="113" t="s">
        <v>250</v>
      </c>
      <c r="J445" s="121"/>
      <c r="K445" s="121"/>
      <c r="L445" s="191">
        <f t="shared" si="108"/>
        <v>0</v>
      </c>
      <c r="M445" s="121"/>
      <c r="N445" s="191">
        <f t="shared" si="109"/>
        <v>3562.984557085922</v>
      </c>
      <c r="O445" s="191">
        <f t="shared" si="109"/>
        <v>174.21643835616439</v>
      </c>
      <c r="P445" s="191">
        <f t="shared" si="109"/>
        <v>2879.1150684931508</v>
      </c>
      <c r="Q445" s="121"/>
      <c r="R445" s="121"/>
      <c r="S445" s="121"/>
      <c r="T445" s="121"/>
      <c r="U445" s="121"/>
      <c r="V445" s="121"/>
      <c r="W445" s="121"/>
      <c r="X445" s="121"/>
      <c r="Y445" s="121"/>
      <c r="AQ445" s="3"/>
    </row>
    <row r="446" spans="3:43" x14ac:dyDescent="0.25">
      <c r="E446" s="60"/>
      <c r="F446" s="115" t="s">
        <v>252</v>
      </c>
      <c r="G446" s="115" t="s">
        <v>253</v>
      </c>
      <c r="H446" s="91"/>
      <c r="I446" s="91"/>
      <c r="J446" s="116"/>
      <c r="K446" s="116"/>
      <c r="L446" s="143">
        <f t="shared" si="108"/>
        <v>0</v>
      </c>
      <c r="M446" s="116"/>
      <c r="N446" s="143">
        <f t="shared" si="109"/>
        <v>49356.438919621942</v>
      </c>
      <c r="O446" s="143">
        <f t="shared" si="109"/>
        <v>2049.6235268262867</v>
      </c>
      <c r="P446" s="143">
        <f t="shared" si="109"/>
        <v>69881.558066816026</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959</v>
      </c>
      <c r="G450" s="46"/>
      <c r="I450" t="s">
        <v>153</v>
      </c>
      <c r="AQ450" s="3"/>
    </row>
    <row r="451" spans="3:43" x14ac:dyDescent="0.25">
      <c r="E451" s="60"/>
      <c r="F451" s="111" t="s">
        <v>246</v>
      </c>
      <c r="G451" s="111" t="s">
        <v>206</v>
      </c>
      <c r="H451" s="90"/>
      <c r="I451" s="90"/>
      <c r="J451" s="112"/>
      <c r="K451" s="112"/>
      <c r="L451" s="169">
        <f t="shared" ref="L451:L457" si="110">(1 - L315) * L141</f>
        <v>54.496953764711833</v>
      </c>
      <c r="M451" s="112"/>
      <c r="N451" s="169">
        <f t="shared" ref="N451:P457" si="111">(1 - N315) * N141</f>
        <v>273.46288827126233</v>
      </c>
      <c r="O451" s="169">
        <f t="shared" si="111"/>
        <v>0</v>
      </c>
      <c r="P451" s="169">
        <f t="shared" si="111"/>
        <v>0</v>
      </c>
      <c r="Q451" s="112"/>
      <c r="R451" s="112"/>
      <c r="S451" s="112"/>
      <c r="T451" s="112"/>
      <c r="U451" s="112"/>
      <c r="V451" s="112"/>
      <c r="W451" s="112"/>
      <c r="X451" s="112"/>
      <c r="Y451" s="112"/>
      <c r="AQ451" s="3"/>
    </row>
    <row r="452" spans="3:43" x14ac:dyDescent="0.25">
      <c r="E452" s="60"/>
      <c r="F452" s="113" t="s">
        <v>247</v>
      </c>
      <c r="G452" s="113" t="s">
        <v>206</v>
      </c>
      <c r="J452" s="121"/>
      <c r="K452" s="121"/>
      <c r="L452" s="191">
        <f t="shared" si="110"/>
        <v>140.8308242947983</v>
      </c>
      <c r="M452" s="121"/>
      <c r="N452" s="191">
        <f t="shared" si="111"/>
        <v>801.23897905406182</v>
      </c>
      <c r="O452" s="191">
        <f t="shared" si="111"/>
        <v>0</v>
      </c>
      <c r="P452" s="191">
        <f t="shared" si="111"/>
        <v>0</v>
      </c>
      <c r="Q452" s="121"/>
      <c r="R452" s="121"/>
      <c r="S452" s="121"/>
      <c r="T452" s="121"/>
      <c r="U452" s="121"/>
      <c r="V452" s="121"/>
      <c r="W452" s="121"/>
      <c r="X452" s="121"/>
      <c r="Y452" s="121"/>
      <c r="AQ452" s="3"/>
    </row>
    <row r="453" spans="3:43" x14ac:dyDescent="0.25">
      <c r="E453" s="60"/>
      <c r="F453" s="113" t="s">
        <v>248</v>
      </c>
      <c r="G453" s="113" t="s">
        <v>206</v>
      </c>
      <c r="J453" s="121"/>
      <c r="K453" s="121"/>
      <c r="L453" s="191">
        <f t="shared" si="110"/>
        <v>140.76821856806913</v>
      </c>
      <c r="M453" s="121"/>
      <c r="N453" s="191">
        <f t="shared" si="111"/>
        <v>1015.0453349869906</v>
      </c>
      <c r="O453" s="191">
        <f t="shared" si="111"/>
        <v>0</v>
      </c>
      <c r="P453" s="191">
        <f t="shared" si="111"/>
        <v>0</v>
      </c>
      <c r="Q453" s="121"/>
      <c r="R453" s="121"/>
      <c r="S453" s="121"/>
      <c r="T453" s="121"/>
      <c r="U453" s="121"/>
      <c r="V453" s="121"/>
      <c r="W453" s="121"/>
      <c r="X453" s="121"/>
      <c r="Y453" s="121"/>
      <c r="AQ453" s="3"/>
    </row>
    <row r="454" spans="3:43" x14ac:dyDescent="0.25">
      <c r="E454" s="60"/>
      <c r="F454" s="113" t="s">
        <v>211</v>
      </c>
      <c r="G454" s="113" t="s">
        <v>211</v>
      </c>
      <c r="J454" s="121"/>
      <c r="K454" s="121"/>
      <c r="L454" s="191">
        <f t="shared" si="110"/>
        <v>19.91601629133352</v>
      </c>
      <c r="M454" s="121"/>
      <c r="N454" s="191">
        <f t="shared" si="111"/>
        <v>10.04818415733515</v>
      </c>
      <c r="O454" s="191">
        <f t="shared" si="111"/>
        <v>0</v>
      </c>
      <c r="P454" s="191">
        <f t="shared" si="111"/>
        <v>0</v>
      </c>
      <c r="Q454" s="121"/>
      <c r="R454" s="121"/>
      <c r="S454" s="121"/>
      <c r="T454" s="121"/>
      <c r="U454" s="121"/>
      <c r="V454" s="121"/>
      <c r="W454" s="121"/>
      <c r="X454" s="121"/>
      <c r="Y454" s="121"/>
      <c r="AQ454" s="3"/>
    </row>
    <row r="455" spans="3:43" x14ac:dyDescent="0.25">
      <c r="E455" s="60"/>
      <c r="F455" s="113" t="s">
        <v>249</v>
      </c>
      <c r="G455" s="113" t="s">
        <v>250</v>
      </c>
      <c r="J455" s="121"/>
      <c r="K455" s="121"/>
      <c r="L455" s="191">
        <f t="shared" si="110"/>
        <v>0</v>
      </c>
      <c r="M455" s="121"/>
      <c r="N455" s="191">
        <f t="shared" si="111"/>
        <v>2176.6063905582978</v>
      </c>
      <c r="O455" s="191">
        <f t="shared" si="111"/>
        <v>0</v>
      </c>
      <c r="P455" s="191">
        <f t="shared" si="111"/>
        <v>0</v>
      </c>
      <c r="Q455" s="121"/>
      <c r="R455" s="121"/>
      <c r="S455" s="121"/>
      <c r="T455" s="121"/>
      <c r="U455" s="121"/>
      <c r="V455" s="121"/>
      <c r="W455" s="121"/>
      <c r="X455" s="121"/>
      <c r="Y455" s="121"/>
      <c r="AQ455" s="3"/>
    </row>
    <row r="456" spans="3:43" x14ac:dyDescent="0.25">
      <c r="E456" s="60"/>
      <c r="F456" s="113" t="s">
        <v>251</v>
      </c>
      <c r="G456" s="113" t="s">
        <v>250</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25">
      <c r="E457" s="60"/>
      <c r="F457" s="115" t="s">
        <v>252</v>
      </c>
      <c r="G457" s="115" t="s">
        <v>253</v>
      </c>
      <c r="H457" s="91"/>
      <c r="I457" s="91"/>
      <c r="J457" s="116"/>
      <c r="K457" s="116"/>
      <c r="L457" s="143">
        <f t="shared" si="110"/>
        <v>0</v>
      </c>
      <c r="M457" s="116"/>
      <c r="N457" s="143">
        <f t="shared" si="111"/>
        <v>146.58746219807432</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960</v>
      </c>
      <c r="G459" s="46"/>
      <c r="I459" t="s">
        <v>153</v>
      </c>
      <c r="AQ459" s="3"/>
    </row>
    <row r="460" spans="3:43" x14ac:dyDescent="0.25">
      <c r="E460" s="60"/>
      <c r="F460" s="111" t="s">
        <v>246</v>
      </c>
      <c r="G460" s="111" t="s">
        <v>206</v>
      </c>
      <c r="H460" s="90"/>
      <c r="I460" s="90"/>
      <c r="J460" s="112"/>
      <c r="K460" s="112"/>
      <c r="L460" s="169">
        <f t="shared" ref="L460:L466" si="112">(1 - L324) * L188</f>
        <v>38.856366817647235</v>
      </c>
      <c r="M460" s="112"/>
      <c r="N460" s="169">
        <f t="shared" ref="N460:P466" si="113">(1 - N324) * N188</f>
        <v>4240.3796472885588</v>
      </c>
      <c r="O460" s="169">
        <f t="shared" si="113"/>
        <v>3424.4942560936465</v>
      </c>
      <c r="P460" s="169">
        <f t="shared" si="113"/>
        <v>7630.7256871188702</v>
      </c>
      <c r="Q460" s="112"/>
      <c r="R460" s="112"/>
      <c r="S460" s="112"/>
      <c r="T460" s="112"/>
      <c r="U460" s="112"/>
      <c r="V460" s="112"/>
      <c r="W460" s="112"/>
      <c r="X460" s="112"/>
      <c r="Y460" s="112"/>
      <c r="AQ460" s="3"/>
    </row>
    <row r="461" spans="3:43" x14ac:dyDescent="0.25">
      <c r="E461" s="60"/>
      <c r="F461" s="113" t="s">
        <v>247</v>
      </c>
      <c r="G461" s="113" t="s">
        <v>206</v>
      </c>
      <c r="J461" s="121"/>
      <c r="K461" s="121"/>
      <c r="L461" s="191">
        <f t="shared" si="112"/>
        <v>139.08427141207477</v>
      </c>
      <c r="M461" s="121"/>
      <c r="N461" s="191">
        <f t="shared" si="113"/>
        <v>14603.734668806455</v>
      </c>
      <c r="O461" s="191">
        <f t="shared" si="113"/>
        <v>11441.016741409871</v>
      </c>
      <c r="P461" s="191">
        <f t="shared" si="113"/>
        <v>23790.434694956901</v>
      </c>
      <c r="Q461" s="121"/>
      <c r="R461" s="121"/>
      <c r="S461" s="121"/>
      <c r="T461" s="121"/>
      <c r="U461" s="121"/>
      <c r="V461" s="121"/>
      <c r="W461" s="121"/>
      <c r="X461" s="121"/>
      <c r="Y461" s="121"/>
      <c r="AQ461" s="3"/>
    </row>
    <row r="462" spans="3:43" x14ac:dyDescent="0.25">
      <c r="E462" s="60"/>
      <c r="F462" s="113" t="s">
        <v>248</v>
      </c>
      <c r="G462" s="113" t="s">
        <v>206</v>
      </c>
      <c r="J462" s="121"/>
      <c r="K462" s="121"/>
      <c r="L462" s="191">
        <f t="shared" si="112"/>
        <v>146.38820561435628</v>
      </c>
      <c r="M462" s="121"/>
      <c r="N462" s="191">
        <f t="shared" si="113"/>
        <v>16746.042498057741</v>
      </c>
      <c r="O462" s="191">
        <f t="shared" si="113"/>
        <v>13205.66385357983</v>
      </c>
      <c r="P462" s="191">
        <f t="shared" si="113"/>
        <v>38718.032444263095</v>
      </c>
      <c r="Q462" s="121"/>
      <c r="R462" s="121"/>
      <c r="S462" s="121"/>
      <c r="T462" s="121"/>
      <c r="U462" s="121"/>
      <c r="V462" s="121"/>
      <c r="W462" s="121"/>
      <c r="X462" s="121"/>
      <c r="Y462" s="121"/>
      <c r="AQ462" s="3"/>
    </row>
    <row r="463" spans="3:43" x14ac:dyDescent="0.25">
      <c r="E463" s="60"/>
      <c r="F463" s="113" t="s">
        <v>211</v>
      </c>
      <c r="G463" s="113" t="s">
        <v>211</v>
      </c>
      <c r="J463" s="121"/>
      <c r="K463" s="121"/>
      <c r="L463" s="191">
        <f t="shared" si="112"/>
        <v>17.182940227221966</v>
      </c>
      <c r="M463" s="121"/>
      <c r="N463" s="191">
        <f t="shared" si="113"/>
        <v>99.875840070727733</v>
      </c>
      <c r="O463" s="191">
        <f t="shared" si="113"/>
        <v>47.232618763098102</v>
      </c>
      <c r="P463" s="191">
        <f t="shared" si="113"/>
        <v>13.648940131567391</v>
      </c>
      <c r="Q463" s="121"/>
      <c r="R463" s="121"/>
      <c r="S463" s="121"/>
      <c r="T463" s="121"/>
      <c r="U463" s="121"/>
      <c r="V463" s="121"/>
      <c r="W463" s="121"/>
      <c r="X463" s="121"/>
      <c r="Y463" s="121"/>
      <c r="AQ463" s="3"/>
    </row>
    <row r="464" spans="3:43" x14ac:dyDescent="0.25">
      <c r="E464" s="60"/>
      <c r="F464" s="113" t="s">
        <v>249</v>
      </c>
      <c r="G464" s="113" t="s">
        <v>250</v>
      </c>
      <c r="J464" s="121"/>
      <c r="K464" s="121"/>
      <c r="L464" s="191">
        <f t="shared" si="112"/>
        <v>0</v>
      </c>
      <c r="M464" s="121"/>
      <c r="N464" s="191">
        <f t="shared" si="113"/>
        <v>43388.25212412791</v>
      </c>
      <c r="O464" s="191">
        <f t="shared" si="113"/>
        <v>24087.718306238035</v>
      </c>
      <c r="P464" s="191">
        <f t="shared" si="113"/>
        <v>39768.433916362155</v>
      </c>
      <c r="Q464" s="121"/>
      <c r="R464" s="121"/>
      <c r="S464" s="121"/>
      <c r="T464" s="121"/>
      <c r="U464" s="121"/>
      <c r="V464" s="121"/>
      <c r="W464" s="121"/>
      <c r="X464" s="121"/>
      <c r="Y464" s="121"/>
      <c r="AQ464" s="3"/>
    </row>
    <row r="465" spans="3:43" x14ac:dyDescent="0.25">
      <c r="E465" s="60"/>
      <c r="F465" s="113" t="s">
        <v>251</v>
      </c>
      <c r="G465" s="113" t="s">
        <v>250</v>
      </c>
      <c r="J465" s="121"/>
      <c r="K465" s="121"/>
      <c r="L465" s="191">
        <f t="shared" si="112"/>
        <v>0</v>
      </c>
      <c r="M465" s="121"/>
      <c r="N465" s="191">
        <f t="shared" si="113"/>
        <v>6.2022787952554763</v>
      </c>
      <c r="O465" s="191">
        <f t="shared" si="113"/>
        <v>0</v>
      </c>
      <c r="P465" s="191">
        <f t="shared" si="113"/>
        <v>48.691375003086563</v>
      </c>
      <c r="Q465" s="121"/>
      <c r="R465" s="121"/>
      <c r="S465" s="121"/>
      <c r="T465" s="121"/>
      <c r="U465" s="121"/>
      <c r="V465" s="121"/>
      <c r="W465" s="121"/>
      <c r="X465" s="121"/>
      <c r="Y465" s="121"/>
      <c r="AQ465" s="3"/>
    </row>
    <row r="466" spans="3:43" x14ac:dyDescent="0.25">
      <c r="E466" s="60"/>
      <c r="F466" s="115" t="s">
        <v>252</v>
      </c>
      <c r="G466" s="115" t="s">
        <v>253</v>
      </c>
      <c r="H466" s="91"/>
      <c r="I466" s="91"/>
      <c r="J466" s="116"/>
      <c r="K466" s="116"/>
      <c r="L466" s="143">
        <f t="shared" si="112"/>
        <v>0</v>
      </c>
      <c r="M466" s="116"/>
      <c r="N466" s="143">
        <f t="shared" si="113"/>
        <v>2536.0279267561973</v>
      </c>
      <c r="O466" s="143">
        <f t="shared" si="113"/>
        <v>1759.7301661606775</v>
      </c>
      <c r="P466" s="143">
        <f t="shared" si="113"/>
        <v>7817.1352388048408</v>
      </c>
      <c r="Q466" s="116"/>
      <c r="R466" s="116"/>
      <c r="S466" s="116"/>
      <c r="T466" s="116"/>
      <c r="U466" s="116"/>
      <c r="V466" s="116"/>
      <c r="W466" s="116"/>
      <c r="X466" s="116"/>
      <c r="Y466" s="116"/>
      <c r="AQ466" s="3"/>
    </row>
    <row r="467" spans="3:43" x14ac:dyDescent="0.25">
      <c r="AQ467" s="3"/>
    </row>
    <row r="468" spans="3:43" x14ac:dyDescent="0.25">
      <c r="E468" s="60" t="s">
        <v>961</v>
      </c>
      <c r="G468" s="46"/>
      <c r="I468" t="s">
        <v>153</v>
      </c>
      <c r="AQ468" s="3"/>
    </row>
    <row r="469" spans="3:43" x14ac:dyDescent="0.25">
      <c r="E469" s="60"/>
      <c r="F469" s="111" t="s">
        <v>246</v>
      </c>
      <c r="G469" s="111" t="s">
        <v>206</v>
      </c>
      <c r="H469" s="90"/>
      <c r="I469" s="90"/>
      <c r="J469" s="112"/>
      <c r="K469" s="112"/>
      <c r="L469" s="169">
        <f t="shared" ref="L469:L475" si="114">L94+L451+L460</f>
        <v>131392.28382437726</v>
      </c>
      <c r="M469" s="112"/>
      <c r="N469" s="169">
        <f t="shared" ref="N469:P475" si="115">N94+N451+N460</f>
        <v>90049.235082545143</v>
      </c>
      <c r="O469" s="169">
        <f t="shared" si="115"/>
        <v>50800.709781890153</v>
      </c>
      <c r="P469" s="169">
        <f t="shared" si="115"/>
        <v>256403.99664897332</v>
      </c>
      <c r="Q469" s="112"/>
      <c r="R469" s="112"/>
      <c r="S469" s="112"/>
      <c r="T469" s="112"/>
      <c r="U469" s="112"/>
      <c r="V469" s="112"/>
      <c r="W469" s="112"/>
      <c r="X469" s="112"/>
      <c r="Y469" s="112"/>
      <c r="AQ469" s="3"/>
    </row>
    <row r="470" spans="3:43" x14ac:dyDescent="0.25">
      <c r="E470" s="60"/>
      <c r="F470" s="113" t="s">
        <v>247</v>
      </c>
      <c r="G470" s="113" t="s">
        <v>206</v>
      </c>
      <c r="J470" s="121"/>
      <c r="K470" s="121"/>
      <c r="L470" s="191">
        <f t="shared" si="114"/>
        <v>469936.19940618548</v>
      </c>
      <c r="M470" s="121"/>
      <c r="N470" s="191">
        <f t="shared" si="115"/>
        <v>333398.08647472714</v>
      </c>
      <c r="O470" s="191">
        <f t="shared" si="115"/>
        <v>179776.16484897039</v>
      </c>
      <c r="P470" s="191">
        <f t="shared" si="115"/>
        <v>830261.11388494947</v>
      </c>
      <c r="Q470" s="121"/>
      <c r="R470" s="121"/>
      <c r="S470" s="121"/>
      <c r="T470" s="121"/>
      <c r="U470" s="121"/>
      <c r="V470" s="121"/>
      <c r="W470" s="121"/>
      <c r="X470" s="121"/>
      <c r="Y470" s="121"/>
      <c r="AQ470" s="3"/>
    </row>
    <row r="471" spans="3:43" x14ac:dyDescent="0.25">
      <c r="E471" s="60"/>
      <c r="F471" s="113" t="s">
        <v>248</v>
      </c>
      <c r="G471" s="113" t="s">
        <v>206</v>
      </c>
      <c r="J471" s="121"/>
      <c r="K471" s="121"/>
      <c r="L471" s="191">
        <f t="shared" si="114"/>
        <v>550564.793614113</v>
      </c>
      <c r="M471" s="121"/>
      <c r="N471" s="191">
        <f t="shared" si="115"/>
        <v>357332.89695374866</v>
      </c>
      <c r="O471" s="191">
        <f t="shared" si="115"/>
        <v>215400.3360014499</v>
      </c>
      <c r="P471" s="191">
        <f t="shared" si="115"/>
        <v>1249914.7296718536</v>
      </c>
      <c r="Q471" s="121"/>
      <c r="R471" s="121"/>
      <c r="S471" s="121"/>
      <c r="T471" s="121"/>
      <c r="U471" s="121"/>
      <c r="V471" s="121"/>
      <c r="W471" s="121"/>
      <c r="X471" s="121"/>
      <c r="Y471" s="121"/>
      <c r="AQ471" s="3"/>
    </row>
    <row r="472" spans="3:43" x14ac:dyDescent="0.25">
      <c r="E472" s="60"/>
      <c r="F472" s="113" t="s">
        <v>211</v>
      </c>
      <c r="G472" s="113" t="s">
        <v>211</v>
      </c>
      <c r="J472" s="121"/>
      <c r="K472" s="121"/>
      <c r="L472" s="191">
        <f t="shared" si="114"/>
        <v>24363.507291786456</v>
      </c>
      <c r="M472" s="121"/>
      <c r="N472" s="191">
        <f t="shared" si="115"/>
        <v>1792.0492836378749</v>
      </c>
      <c r="O472" s="191">
        <f t="shared" si="115"/>
        <v>625.2353920224997</v>
      </c>
      <c r="P472" s="191">
        <f t="shared" si="115"/>
        <v>332.68116512327606</v>
      </c>
      <c r="Q472" s="121"/>
      <c r="R472" s="121"/>
      <c r="S472" s="121"/>
      <c r="T472" s="121"/>
      <c r="U472" s="121"/>
      <c r="V472" s="121"/>
      <c r="W472" s="121"/>
      <c r="X472" s="121"/>
      <c r="Y472" s="121"/>
      <c r="AQ472" s="3"/>
    </row>
    <row r="473" spans="3:43" x14ac:dyDescent="0.25">
      <c r="E473" s="60"/>
      <c r="F473" s="113" t="s">
        <v>249</v>
      </c>
      <c r="G473" s="113" t="s">
        <v>250</v>
      </c>
      <c r="J473" s="121"/>
      <c r="K473" s="121"/>
      <c r="L473" s="191">
        <f t="shared" si="114"/>
        <v>0</v>
      </c>
      <c r="M473" s="121"/>
      <c r="N473" s="191">
        <f t="shared" si="115"/>
        <v>620993.85851468623</v>
      </c>
      <c r="O473" s="191">
        <f t="shared" si="115"/>
        <v>289054.71830623806</v>
      </c>
      <c r="P473" s="191">
        <f t="shared" si="115"/>
        <v>1101321.4339163622</v>
      </c>
      <c r="Q473" s="121"/>
      <c r="R473" s="121"/>
      <c r="S473" s="121"/>
      <c r="T473" s="121"/>
      <c r="U473" s="121"/>
      <c r="V473" s="121"/>
      <c r="W473" s="121"/>
      <c r="X473" s="121"/>
      <c r="Y473" s="121"/>
      <c r="AQ473" s="3"/>
    </row>
    <row r="474" spans="3:43" x14ac:dyDescent="0.25">
      <c r="E474" s="60"/>
      <c r="F474" s="113" t="s">
        <v>251</v>
      </c>
      <c r="G474" s="113" t="s">
        <v>250</v>
      </c>
      <c r="J474" s="121"/>
      <c r="K474" s="121"/>
      <c r="L474" s="191">
        <f t="shared" si="114"/>
        <v>0</v>
      </c>
      <c r="M474" s="121"/>
      <c r="N474" s="191">
        <f t="shared" si="115"/>
        <v>3133.2077582473103</v>
      </c>
      <c r="O474" s="191">
        <f t="shared" si="115"/>
        <v>1034.6739726027397</v>
      </c>
      <c r="P474" s="191">
        <f t="shared" si="115"/>
        <v>5749.4941147291138</v>
      </c>
      <c r="Q474" s="121"/>
      <c r="R474" s="121"/>
      <c r="S474" s="121"/>
      <c r="T474" s="121"/>
      <c r="U474" s="121"/>
      <c r="V474" s="121"/>
      <c r="W474" s="121"/>
      <c r="X474" s="121"/>
      <c r="Y474" s="121"/>
      <c r="AQ474" s="3"/>
    </row>
    <row r="475" spans="3:43" x14ac:dyDescent="0.25">
      <c r="E475" s="60"/>
      <c r="F475" s="115" t="s">
        <v>252</v>
      </c>
      <c r="G475" s="115" t="s">
        <v>253</v>
      </c>
      <c r="H475" s="91"/>
      <c r="I475" s="91"/>
      <c r="J475" s="116"/>
      <c r="K475" s="116"/>
      <c r="L475" s="143">
        <f t="shared" si="114"/>
        <v>0</v>
      </c>
      <c r="M475" s="116"/>
      <c r="N475" s="143">
        <f t="shared" si="115"/>
        <v>76087.216388954272</v>
      </c>
      <c r="O475" s="143">
        <f t="shared" si="115"/>
        <v>34414.249166160676</v>
      </c>
      <c r="P475" s="143">
        <f t="shared" si="115"/>
        <v>200991.72523880485</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1001</v>
      </c>
      <c r="AQ479" s="3"/>
    </row>
    <row r="480" spans="3:43" x14ac:dyDescent="0.25">
      <c r="E480" s="111" t="s">
        <v>246</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968</v>
      </c>
      <c r="G481" t="s">
        <v>206</v>
      </c>
      <c r="J481" s="174">
        <f t="shared" ref="J481:Y481" si="116">J353</f>
        <v>0</v>
      </c>
      <c r="K481" s="174">
        <f t="shared" si="116"/>
        <v>268.80327538247229</v>
      </c>
      <c r="L481" s="174">
        <f t="shared" si="116"/>
        <v>23.8864359599051</v>
      </c>
      <c r="M481" s="174">
        <f t="shared" si="116"/>
        <v>523.63909182228326</v>
      </c>
      <c r="N481" s="174">
        <f t="shared" si="116"/>
        <v>3.2128723712107869</v>
      </c>
      <c r="O481" s="174">
        <f t="shared" si="116"/>
        <v>8.8172625295477786E-2</v>
      </c>
      <c r="P481" s="174">
        <f t="shared" si="116"/>
        <v>541.96235961505158</v>
      </c>
      <c r="Q481" s="174">
        <f t="shared" si="116"/>
        <v>0</v>
      </c>
      <c r="R481" s="174">
        <f t="shared" si="116"/>
        <v>20847.328278374502</v>
      </c>
      <c r="S481" s="174">
        <f t="shared" si="116"/>
        <v>8.0310000000000006</v>
      </c>
      <c r="T481" s="174">
        <f t="shared" si="116"/>
        <v>5924.0747999999994</v>
      </c>
      <c r="U481" s="174">
        <f t="shared" si="116"/>
        <v>0</v>
      </c>
      <c r="V481" s="174">
        <f t="shared" si="116"/>
        <v>1042.9018999999998</v>
      </c>
      <c r="W481" s="174">
        <f t="shared" si="116"/>
        <v>0</v>
      </c>
      <c r="X481" s="174">
        <f t="shared" si="116"/>
        <v>116165.3422</v>
      </c>
      <c r="Y481" s="174">
        <f t="shared" si="116"/>
        <v>0</v>
      </c>
      <c r="AQ481" s="3"/>
    </row>
    <row r="482" spans="5:43" x14ac:dyDescent="0.25">
      <c r="E482" s="124"/>
      <c r="F482" s="2" t="s">
        <v>969</v>
      </c>
      <c r="G482" t="s">
        <v>206</v>
      </c>
      <c r="J482" s="198">
        <f t="shared" ref="J482:Y482" si="117">J382</f>
        <v>913454.1735418035</v>
      </c>
      <c r="K482" s="198">
        <f t="shared" si="117"/>
        <v>0</v>
      </c>
      <c r="L482" s="198">
        <f t="shared" si="117"/>
        <v>17455.792992918039</v>
      </c>
      <c r="M482" s="198">
        <f t="shared" si="117"/>
        <v>0</v>
      </c>
      <c r="N482" s="198">
        <f t="shared" si="117"/>
        <v>63501.817163596941</v>
      </c>
      <c r="O482" s="198">
        <f t="shared" si="117"/>
        <v>987.26008454584189</v>
      </c>
      <c r="P482" s="198">
        <f t="shared" si="117"/>
        <v>32280.533912678635</v>
      </c>
      <c r="Q482" s="198">
        <f t="shared" si="117"/>
        <v>7388.2340001917337</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970</v>
      </c>
      <c r="G483" t="s">
        <v>206</v>
      </c>
      <c r="J483" s="198">
        <f t="shared" ref="J483:Y483" si="118">J411</f>
        <v>0</v>
      </c>
      <c r="K483" s="198">
        <f t="shared" si="118"/>
        <v>0</v>
      </c>
      <c r="L483" s="198">
        <f t="shared" si="118"/>
        <v>40589.387749905822</v>
      </c>
      <c r="M483" s="198">
        <f t="shared" si="118"/>
        <v>0</v>
      </c>
      <c r="N483" s="198">
        <f t="shared" si="118"/>
        <v>87523.696794855496</v>
      </c>
      <c r="O483" s="198">
        <f t="shared" si="118"/>
        <v>1314.8316275491463</v>
      </c>
      <c r="P483" s="198">
        <f t="shared" si="118"/>
        <v>108471.97690409535</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972</v>
      </c>
      <c r="G484" t="s">
        <v>206</v>
      </c>
      <c r="J484" s="145">
        <f t="shared" ref="J484:Y484" si="119">J440</f>
        <v>0</v>
      </c>
      <c r="K484" s="145">
        <f t="shared" si="119"/>
        <v>0</v>
      </c>
      <c r="L484" s="145">
        <f t="shared" si="119"/>
        <v>45351.153182606788</v>
      </c>
      <c r="M484" s="145">
        <f t="shared" si="119"/>
        <v>0</v>
      </c>
      <c r="N484" s="145">
        <f t="shared" si="119"/>
        <v>54846.556150575161</v>
      </c>
      <c r="O484" s="145">
        <f t="shared" si="119"/>
        <v>2919.3772255470758</v>
      </c>
      <c r="P484" s="145">
        <f t="shared" si="119"/>
        <v>102009.29593258552</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971</v>
      </c>
      <c r="G485" t="s">
        <v>206</v>
      </c>
      <c r="J485" s="145">
        <f t="shared" ref="J485:Y485" si="120">J469</f>
        <v>0</v>
      </c>
      <c r="K485" s="145">
        <f t="shared" si="120"/>
        <v>0</v>
      </c>
      <c r="L485" s="145">
        <f t="shared" si="120"/>
        <v>131392.28382437726</v>
      </c>
      <c r="M485" s="145">
        <f t="shared" si="120"/>
        <v>0</v>
      </c>
      <c r="N485" s="145">
        <f t="shared" si="120"/>
        <v>90049.235082545143</v>
      </c>
      <c r="O485" s="145">
        <f t="shared" si="120"/>
        <v>50800.709781890153</v>
      </c>
      <c r="P485" s="145">
        <f t="shared" si="120"/>
        <v>256403.99664897332</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247</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968</v>
      </c>
      <c r="G487" t="s">
        <v>206</v>
      </c>
      <c r="J487" s="174">
        <f t="shared" ref="J487:Y487" si="121">J354</f>
        <v>0</v>
      </c>
      <c r="K487" s="174">
        <f t="shared" si="121"/>
        <v>3024.6701201283286</v>
      </c>
      <c r="L487" s="174">
        <f t="shared" si="121"/>
        <v>84.429234480720567</v>
      </c>
      <c r="M487" s="174">
        <f t="shared" si="121"/>
        <v>2996.7048058884111</v>
      </c>
      <c r="N487" s="174">
        <f t="shared" si="121"/>
        <v>11.018313324190808</v>
      </c>
      <c r="O487" s="174">
        <f t="shared" si="121"/>
        <v>0.44361509342263367</v>
      </c>
      <c r="P487" s="174">
        <f t="shared" si="121"/>
        <v>1787.6325942714436</v>
      </c>
      <c r="Q487" s="174">
        <f t="shared" si="121"/>
        <v>0</v>
      </c>
      <c r="R487" s="174">
        <f t="shared" si="121"/>
        <v>101581.4545087218</v>
      </c>
      <c r="S487" s="174">
        <f t="shared" si="121"/>
        <v>28.257000000000001</v>
      </c>
      <c r="T487" s="174">
        <f t="shared" si="121"/>
        <v>23928.992700000006</v>
      </c>
      <c r="U487" s="174">
        <f t="shared" si="121"/>
        <v>0</v>
      </c>
      <c r="V487" s="174">
        <f t="shared" si="121"/>
        <v>3317.8217</v>
      </c>
      <c r="W487" s="174">
        <f t="shared" si="121"/>
        <v>0</v>
      </c>
      <c r="X487" s="174">
        <f t="shared" si="121"/>
        <v>309734.76939999999</v>
      </c>
      <c r="Y487" s="174">
        <f t="shared" si="121"/>
        <v>0</v>
      </c>
      <c r="AQ487" s="3"/>
    </row>
    <row r="488" spans="5:43" x14ac:dyDescent="0.25">
      <c r="E488" s="124"/>
      <c r="F488" s="2" t="s">
        <v>969</v>
      </c>
      <c r="G488" t="s">
        <v>206</v>
      </c>
      <c r="J488" s="198">
        <f t="shared" ref="J488:Y488" si="122">J383</f>
        <v>2205334.3086330174</v>
      </c>
      <c r="K488" s="198">
        <f t="shared" si="122"/>
        <v>0</v>
      </c>
      <c r="L488" s="198">
        <f t="shared" si="122"/>
        <v>62931.357376763488</v>
      </c>
      <c r="M488" s="198">
        <f t="shared" si="122"/>
        <v>0</v>
      </c>
      <c r="N488" s="198">
        <f t="shared" si="122"/>
        <v>227223.98729172221</v>
      </c>
      <c r="O488" s="198">
        <f t="shared" si="122"/>
        <v>3440.4754873021093</v>
      </c>
      <c r="P488" s="198">
        <f t="shared" si="122"/>
        <v>117049.61655678801</v>
      </c>
      <c r="Q488" s="198">
        <f t="shared" si="122"/>
        <v>30003.16690372517</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970</v>
      </c>
      <c r="G489" t="s">
        <v>206</v>
      </c>
      <c r="J489" s="198">
        <f t="shared" ref="J489:Y489" si="123">J412</f>
        <v>0</v>
      </c>
      <c r="K489" s="198">
        <f t="shared" si="123"/>
        <v>0</v>
      </c>
      <c r="L489" s="198">
        <f t="shared" si="123"/>
        <v>146508.01072477657</v>
      </c>
      <c r="M489" s="198">
        <f t="shared" si="123"/>
        <v>0</v>
      </c>
      <c r="N489" s="198">
        <f t="shared" si="123"/>
        <v>301176.22088279913</v>
      </c>
      <c r="O489" s="198">
        <f t="shared" si="123"/>
        <v>4468.9871351334423</v>
      </c>
      <c r="P489" s="198">
        <f t="shared" si="123"/>
        <v>372505.33476005297</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972</v>
      </c>
      <c r="G490" t="s">
        <v>206</v>
      </c>
      <c r="J490" s="145">
        <f t="shared" ref="J490:Y490" si="124">J441</f>
        <v>0</v>
      </c>
      <c r="K490" s="145">
        <f t="shared" si="124"/>
        <v>0</v>
      </c>
      <c r="L490" s="145">
        <f t="shared" si="124"/>
        <v>163824.95099984153</v>
      </c>
      <c r="M490" s="145">
        <f t="shared" si="124"/>
        <v>0</v>
      </c>
      <c r="N490" s="145">
        <f t="shared" si="124"/>
        <v>196687.71125038658</v>
      </c>
      <c r="O490" s="145">
        <f t="shared" si="124"/>
        <v>9891.0431704156144</v>
      </c>
      <c r="P490" s="145">
        <f t="shared" si="124"/>
        <v>334569.58181155205</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971</v>
      </c>
      <c r="G491" t="s">
        <v>206</v>
      </c>
      <c r="J491" s="145">
        <f t="shared" ref="J491:Y491" si="125">J470</f>
        <v>0</v>
      </c>
      <c r="K491" s="145">
        <f t="shared" si="125"/>
        <v>0</v>
      </c>
      <c r="L491" s="145">
        <f t="shared" si="125"/>
        <v>469936.19940618548</v>
      </c>
      <c r="M491" s="145">
        <f t="shared" si="125"/>
        <v>0</v>
      </c>
      <c r="N491" s="145">
        <f t="shared" si="125"/>
        <v>333398.08647472714</v>
      </c>
      <c r="O491" s="145">
        <f t="shared" si="125"/>
        <v>179776.16484897039</v>
      </c>
      <c r="P491" s="145">
        <f t="shared" si="125"/>
        <v>830261.11388494947</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248</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968</v>
      </c>
      <c r="G493" t="s">
        <v>206</v>
      </c>
      <c r="J493" s="174">
        <f t="shared" ref="J493:Y493" si="126">J355</f>
        <v>0</v>
      </c>
      <c r="K493" s="174">
        <f t="shared" si="126"/>
        <v>7987.5995677611181</v>
      </c>
      <c r="L493" s="174">
        <f t="shared" si="126"/>
        <v>84.08467623411623</v>
      </c>
      <c r="M493" s="174">
        <f t="shared" si="126"/>
        <v>8901.6348585294018</v>
      </c>
      <c r="N493" s="174">
        <f t="shared" si="126"/>
        <v>19.264918608979336</v>
      </c>
      <c r="O493" s="174">
        <f t="shared" si="126"/>
        <v>0.50314829432551389</v>
      </c>
      <c r="P493" s="174">
        <f t="shared" si="126"/>
        <v>3484.4255497876861</v>
      </c>
      <c r="Q493" s="174">
        <f t="shared" si="126"/>
        <v>0</v>
      </c>
      <c r="R493" s="174">
        <f t="shared" si="126"/>
        <v>58048.115445790958</v>
      </c>
      <c r="S493" s="174">
        <f t="shared" si="126"/>
        <v>18.324999999999999</v>
      </c>
      <c r="T493" s="174">
        <f t="shared" si="126"/>
        <v>26057.122299999999</v>
      </c>
      <c r="U493" s="174">
        <f t="shared" si="126"/>
        <v>0</v>
      </c>
      <c r="V493" s="174">
        <f t="shared" si="126"/>
        <v>5561.4861000000001</v>
      </c>
      <c r="W493" s="174">
        <f t="shared" si="126"/>
        <v>0</v>
      </c>
      <c r="X493" s="174">
        <f t="shared" si="126"/>
        <v>382550.29730000003</v>
      </c>
      <c r="Y493" s="174">
        <f t="shared" si="126"/>
        <v>0</v>
      </c>
      <c r="AQ493" s="3"/>
    </row>
    <row r="494" spans="5:43" x14ac:dyDescent="0.25">
      <c r="E494" s="124"/>
      <c r="F494" s="2" t="s">
        <v>969</v>
      </c>
      <c r="G494" t="s">
        <v>206</v>
      </c>
      <c r="J494" s="198">
        <f t="shared" ref="J494:Y494" si="127">J384</f>
        <v>3256274.7370705893</v>
      </c>
      <c r="K494" s="198">
        <f t="shared" si="127"/>
        <v>0</v>
      </c>
      <c r="L494" s="198">
        <f t="shared" si="127"/>
        <v>66980.821559370976</v>
      </c>
      <c r="M494" s="198">
        <f t="shared" si="127"/>
        <v>0</v>
      </c>
      <c r="N494" s="198">
        <f t="shared" si="127"/>
        <v>247788.12385693393</v>
      </c>
      <c r="O494" s="198">
        <f t="shared" si="127"/>
        <v>4151.746255602884</v>
      </c>
      <c r="P494" s="198">
        <f t="shared" si="127"/>
        <v>141238.06677438464</v>
      </c>
      <c r="Q494" s="198">
        <f t="shared" si="127"/>
        <v>99744.809527368328</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970</v>
      </c>
      <c r="G495" t="s">
        <v>206</v>
      </c>
      <c r="J495" s="198">
        <f t="shared" ref="J495:Y495" si="128">J413</f>
        <v>0</v>
      </c>
      <c r="K495" s="198">
        <f t="shared" si="128"/>
        <v>0</v>
      </c>
      <c r="L495" s="198">
        <f t="shared" si="128"/>
        <v>156920.28452086382</v>
      </c>
      <c r="M495" s="198">
        <f t="shared" si="128"/>
        <v>0</v>
      </c>
      <c r="N495" s="198">
        <f t="shared" si="128"/>
        <v>335160.65596344805</v>
      </c>
      <c r="O495" s="198">
        <f t="shared" si="128"/>
        <v>5094.0932196201147</v>
      </c>
      <c r="P495" s="198">
        <f t="shared" si="128"/>
        <v>470943.49719390366</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972</v>
      </c>
      <c r="G496" t="s">
        <v>206</v>
      </c>
      <c r="J496" s="145">
        <f t="shared" ref="J496:Y496" si="129">J442</f>
        <v>0</v>
      </c>
      <c r="K496" s="145">
        <f t="shared" si="129"/>
        <v>0</v>
      </c>
      <c r="L496" s="145">
        <f t="shared" si="129"/>
        <v>181021.82113432416</v>
      </c>
      <c r="M496" s="145">
        <f t="shared" si="129"/>
        <v>0</v>
      </c>
      <c r="N496" s="145">
        <f t="shared" si="129"/>
        <v>216514.40068314568</v>
      </c>
      <c r="O496" s="145">
        <f t="shared" si="129"/>
        <v>11704.797503811011</v>
      </c>
      <c r="P496" s="145">
        <f t="shared" si="129"/>
        <v>457236.18379073829</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971</v>
      </c>
      <c r="G497" t="s">
        <v>206</v>
      </c>
      <c r="J497" s="145">
        <f t="shared" ref="J497:Y497" si="130">J471</f>
        <v>0</v>
      </c>
      <c r="K497" s="145">
        <f t="shared" si="130"/>
        <v>0</v>
      </c>
      <c r="L497" s="145">
        <f t="shared" si="130"/>
        <v>550564.793614113</v>
      </c>
      <c r="M497" s="145">
        <f t="shared" si="130"/>
        <v>0</v>
      </c>
      <c r="N497" s="145">
        <f t="shared" si="130"/>
        <v>357332.89695374866</v>
      </c>
      <c r="O497" s="145">
        <f t="shared" si="130"/>
        <v>215400.3360014499</v>
      </c>
      <c r="P497" s="145">
        <f t="shared" si="130"/>
        <v>1249914.7296718536</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211</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968</v>
      </c>
      <c r="G499" t="s">
        <v>211</v>
      </c>
      <c r="J499" s="174">
        <f t="shared" ref="J499:Y499" si="131">J356</f>
        <v>0</v>
      </c>
      <c r="K499" s="174">
        <f t="shared" si="131"/>
        <v>4103.3721701347276</v>
      </c>
      <c r="L499" s="174">
        <f t="shared" si="131"/>
        <v>21.99813867057907</v>
      </c>
      <c r="M499" s="174">
        <f t="shared" si="131"/>
        <v>1571.7036335487671</v>
      </c>
      <c r="N499" s="174">
        <f t="shared" si="131"/>
        <v>8.1262089826560899</v>
      </c>
      <c r="O499" s="174">
        <f t="shared" si="131"/>
        <v>1.1072850062440645</v>
      </c>
      <c r="P499" s="174">
        <f t="shared" si="131"/>
        <v>75.007576408708928</v>
      </c>
      <c r="Q499" s="174">
        <f t="shared" si="131"/>
        <v>0</v>
      </c>
      <c r="R499" s="174">
        <f t="shared" si="131"/>
        <v>32972.366465964653</v>
      </c>
      <c r="S499" s="174">
        <f t="shared" si="131"/>
        <v>0</v>
      </c>
      <c r="T499" s="174">
        <f t="shared" si="131"/>
        <v>717</v>
      </c>
      <c r="U499" s="174">
        <f t="shared" si="131"/>
        <v>0</v>
      </c>
      <c r="V499" s="174">
        <f t="shared" si="131"/>
        <v>36</v>
      </c>
      <c r="W499" s="174">
        <f t="shared" si="131"/>
        <v>0</v>
      </c>
      <c r="X499" s="174">
        <f t="shared" si="131"/>
        <v>286</v>
      </c>
      <c r="Y499" s="174">
        <f t="shared" si="131"/>
        <v>0</v>
      </c>
      <c r="AQ499" s="3"/>
    </row>
    <row r="500" spans="5:43" x14ac:dyDescent="0.25">
      <c r="E500" s="124"/>
      <c r="F500" s="2" t="s">
        <v>969</v>
      </c>
      <c r="G500" t="s">
        <v>211</v>
      </c>
      <c r="J500" s="198">
        <f t="shared" ref="J500:Y500" si="132">J385</f>
        <v>2211223.0038455967</v>
      </c>
      <c r="K500" s="198">
        <f t="shared" si="132"/>
        <v>0</v>
      </c>
      <c r="L500" s="198">
        <f t="shared" si="132"/>
        <v>50708.548973421945</v>
      </c>
      <c r="M500" s="198">
        <f t="shared" si="132"/>
        <v>0</v>
      </c>
      <c r="N500" s="198">
        <f t="shared" si="132"/>
        <v>6867.4372884490795</v>
      </c>
      <c r="O500" s="198">
        <f t="shared" si="132"/>
        <v>12.889489245636724</v>
      </c>
      <c r="P500" s="198">
        <f t="shared" si="132"/>
        <v>608.02249301308575</v>
      </c>
      <c r="Q500" s="198">
        <f t="shared" si="132"/>
        <v>813.16725654976756</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970</v>
      </c>
      <c r="G501" t="s">
        <v>211</v>
      </c>
      <c r="J501" s="198">
        <f t="shared" ref="J501:Y501" si="133">J414</f>
        <v>0</v>
      </c>
      <c r="K501" s="198">
        <f t="shared" si="133"/>
        <v>0</v>
      </c>
      <c r="L501" s="198">
        <f t="shared" si="133"/>
        <v>46377.166603043697</v>
      </c>
      <c r="M501" s="198">
        <f t="shared" si="133"/>
        <v>0</v>
      </c>
      <c r="N501" s="198">
        <f t="shared" si="133"/>
        <v>4708.0512945382643</v>
      </c>
      <c r="O501" s="198">
        <f t="shared" si="133"/>
        <v>35.035189370518033</v>
      </c>
      <c r="P501" s="198">
        <f t="shared" si="133"/>
        <v>698.30620602123213</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972</v>
      </c>
      <c r="G502" t="s">
        <v>211</v>
      </c>
      <c r="J502" s="145">
        <f t="shared" ref="J502:Y502" si="134">J443</f>
        <v>0</v>
      </c>
      <c r="K502" s="145">
        <f t="shared" si="134"/>
        <v>0</v>
      </c>
      <c r="L502" s="145">
        <f t="shared" si="134"/>
        <v>22115.055120545327</v>
      </c>
      <c r="M502" s="145">
        <f t="shared" si="134"/>
        <v>0</v>
      </c>
      <c r="N502" s="145">
        <f t="shared" si="134"/>
        <v>2029.8660257913084</v>
      </c>
      <c r="O502" s="145">
        <f t="shared" si="134"/>
        <v>60.303779099485467</v>
      </c>
      <c r="P502" s="145">
        <f t="shared" si="134"/>
        <v>302.54082390094447</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971</v>
      </c>
      <c r="G503" t="s">
        <v>211</v>
      </c>
      <c r="J503" s="145">
        <f t="shared" ref="J503:Y503" si="135">J472</f>
        <v>0</v>
      </c>
      <c r="K503" s="145">
        <f t="shared" si="135"/>
        <v>0</v>
      </c>
      <c r="L503" s="145">
        <f t="shared" si="135"/>
        <v>24363.507291786456</v>
      </c>
      <c r="M503" s="145">
        <f t="shared" si="135"/>
        <v>0</v>
      </c>
      <c r="N503" s="145">
        <f t="shared" si="135"/>
        <v>1792.0492836378749</v>
      </c>
      <c r="O503" s="145">
        <f t="shared" si="135"/>
        <v>625.2353920224997</v>
      </c>
      <c r="P503" s="145">
        <f t="shared" si="135"/>
        <v>332.68116512327606</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249</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968</v>
      </c>
      <c r="G505" t="s">
        <v>250</v>
      </c>
      <c r="J505" s="174">
        <f t="shared" ref="J505:Y505" si="136">J357</f>
        <v>0</v>
      </c>
      <c r="K505" s="174">
        <f t="shared" si="136"/>
        <v>0</v>
      </c>
      <c r="L505" s="174">
        <f t="shared" si="136"/>
        <v>0</v>
      </c>
      <c r="M505" s="174">
        <f t="shared" si="136"/>
        <v>0</v>
      </c>
      <c r="N505" s="174">
        <f t="shared" si="136"/>
        <v>235</v>
      </c>
      <c r="O505" s="174">
        <f t="shared" si="136"/>
        <v>30</v>
      </c>
      <c r="P505" s="174">
        <f t="shared" si="136"/>
        <v>10815</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969</v>
      </c>
      <c r="G506" t="s">
        <v>250</v>
      </c>
      <c r="J506" s="198">
        <f t="shared" ref="J506:Y506" si="137">J386</f>
        <v>0</v>
      </c>
      <c r="K506" s="198">
        <f t="shared" si="137"/>
        <v>0</v>
      </c>
      <c r="L506" s="198">
        <f t="shared" si="137"/>
        <v>0</v>
      </c>
      <c r="M506" s="198">
        <f t="shared" si="137"/>
        <v>0</v>
      </c>
      <c r="N506" s="198">
        <f t="shared" si="137"/>
        <v>314029.40230609284</v>
      </c>
      <c r="O506" s="198">
        <f t="shared" si="137"/>
        <v>812.71682114038549</v>
      </c>
      <c r="P506" s="198">
        <f t="shared" si="137"/>
        <v>150418.64605319232</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970</v>
      </c>
      <c r="G507" t="s">
        <v>250</v>
      </c>
      <c r="J507" s="198">
        <f t="shared" ref="J507:Y507" si="138">J415</f>
        <v>0</v>
      </c>
      <c r="K507" s="198">
        <f t="shared" si="138"/>
        <v>0</v>
      </c>
      <c r="L507" s="198">
        <f t="shared" si="138"/>
        <v>0</v>
      </c>
      <c r="M507" s="198">
        <f t="shared" si="138"/>
        <v>0</v>
      </c>
      <c r="N507" s="198">
        <f t="shared" si="138"/>
        <v>528624.25426667673</v>
      </c>
      <c r="O507" s="198">
        <f t="shared" si="138"/>
        <v>4074.5823046082055</v>
      </c>
      <c r="P507" s="198">
        <f t="shared" si="138"/>
        <v>483174.64886044635</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972</v>
      </c>
      <c r="G508" t="s">
        <v>250</v>
      </c>
      <c r="J508" s="145">
        <f t="shared" ref="J508:Y508" si="139">J444</f>
        <v>0</v>
      </c>
      <c r="K508" s="145">
        <f t="shared" si="139"/>
        <v>0</v>
      </c>
      <c r="L508" s="145">
        <f t="shared" si="139"/>
        <v>0</v>
      </c>
      <c r="M508" s="145">
        <f t="shared" si="139"/>
        <v>0</v>
      </c>
      <c r="N508" s="145">
        <f t="shared" si="139"/>
        <v>369763.18557077396</v>
      </c>
      <c r="O508" s="145">
        <f t="shared" si="139"/>
        <v>10678.597263921059</v>
      </c>
      <c r="P508" s="145">
        <f t="shared" si="139"/>
        <v>408941.7481529098</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971</v>
      </c>
      <c r="G509" t="s">
        <v>250</v>
      </c>
      <c r="J509" s="145">
        <f>J473</f>
        <v>0</v>
      </c>
      <c r="K509" s="145">
        <f t="shared" ref="K509:Y509" si="140">K473</f>
        <v>0</v>
      </c>
      <c r="L509" s="145">
        <f t="shared" si="140"/>
        <v>0</v>
      </c>
      <c r="M509" s="145">
        <f t="shared" si="140"/>
        <v>0</v>
      </c>
      <c r="N509" s="145">
        <f t="shared" si="140"/>
        <v>620993.85851468623</v>
      </c>
      <c r="O509" s="145">
        <f t="shared" si="140"/>
        <v>289054.71830623806</v>
      </c>
      <c r="P509" s="145">
        <f t="shared" si="140"/>
        <v>1101321.4339163622</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251</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968</v>
      </c>
      <c r="G511" t="s">
        <v>250</v>
      </c>
      <c r="J511" s="174">
        <f t="shared" ref="J511:Y511" si="141">J358</f>
        <v>0</v>
      </c>
      <c r="K511" s="174">
        <f t="shared" si="141"/>
        <v>0</v>
      </c>
      <c r="L511" s="174">
        <f t="shared" si="141"/>
        <v>0</v>
      </c>
      <c r="M511" s="174">
        <f t="shared" si="141"/>
        <v>0</v>
      </c>
      <c r="N511" s="174">
        <f t="shared" si="141"/>
        <v>1.2328767123287672</v>
      </c>
      <c r="O511" s="174">
        <f t="shared" si="141"/>
        <v>0</v>
      </c>
      <c r="P511" s="174">
        <f t="shared" si="141"/>
        <v>1069.3095890410959</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969</v>
      </c>
      <c r="G512" t="s">
        <v>250</v>
      </c>
      <c r="J512" s="198">
        <f t="shared" ref="J512:Y512" si="142">J387</f>
        <v>0</v>
      </c>
      <c r="K512" s="198">
        <f t="shared" si="142"/>
        <v>0</v>
      </c>
      <c r="L512" s="198">
        <f t="shared" si="142"/>
        <v>0</v>
      </c>
      <c r="M512" s="198">
        <f t="shared" si="142"/>
        <v>0</v>
      </c>
      <c r="N512" s="198">
        <f t="shared" si="142"/>
        <v>20860.962559507119</v>
      </c>
      <c r="O512" s="198">
        <f t="shared" si="142"/>
        <v>106.63561643835617</v>
      </c>
      <c r="P512" s="198">
        <f t="shared" si="142"/>
        <v>8063.7479452054795</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970</v>
      </c>
      <c r="G513" t="s">
        <v>250</v>
      </c>
      <c r="J513" s="198">
        <f t="shared" ref="J513:Y513" si="143">J416</f>
        <v>0</v>
      </c>
      <c r="K513" s="198">
        <f t="shared" si="143"/>
        <v>0</v>
      </c>
      <c r="L513" s="198">
        <f t="shared" si="143"/>
        <v>0</v>
      </c>
      <c r="M513" s="198">
        <f t="shared" si="143"/>
        <v>0</v>
      </c>
      <c r="N513" s="198">
        <f t="shared" si="143"/>
        <v>8093.3023423394779</v>
      </c>
      <c r="O513" s="198">
        <f t="shared" si="143"/>
        <v>289.13095886971962</v>
      </c>
      <c r="P513" s="198">
        <f t="shared" si="143"/>
        <v>6804.5150684931505</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972</v>
      </c>
      <c r="G514" t="s">
        <v>250</v>
      </c>
      <c r="J514" s="145">
        <f t="shared" ref="J514:Y514" si="144">J445</f>
        <v>0</v>
      </c>
      <c r="K514" s="145">
        <f t="shared" si="144"/>
        <v>0</v>
      </c>
      <c r="L514" s="145">
        <f t="shared" si="144"/>
        <v>0</v>
      </c>
      <c r="M514" s="145">
        <f t="shared" si="144"/>
        <v>0</v>
      </c>
      <c r="N514" s="145">
        <f t="shared" si="144"/>
        <v>3562.984557085922</v>
      </c>
      <c r="O514" s="145">
        <f t="shared" si="144"/>
        <v>174.21643835616439</v>
      </c>
      <c r="P514" s="145">
        <f t="shared" si="144"/>
        <v>2879.1150684931508</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971</v>
      </c>
      <c r="G515" t="s">
        <v>250</v>
      </c>
      <c r="J515" s="145">
        <f t="shared" ref="J515:Y515" si="145">J474</f>
        <v>0</v>
      </c>
      <c r="K515" s="145">
        <f t="shared" si="145"/>
        <v>0</v>
      </c>
      <c r="L515" s="145">
        <f t="shared" si="145"/>
        <v>0</v>
      </c>
      <c r="M515" s="145">
        <f t="shared" si="145"/>
        <v>0</v>
      </c>
      <c r="N515" s="145">
        <f t="shared" si="145"/>
        <v>3133.2077582473103</v>
      </c>
      <c r="O515" s="145">
        <f t="shared" si="145"/>
        <v>1034.6739726027397</v>
      </c>
      <c r="P515" s="145">
        <f t="shared" si="145"/>
        <v>5749.4941147291138</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252</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968</v>
      </c>
      <c r="G517" t="s">
        <v>253</v>
      </c>
      <c r="J517" s="174">
        <f t="shared" ref="J517:Y517" si="146">J359</f>
        <v>0</v>
      </c>
      <c r="K517" s="174">
        <f t="shared" si="146"/>
        <v>0</v>
      </c>
      <c r="L517" s="174">
        <f t="shared" si="146"/>
        <v>0</v>
      </c>
      <c r="M517" s="174">
        <f t="shared" si="146"/>
        <v>0</v>
      </c>
      <c r="N517" s="174">
        <f t="shared" si="146"/>
        <v>11.863</v>
      </c>
      <c r="O517" s="174">
        <f t="shared" si="146"/>
        <v>7.0000000000000007E-2</v>
      </c>
      <c r="P517" s="174">
        <f t="shared" si="146"/>
        <v>3977.5509999999999</v>
      </c>
      <c r="Q517" s="174">
        <f t="shared" si="146"/>
        <v>0</v>
      </c>
      <c r="R517" s="174">
        <f t="shared" si="146"/>
        <v>0</v>
      </c>
      <c r="S517" s="174">
        <f t="shared" si="146"/>
        <v>0</v>
      </c>
      <c r="T517" s="174">
        <f t="shared" si="146"/>
        <v>6309.8550000000005</v>
      </c>
      <c r="U517" s="174">
        <f t="shared" si="146"/>
        <v>0</v>
      </c>
      <c r="V517" s="174">
        <f t="shared" si="146"/>
        <v>614.85700000000008</v>
      </c>
      <c r="W517" s="174">
        <f t="shared" si="146"/>
        <v>0</v>
      </c>
      <c r="X517" s="174">
        <f t="shared" si="146"/>
        <v>31949.8</v>
      </c>
      <c r="Y517" s="174">
        <f t="shared" si="146"/>
        <v>0</v>
      </c>
      <c r="AQ517" s="3"/>
    </row>
    <row r="518" spans="3:43" x14ac:dyDescent="0.25">
      <c r="E518" s="124"/>
      <c r="F518" s="2" t="s">
        <v>969</v>
      </c>
      <c r="G518" t="s">
        <v>253</v>
      </c>
      <c r="J518" s="198">
        <f t="shared" ref="J518:Y518" si="147">J388</f>
        <v>0</v>
      </c>
      <c r="K518" s="198">
        <f t="shared" si="147"/>
        <v>0</v>
      </c>
      <c r="L518" s="198">
        <f t="shared" si="147"/>
        <v>0</v>
      </c>
      <c r="M518" s="198">
        <f t="shared" si="147"/>
        <v>0</v>
      </c>
      <c r="N518" s="198">
        <f t="shared" si="147"/>
        <v>48825.922919107208</v>
      </c>
      <c r="O518" s="198">
        <f t="shared" si="147"/>
        <v>645.46512377794534</v>
      </c>
      <c r="P518" s="198">
        <f t="shared" si="147"/>
        <v>40006.871612034396</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970</v>
      </c>
      <c r="G519" t="s">
        <v>253</v>
      </c>
      <c r="J519" s="198">
        <f t="shared" ref="J519:Y519" si="148">J417</f>
        <v>0</v>
      </c>
      <c r="K519" s="198">
        <f t="shared" si="148"/>
        <v>0</v>
      </c>
      <c r="L519" s="198">
        <f t="shared" si="148"/>
        <v>0</v>
      </c>
      <c r="M519" s="198">
        <f t="shared" si="148"/>
        <v>0</v>
      </c>
      <c r="N519" s="198">
        <f t="shared" si="148"/>
        <v>63272.735810064718</v>
      </c>
      <c r="O519" s="198">
        <f t="shared" si="148"/>
        <v>981.47515133744719</v>
      </c>
      <c r="P519" s="198">
        <f t="shared" si="148"/>
        <v>84858.318428284387</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972</v>
      </c>
      <c r="G520" t="s">
        <v>253</v>
      </c>
      <c r="J520" s="145">
        <f t="shared" ref="J520:Y520" si="149">J446</f>
        <v>0</v>
      </c>
      <c r="K520" s="145">
        <f t="shared" si="149"/>
        <v>0</v>
      </c>
      <c r="L520" s="145">
        <f t="shared" si="149"/>
        <v>0</v>
      </c>
      <c r="M520" s="145">
        <f t="shared" si="149"/>
        <v>0</v>
      </c>
      <c r="N520" s="145">
        <f t="shared" si="149"/>
        <v>49356.438919621942</v>
      </c>
      <c r="O520" s="145">
        <f t="shared" si="149"/>
        <v>2049.6235268262867</v>
      </c>
      <c r="P520" s="145">
        <f t="shared" si="149"/>
        <v>69881.558066816026</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971</v>
      </c>
      <c r="G521" s="91" t="s">
        <v>253</v>
      </c>
      <c r="H521" s="91"/>
      <c r="I521" s="91"/>
      <c r="J521" s="198">
        <f t="shared" ref="J521:Y521" si="150">J475</f>
        <v>0</v>
      </c>
      <c r="K521" s="198">
        <f t="shared" si="150"/>
        <v>0</v>
      </c>
      <c r="L521" s="198">
        <f t="shared" si="150"/>
        <v>0</v>
      </c>
      <c r="M521" s="198">
        <f t="shared" si="150"/>
        <v>0</v>
      </c>
      <c r="N521" s="198">
        <f t="shared" si="150"/>
        <v>76087.216388954272</v>
      </c>
      <c r="O521" s="198">
        <f t="shared" si="150"/>
        <v>34414.249166160676</v>
      </c>
      <c r="P521" s="198">
        <f t="shared" si="150"/>
        <v>200991.72523880485</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1120</v>
      </c>
      <c r="AQ525" s="3"/>
    </row>
    <row r="526" spans="3:43" x14ac:dyDescent="0.25">
      <c r="E526" s="111" t="s">
        <v>246</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968</v>
      </c>
      <c r="G527" t="s">
        <v>206</v>
      </c>
      <c r="J527" s="174">
        <f>J58</f>
        <v>0</v>
      </c>
      <c r="K527" s="174">
        <f t="shared" ref="K527:Y527" si="151">K58</f>
        <v>267.59944132442337</v>
      </c>
      <c r="L527" s="174">
        <f t="shared" si="151"/>
        <v>23.8864359599051</v>
      </c>
      <c r="M527" s="174">
        <f t="shared" si="151"/>
        <v>522.25619825826141</v>
      </c>
      <c r="N527" s="174">
        <f t="shared" si="151"/>
        <v>3.2128723712107869</v>
      </c>
      <c r="O527" s="174">
        <f t="shared" si="151"/>
        <v>8.8172625295477786E-2</v>
      </c>
      <c r="P527" s="174">
        <f t="shared" si="151"/>
        <v>541.96235961505158</v>
      </c>
      <c r="Q527" s="174">
        <f t="shared" si="151"/>
        <v>0</v>
      </c>
      <c r="R527" s="174">
        <f t="shared" si="151"/>
        <v>19571.925278374503</v>
      </c>
      <c r="S527" s="174">
        <f t="shared" si="151"/>
        <v>0</v>
      </c>
      <c r="T527" s="174">
        <f t="shared" si="151"/>
        <v>5902.4038</v>
      </c>
      <c r="U527" s="174">
        <f t="shared" si="151"/>
        <v>0</v>
      </c>
      <c r="V527" s="174">
        <f t="shared" si="151"/>
        <v>1013.0288999999998</v>
      </c>
      <c r="W527" s="174">
        <f t="shared" si="151"/>
        <v>0</v>
      </c>
      <c r="X527" s="174">
        <f t="shared" si="151"/>
        <v>115980.32519999999</v>
      </c>
      <c r="Y527" s="174">
        <f t="shared" si="151"/>
        <v>0</v>
      </c>
      <c r="AQ527" s="3"/>
    </row>
    <row r="528" spans="3:43" x14ac:dyDescent="0.25">
      <c r="E528" s="124"/>
      <c r="F528" s="2" t="s">
        <v>969</v>
      </c>
      <c r="G528" t="s">
        <v>206</v>
      </c>
      <c r="J528" s="198">
        <f>J67</f>
        <v>891975.83915223007</v>
      </c>
      <c r="K528" s="198">
        <f t="shared" ref="K528:Y528" si="152">K67</f>
        <v>0</v>
      </c>
      <c r="L528" s="198">
        <f t="shared" si="152"/>
        <v>16552.532223543443</v>
      </c>
      <c r="M528" s="198">
        <f t="shared" si="152"/>
        <v>0</v>
      </c>
      <c r="N528" s="198">
        <f t="shared" si="152"/>
        <v>62873.674907171699</v>
      </c>
      <c r="O528" s="198">
        <f t="shared" si="152"/>
        <v>834.88459673391424</v>
      </c>
      <c r="P528" s="198">
        <f t="shared" si="152"/>
        <v>31874.674246611579</v>
      </c>
      <c r="Q528" s="198">
        <f t="shared" si="152"/>
        <v>7374.2403851888157</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970</v>
      </c>
      <c r="G529" t="s">
        <v>206</v>
      </c>
      <c r="J529" s="198">
        <f>J76</f>
        <v>0</v>
      </c>
      <c r="K529" s="198">
        <f t="shared" ref="K529:Y529" si="153">K76</f>
        <v>0</v>
      </c>
      <c r="L529" s="198">
        <f t="shared" si="153"/>
        <v>40532.6087360288</v>
      </c>
      <c r="M529" s="198">
        <f t="shared" si="153"/>
        <v>0</v>
      </c>
      <c r="N529" s="198">
        <f t="shared" si="153"/>
        <v>85362.412065266122</v>
      </c>
      <c r="O529" s="198">
        <f t="shared" si="153"/>
        <v>1260.6540644547413</v>
      </c>
      <c r="P529" s="198">
        <f t="shared" si="153"/>
        <v>107443.06941902314</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972</v>
      </c>
      <c r="G530" t="s">
        <v>206</v>
      </c>
      <c r="J530" s="145">
        <f>J85</f>
        <v>0</v>
      </c>
      <c r="K530" s="145">
        <f t="shared" ref="K530:Y530" si="154">K85</f>
        <v>0</v>
      </c>
      <c r="L530" s="145">
        <f t="shared" si="154"/>
        <v>45281.293220552077</v>
      </c>
      <c r="M530" s="145">
        <f t="shared" si="154"/>
        <v>0</v>
      </c>
      <c r="N530" s="145">
        <f t="shared" si="154"/>
        <v>53107.35116186065</v>
      </c>
      <c r="O530" s="145">
        <f t="shared" si="154"/>
        <v>2854.5255833190145</v>
      </c>
      <c r="P530" s="145">
        <f t="shared" si="154"/>
        <v>98514.766092263526</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971</v>
      </c>
      <c r="G531" t="s">
        <v>206</v>
      </c>
      <c r="J531" s="145">
        <f>J94</f>
        <v>0</v>
      </c>
      <c r="K531" s="145">
        <f t="shared" ref="K531:Y531" si="155">K94</f>
        <v>0</v>
      </c>
      <c r="L531" s="145">
        <f t="shared" si="155"/>
        <v>131298.93050379492</v>
      </c>
      <c r="M531" s="145">
        <f t="shared" si="155"/>
        <v>0</v>
      </c>
      <c r="N531" s="145">
        <f t="shared" si="155"/>
        <v>85535.392546985327</v>
      </c>
      <c r="O531" s="145">
        <f t="shared" si="155"/>
        <v>47376.215525796506</v>
      </c>
      <c r="P531" s="145">
        <f t="shared" si="155"/>
        <v>248773.27096185446</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247</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968</v>
      </c>
      <c r="G533" t="s">
        <v>206</v>
      </c>
      <c r="J533" s="174">
        <f>J59</f>
        <v>0</v>
      </c>
      <c r="K533" s="174">
        <f t="shared" ref="K533:Y533" si="156">K59</f>
        <v>3009.1632577465161</v>
      </c>
      <c r="L533" s="174">
        <f t="shared" si="156"/>
        <v>84.429234480720567</v>
      </c>
      <c r="M533" s="174">
        <f t="shared" si="156"/>
        <v>2991.7411850243693</v>
      </c>
      <c r="N533" s="174">
        <f t="shared" si="156"/>
        <v>11.018313324190808</v>
      </c>
      <c r="O533" s="174">
        <f t="shared" si="156"/>
        <v>0.44361509342263367</v>
      </c>
      <c r="P533" s="174">
        <f t="shared" si="156"/>
        <v>1787.6325942714436</v>
      </c>
      <c r="Q533" s="174">
        <f t="shared" si="156"/>
        <v>0</v>
      </c>
      <c r="R533" s="174">
        <f t="shared" si="156"/>
        <v>95791.600508721793</v>
      </c>
      <c r="S533" s="174">
        <f t="shared" si="156"/>
        <v>0</v>
      </c>
      <c r="T533" s="174">
        <f t="shared" si="156"/>
        <v>23799.629700000005</v>
      </c>
      <c r="U533" s="174">
        <f t="shared" si="156"/>
        <v>0</v>
      </c>
      <c r="V533" s="174">
        <f t="shared" si="156"/>
        <v>3224.2487000000001</v>
      </c>
      <c r="W533" s="174">
        <f t="shared" si="156"/>
        <v>0</v>
      </c>
      <c r="X533" s="174">
        <f t="shared" si="156"/>
        <v>309200.76439999999</v>
      </c>
      <c r="Y533" s="174">
        <f t="shared" si="156"/>
        <v>0</v>
      </c>
      <c r="AQ533" s="3"/>
    </row>
    <row r="534" spans="5:43" x14ac:dyDescent="0.25">
      <c r="E534" s="124"/>
      <c r="F534" s="2" t="s">
        <v>969</v>
      </c>
      <c r="G534" t="s">
        <v>206</v>
      </c>
      <c r="J534" s="198">
        <f>J68</f>
        <v>2153149.2392095304</v>
      </c>
      <c r="K534" s="198">
        <f t="shared" ref="K534:Y534" si="157">K68</f>
        <v>0</v>
      </c>
      <c r="L534" s="198">
        <f t="shared" si="157"/>
        <v>59675.192160152277</v>
      </c>
      <c r="M534" s="198">
        <f t="shared" si="157"/>
        <v>0</v>
      </c>
      <c r="N534" s="198">
        <f t="shared" si="157"/>
        <v>225338.3561774627</v>
      </c>
      <c r="O534" s="198">
        <f t="shared" si="157"/>
        <v>2865.1248760627245</v>
      </c>
      <c r="P534" s="198">
        <f t="shared" si="157"/>
        <v>115743.40860330635</v>
      </c>
      <c r="Q534" s="198">
        <f t="shared" si="157"/>
        <v>29876.813151146878</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970</v>
      </c>
      <c r="G535" t="s">
        <v>206</v>
      </c>
      <c r="J535" s="198">
        <f>J77</f>
        <v>0</v>
      </c>
      <c r="K535" s="198">
        <f t="shared" ref="K535:Y535" si="158">K77</f>
        <v>0</v>
      </c>
      <c r="L535" s="198">
        <f t="shared" si="158"/>
        <v>146302.79963081883</v>
      </c>
      <c r="M535" s="198">
        <f t="shared" si="158"/>
        <v>0</v>
      </c>
      <c r="N535" s="198">
        <f t="shared" si="158"/>
        <v>294459.9077535813</v>
      </c>
      <c r="O535" s="198">
        <f t="shared" si="158"/>
        <v>4162.5130790372414</v>
      </c>
      <c r="P535" s="198">
        <f t="shared" si="158"/>
        <v>369000.85991966072</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972</v>
      </c>
      <c r="G536" t="s">
        <v>206</v>
      </c>
      <c r="J536" s="145">
        <f>J86</f>
        <v>0</v>
      </c>
      <c r="K536" s="145">
        <f t="shared" ref="K536:Y536" si="159">K86</f>
        <v>0</v>
      </c>
      <c r="L536" s="145">
        <f t="shared" si="159"/>
        <v>163574.20762390032</v>
      </c>
      <c r="M536" s="145">
        <f t="shared" si="159"/>
        <v>0</v>
      </c>
      <c r="N536" s="145">
        <f t="shared" si="159"/>
        <v>191191.78141982338</v>
      </c>
      <c r="O536" s="145">
        <f t="shared" si="159"/>
        <v>9681.6025949161158</v>
      </c>
      <c r="P536" s="145">
        <f t="shared" si="159"/>
        <v>323014.47390604595</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971</v>
      </c>
      <c r="G537" t="s">
        <v>206</v>
      </c>
      <c r="J537" s="145">
        <f>J95</f>
        <v>0</v>
      </c>
      <c r="K537" s="145">
        <f t="shared" ref="K537:Y537" si="160">K95</f>
        <v>0</v>
      </c>
      <c r="L537" s="145">
        <f t="shared" si="160"/>
        <v>469656.2843104786</v>
      </c>
      <c r="M537" s="145">
        <f t="shared" si="160"/>
        <v>0</v>
      </c>
      <c r="N537" s="145">
        <f t="shared" si="160"/>
        <v>317993.11282686668</v>
      </c>
      <c r="O537" s="145">
        <f t="shared" si="160"/>
        <v>168335.14810756053</v>
      </c>
      <c r="P537" s="145">
        <f t="shared" si="160"/>
        <v>806470.6791899926</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248</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968</v>
      </c>
      <c r="G539" t="s">
        <v>206</v>
      </c>
      <c r="J539" s="174">
        <f>J60</f>
        <v>0</v>
      </c>
      <c r="K539" s="174">
        <f t="shared" ref="K539:Y539" si="161">K60</f>
        <v>7951.9525613351861</v>
      </c>
      <c r="L539" s="174">
        <f t="shared" si="161"/>
        <v>84.08467623411623</v>
      </c>
      <c r="M539" s="174">
        <f t="shared" si="161"/>
        <v>8895.6207003617601</v>
      </c>
      <c r="N539" s="174">
        <f t="shared" si="161"/>
        <v>19.264918608979336</v>
      </c>
      <c r="O539" s="174">
        <f t="shared" si="161"/>
        <v>0.50314829432551389</v>
      </c>
      <c r="P539" s="174">
        <f t="shared" si="161"/>
        <v>3484.4255497876861</v>
      </c>
      <c r="Q539" s="174">
        <f t="shared" si="161"/>
        <v>0</v>
      </c>
      <c r="R539" s="174">
        <f t="shared" si="161"/>
        <v>54622.312445790958</v>
      </c>
      <c r="S539" s="174">
        <f t="shared" si="161"/>
        <v>0</v>
      </c>
      <c r="T539" s="174">
        <f t="shared" si="161"/>
        <v>25980.259299999998</v>
      </c>
      <c r="U539" s="174">
        <f t="shared" si="161"/>
        <v>0</v>
      </c>
      <c r="V539" s="174">
        <f t="shared" si="161"/>
        <v>5456.4781000000003</v>
      </c>
      <c r="W539" s="174">
        <f t="shared" si="161"/>
        <v>0</v>
      </c>
      <c r="X539" s="174">
        <f t="shared" si="161"/>
        <v>381710.65130000003</v>
      </c>
      <c r="Y539" s="174">
        <f t="shared" si="161"/>
        <v>0</v>
      </c>
      <c r="AQ539" s="3"/>
    </row>
    <row r="540" spans="5:43" x14ac:dyDescent="0.25">
      <c r="E540" s="124"/>
      <c r="F540" s="2" t="s">
        <v>969</v>
      </c>
      <c r="G540" t="s">
        <v>206</v>
      </c>
      <c r="J540" s="198">
        <f>J69</f>
        <v>3181300.0383317643</v>
      </c>
      <c r="K540" s="198">
        <f t="shared" ref="K540:Y540" si="162">K69</f>
        <v>0</v>
      </c>
      <c r="L540" s="198">
        <f t="shared" si="162"/>
        <v>63556.03002782695</v>
      </c>
      <c r="M540" s="198">
        <f t="shared" si="162"/>
        <v>0</v>
      </c>
      <c r="N540" s="198">
        <f t="shared" si="162"/>
        <v>245264.57747899127</v>
      </c>
      <c r="O540" s="198">
        <f t="shared" si="162"/>
        <v>3492.6774058827486</v>
      </c>
      <c r="P540" s="198">
        <f t="shared" si="162"/>
        <v>138938.77516997</v>
      </c>
      <c r="Q540" s="198">
        <f t="shared" si="162"/>
        <v>99538.398472304776</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970</v>
      </c>
      <c r="G541" t="s">
        <v>206</v>
      </c>
      <c r="J541" s="198">
        <f>J78</f>
        <v>0</v>
      </c>
      <c r="K541" s="198">
        <f t="shared" ref="K541:Y541" si="163">K78</f>
        <v>0</v>
      </c>
      <c r="L541" s="198">
        <f t="shared" si="163"/>
        <v>156706.73379057075</v>
      </c>
      <c r="M541" s="198">
        <f t="shared" si="163"/>
        <v>0</v>
      </c>
      <c r="N541" s="198">
        <f t="shared" si="163"/>
        <v>326381.09230257245</v>
      </c>
      <c r="O541" s="198">
        <f t="shared" si="163"/>
        <v>4899.9296028810568</v>
      </c>
      <c r="P541" s="198">
        <f t="shared" si="163"/>
        <v>467257.86981950596</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972</v>
      </c>
      <c r="G542" t="s">
        <v>206</v>
      </c>
      <c r="J542" s="145">
        <f>J87</f>
        <v>0</v>
      </c>
      <c r="K542" s="145">
        <f t="shared" ref="K542:Y542" si="164">K87</f>
        <v>0</v>
      </c>
      <c r="L542" s="145">
        <f t="shared" si="164"/>
        <v>180765.34521693317</v>
      </c>
      <c r="M542" s="145">
        <f t="shared" si="164"/>
        <v>0</v>
      </c>
      <c r="N542" s="145">
        <f t="shared" si="164"/>
        <v>209786.49692852865</v>
      </c>
      <c r="O542" s="145">
        <f t="shared" si="164"/>
        <v>11398.433603884556</v>
      </c>
      <c r="P542" s="145">
        <f t="shared" si="164"/>
        <v>441807.65508207423</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971</v>
      </c>
      <c r="G543" t="s">
        <v>206</v>
      </c>
      <c r="J543" s="145">
        <f>J96</f>
        <v>0</v>
      </c>
      <c r="K543" s="145">
        <f t="shared" ref="K543:Y543" si="165">K96</f>
        <v>0</v>
      </c>
      <c r="L543" s="145">
        <f t="shared" si="165"/>
        <v>550277.63718993054</v>
      </c>
      <c r="M543" s="145">
        <f t="shared" si="165"/>
        <v>0</v>
      </c>
      <c r="N543" s="145">
        <f t="shared" si="165"/>
        <v>339571.8091207039</v>
      </c>
      <c r="O543" s="145">
        <f t="shared" si="165"/>
        <v>202194.67214787006</v>
      </c>
      <c r="P543" s="145">
        <f t="shared" si="165"/>
        <v>1211196.6972275905</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211</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968</v>
      </c>
      <c r="G545" t="s">
        <v>211</v>
      </c>
      <c r="J545" s="174">
        <f>J61</f>
        <v>0</v>
      </c>
      <c r="K545" s="174">
        <f t="shared" ref="K545:Y545" si="166">K61</f>
        <v>4043.2318793394506</v>
      </c>
      <c r="L545" s="174">
        <f t="shared" si="166"/>
        <v>21.99813867057907</v>
      </c>
      <c r="M545" s="174">
        <f t="shared" si="166"/>
        <v>1571.1666666666665</v>
      </c>
      <c r="N545" s="174">
        <f t="shared" si="166"/>
        <v>8.1262089826560899</v>
      </c>
      <c r="O545" s="174">
        <f t="shared" si="166"/>
        <v>1.1072850062440645</v>
      </c>
      <c r="P545" s="174">
        <f t="shared" si="166"/>
        <v>75.007576408708928</v>
      </c>
      <c r="Q545" s="174">
        <f t="shared" si="166"/>
        <v>0</v>
      </c>
      <c r="R545" s="174">
        <f t="shared" si="166"/>
        <v>32972.366465964653</v>
      </c>
      <c r="S545" s="174">
        <f t="shared" si="166"/>
        <v>0</v>
      </c>
      <c r="T545" s="174">
        <f t="shared" si="166"/>
        <v>717</v>
      </c>
      <c r="U545" s="174">
        <f t="shared" si="166"/>
        <v>0</v>
      </c>
      <c r="V545" s="174">
        <f t="shared" si="166"/>
        <v>36</v>
      </c>
      <c r="W545" s="174">
        <f t="shared" si="166"/>
        <v>0</v>
      </c>
      <c r="X545" s="174">
        <f t="shared" si="166"/>
        <v>286</v>
      </c>
      <c r="Y545" s="174">
        <f t="shared" si="166"/>
        <v>0</v>
      </c>
      <c r="AQ545" s="3"/>
    </row>
    <row r="546" spans="5:43" x14ac:dyDescent="0.25">
      <c r="E546" s="124"/>
      <c r="F546" s="2" t="s">
        <v>969</v>
      </c>
      <c r="G546" t="s">
        <v>211</v>
      </c>
      <c r="J546" s="198">
        <f>J70</f>
        <v>2156414.718697391</v>
      </c>
      <c r="K546" s="198">
        <f t="shared" ref="K546:Y546" si="167">K70</f>
        <v>0</v>
      </c>
      <c r="L546" s="198">
        <f t="shared" si="167"/>
        <v>49964.405692999382</v>
      </c>
      <c r="M546" s="198">
        <f t="shared" si="167"/>
        <v>0</v>
      </c>
      <c r="N546" s="198">
        <f t="shared" si="167"/>
        <v>6810.778903588639</v>
      </c>
      <c r="O546" s="198">
        <f t="shared" si="167"/>
        <v>11.072850062440644</v>
      </c>
      <c r="P546" s="198">
        <f t="shared" si="167"/>
        <v>600.06061126967143</v>
      </c>
      <c r="Q546" s="198">
        <f t="shared" si="167"/>
        <v>623.86666666666667</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970</v>
      </c>
      <c r="G547" t="s">
        <v>211</v>
      </c>
      <c r="J547" s="198">
        <f>J79</f>
        <v>0</v>
      </c>
      <c r="K547" s="198">
        <f t="shared" ref="K547:Y547" si="168">K79</f>
        <v>0</v>
      </c>
      <c r="L547" s="198">
        <f t="shared" si="168"/>
        <v>46310.381537763642</v>
      </c>
      <c r="M547" s="198">
        <f t="shared" si="168"/>
        <v>0</v>
      </c>
      <c r="N547" s="198">
        <f t="shared" si="168"/>
        <v>4584.1976423408714</v>
      </c>
      <c r="O547" s="198">
        <f t="shared" si="168"/>
        <v>33.218550187321952</v>
      </c>
      <c r="P547" s="198">
        <f t="shared" si="168"/>
        <v>688.06950092255659</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972</v>
      </c>
      <c r="G548" t="s">
        <v>211</v>
      </c>
      <c r="J548" s="145">
        <f>J88</f>
        <v>0</v>
      </c>
      <c r="K548" s="145">
        <f t="shared" ref="K548:Y548" si="169">K88</f>
        <v>0</v>
      </c>
      <c r="L548" s="145">
        <f t="shared" si="169"/>
        <v>22046.301262062389</v>
      </c>
      <c r="M548" s="145">
        <f t="shared" si="169"/>
        <v>0</v>
      </c>
      <c r="N548" s="145">
        <f t="shared" si="169"/>
        <v>1939.11661848631</v>
      </c>
      <c r="O548" s="145">
        <f t="shared" si="169"/>
        <v>57.578820324691343</v>
      </c>
      <c r="P548" s="145">
        <f t="shared" si="169"/>
        <v>290.02929544700771</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971</v>
      </c>
      <c r="G549" t="s">
        <v>211</v>
      </c>
      <c r="J549" s="145">
        <f>J97</f>
        <v>0</v>
      </c>
      <c r="K549" s="145">
        <f t="shared" ref="K549:Y549" si="170">K97</f>
        <v>0</v>
      </c>
      <c r="L549" s="145">
        <f t="shared" si="170"/>
        <v>24326.408335267901</v>
      </c>
      <c r="M549" s="145">
        <f t="shared" si="170"/>
        <v>0</v>
      </c>
      <c r="N549" s="145">
        <f t="shared" si="170"/>
        <v>1682.1252594098121</v>
      </c>
      <c r="O549" s="145">
        <f t="shared" si="170"/>
        <v>578.00277325940158</v>
      </c>
      <c r="P549" s="145">
        <f t="shared" si="170"/>
        <v>319.03222499170869</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249</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968</v>
      </c>
      <c r="G551" t="s">
        <v>250</v>
      </c>
      <c r="J551" s="174">
        <f>J62</f>
        <v>0</v>
      </c>
      <c r="K551" s="174">
        <f t="shared" ref="K551:Y551" si="171">K62</f>
        <v>0</v>
      </c>
      <c r="L551" s="174">
        <f t="shared" si="171"/>
        <v>0</v>
      </c>
      <c r="M551" s="174">
        <f t="shared" si="171"/>
        <v>0</v>
      </c>
      <c r="N551" s="174">
        <f t="shared" si="171"/>
        <v>235</v>
      </c>
      <c r="O551" s="174">
        <f t="shared" si="171"/>
        <v>30</v>
      </c>
      <c r="P551" s="174">
        <f t="shared" si="171"/>
        <v>10815</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969</v>
      </c>
      <c r="G552" t="s">
        <v>250</v>
      </c>
      <c r="J552" s="198">
        <f>J71</f>
        <v>0</v>
      </c>
      <c r="K552" s="198">
        <f t="shared" ref="K552:Y552" si="172">K71</f>
        <v>0</v>
      </c>
      <c r="L552" s="198">
        <f t="shared" si="172"/>
        <v>0</v>
      </c>
      <c r="M552" s="198">
        <f t="shared" si="172"/>
        <v>0</v>
      </c>
      <c r="N552" s="198">
        <f t="shared" si="172"/>
        <v>310632</v>
      </c>
      <c r="O552" s="198">
        <f t="shared" si="172"/>
        <v>551</v>
      </c>
      <c r="P552" s="198">
        <f t="shared" si="172"/>
        <v>148794</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970</v>
      </c>
      <c r="G553" t="s">
        <v>250</v>
      </c>
      <c r="J553" s="198">
        <f>J80</f>
        <v>0</v>
      </c>
      <c r="K553" s="198">
        <f t="shared" ref="K553:Y553" si="173">K80</f>
        <v>0</v>
      </c>
      <c r="L553" s="198">
        <f t="shared" si="173"/>
        <v>0</v>
      </c>
      <c r="M553" s="198">
        <f t="shared" si="173"/>
        <v>0</v>
      </c>
      <c r="N553" s="198">
        <f t="shared" si="173"/>
        <v>514933</v>
      </c>
      <c r="O553" s="198">
        <f t="shared" si="173"/>
        <v>3935</v>
      </c>
      <c r="P553" s="198">
        <f t="shared" si="173"/>
        <v>477037</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972</v>
      </c>
      <c r="G554" t="s">
        <v>250</v>
      </c>
      <c r="J554" s="145">
        <f>J89</f>
        <v>0</v>
      </c>
      <c r="K554" s="145">
        <f t="shared" ref="K554:Y554" si="174">K89</f>
        <v>0</v>
      </c>
      <c r="L554" s="145">
        <f t="shared" si="174"/>
        <v>0</v>
      </c>
      <c r="M554" s="145">
        <f t="shared" si="174"/>
        <v>0</v>
      </c>
      <c r="N554" s="145">
        <f t="shared" si="174"/>
        <v>357716</v>
      </c>
      <c r="O554" s="145">
        <f t="shared" si="174"/>
        <v>9742</v>
      </c>
      <c r="P554" s="145">
        <f t="shared" si="174"/>
        <v>393855</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971</v>
      </c>
      <c r="G555" t="s">
        <v>250</v>
      </c>
      <c r="J555" s="145">
        <f>J98</f>
        <v>0</v>
      </c>
      <c r="K555" s="145">
        <f t="shared" ref="K555:Y555" si="175">K98</f>
        <v>0</v>
      </c>
      <c r="L555" s="145">
        <f t="shared" si="175"/>
        <v>0</v>
      </c>
      <c r="M555" s="145">
        <f t="shared" si="175"/>
        <v>0</v>
      </c>
      <c r="N555" s="145">
        <f t="shared" si="175"/>
        <v>575429</v>
      </c>
      <c r="O555" s="145">
        <f t="shared" si="175"/>
        <v>264967</v>
      </c>
      <c r="P555" s="145">
        <f t="shared" si="175"/>
        <v>1061553</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251</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968</v>
      </c>
      <c r="G557" t="s">
        <v>250</v>
      </c>
      <c r="J557" s="174">
        <f>J63</f>
        <v>0</v>
      </c>
      <c r="K557" s="174">
        <f t="shared" ref="K557:Y557" si="176">K63</f>
        <v>0</v>
      </c>
      <c r="L557" s="174">
        <f t="shared" si="176"/>
        <v>0</v>
      </c>
      <c r="M557" s="174">
        <f t="shared" si="176"/>
        <v>0</v>
      </c>
      <c r="N557" s="174">
        <f t="shared" si="176"/>
        <v>1.2328767123287672</v>
      </c>
      <c r="O557" s="174">
        <f t="shared" si="176"/>
        <v>0</v>
      </c>
      <c r="P557" s="174">
        <f t="shared" si="176"/>
        <v>1069.3095890410959</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969</v>
      </c>
      <c r="G558" t="s">
        <v>250</v>
      </c>
      <c r="J558" s="198">
        <f>J72</f>
        <v>0</v>
      </c>
      <c r="K558" s="198">
        <f t="shared" ref="K558:Y558" si="177">K72</f>
        <v>0</v>
      </c>
      <c r="L558" s="198">
        <f t="shared" si="177"/>
        <v>0</v>
      </c>
      <c r="M558" s="198">
        <f t="shared" si="177"/>
        <v>0</v>
      </c>
      <c r="N558" s="198">
        <f t="shared" si="177"/>
        <v>20829.369863013697</v>
      </c>
      <c r="O558" s="198">
        <f t="shared" si="177"/>
        <v>106.63561643835617</v>
      </c>
      <c r="P558" s="198">
        <f t="shared" si="177"/>
        <v>8063.7479452054795</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970</v>
      </c>
      <c r="G559" t="s">
        <v>250</v>
      </c>
      <c r="J559" s="198">
        <f>J81</f>
        <v>0</v>
      </c>
      <c r="K559" s="198">
        <f t="shared" ref="K559:Y559" si="178">K81</f>
        <v>0</v>
      </c>
      <c r="L559" s="198">
        <f t="shared" si="178"/>
        <v>0</v>
      </c>
      <c r="M559" s="198">
        <f t="shared" si="178"/>
        <v>0</v>
      </c>
      <c r="N559" s="198">
        <f t="shared" si="178"/>
        <v>8090.6273972602739</v>
      </c>
      <c r="O559" s="198">
        <f t="shared" si="178"/>
        <v>203.16164383561645</v>
      </c>
      <c r="P559" s="198">
        <f t="shared" si="178"/>
        <v>6804.5150684931505</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972</v>
      </c>
      <c r="G560" t="s">
        <v>250</v>
      </c>
      <c r="J560" s="145">
        <f>J90</f>
        <v>0</v>
      </c>
      <c r="K560" s="145">
        <f t="shared" ref="K560:Y560" si="179">K90</f>
        <v>0</v>
      </c>
      <c r="L560" s="145">
        <f t="shared" si="179"/>
        <v>0</v>
      </c>
      <c r="M560" s="145">
        <f t="shared" si="179"/>
        <v>0</v>
      </c>
      <c r="N560" s="145">
        <f t="shared" si="179"/>
        <v>3558.3945205479454</v>
      </c>
      <c r="O560" s="145">
        <f t="shared" si="179"/>
        <v>174.21643835616439</v>
      </c>
      <c r="P560" s="145">
        <f t="shared" si="179"/>
        <v>2879.1150684931508</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971</v>
      </c>
      <c r="G561" t="s">
        <v>250</v>
      </c>
      <c r="J561" s="145">
        <f>J99</f>
        <v>0</v>
      </c>
      <c r="K561" s="145">
        <f t="shared" ref="K561:Y561" si="180">K99</f>
        <v>0</v>
      </c>
      <c r="L561" s="145">
        <f t="shared" si="180"/>
        <v>0</v>
      </c>
      <c r="M561" s="145">
        <f t="shared" si="180"/>
        <v>0</v>
      </c>
      <c r="N561" s="145">
        <f t="shared" si="180"/>
        <v>3127.0054794520547</v>
      </c>
      <c r="O561" s="145">
        <f t="shared" si="180"/>
        <v>1034.6739726027397</v>
      </c>
      <c r="P561" s="145">
        <f t="shared" si="180"/>
        <v>5700.8027397260275</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252</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968</v>
      </c>
      <c r="G563" t="s">
        <v>253</v>
      </c>
      <c r="J563" s="174">
        <f>J64</f>
        <v>0</v>
      </c>
      <c r="K563" s="174">
        <f t="shared" ref="K563:Y563" si="181">K64</f>
        <v>0</v>
      </c>
      <c r="L563" s="174">
        <f t="shared" si="181"/>
        <v>0</v>
      </c>
      <c r="M563" s="174">
        <f t="shared" si="181"/>
        <v>0</v>
      </c>
      <c r="N563" s="174">
        <f t="shared" si="181"/>
        <v>11.863</v>
      </c>
      <c r="O563" s="174">
        <f t="shared" si="181"/>
        <v>7.0000000000000007E-2</v>
      </c>
      <c r="P563" s="174">
        <f t="shared" si="181"/>
        <v>3977.5509999999999</v>
      </c>
      <c r="Q563" s="174">
        <f t="shared" si="181"/>
        <v>0</v>
      </c>
      <c r="R563" s="174">
        <f t="shared" si="181"/>
        <v>0</v>
      </c>
      <c r="S563" s="174">
        <f t="shared" si="181"/>
        <v>0</v>
      </c>
      <c r="T563" s="174">
        <f t="shared" si="181"/>
        <v>6266.0650000000005</v>
      </c>
      <c r="U563" s="174">
        <f t="shared" si="181"/>
        <v>0</v>
      </c>
      <c r="V563" s="174">
        <f t="shared" si="181"/>
        <v>448.65200000000004</v>
      </c>
      <c r="W563" s="174">
        <f t="shared" si="181"/>
        <v>0</v>
      </c>
      <c r="X563" s="174">
        <f t="shared" si="181"/>
        <v>31743.218000000001</v>
      </c>
      <c r="Y563" s="174">
        <f t="shared" si="181"/>
        <v>0</v>
      </c>
      <c r="AQ563" s="3"/>
    </row>
    <row r="564" spans="4:43" x14ac:dyDescent="0.25">
      <c r="E564" s="124"/>
      <c r="F564" s="2" t="s">
        <v>969</v>
      </c>
      <c r="G564" t="s">
        <v>253</v>
      </c>
      <c r="J564" s="198">
        <f>J73</f>
        <v>0</v>
      </c>
      <c r="K564" s="198">
        <f t="shared" ref="K564:Y564" si="182">K73</f>
        <v>0</v>
      </c>
      <c r="L564" s="198">
        <f t="shared" si="182"/>
        <v>0</v>
      </c>
      <c r="M564" s="198">
        <f t="shared" si="182"/>
        <v>0</v>
      </c>
      <c r="N564" s="198">
        <f t="shared" si="182"/>
        <v>48591.389000000003</v>
      </c>
      <c r="O564" s="198">
        <f t="shared" si="182"/>
        <v>588.76400000000001</v>
      </c>
      <c r="P564" s="198">
        <f t="shared" si="182"/>
        <v>39956.269</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970</v>
      </c>
      <c r="G565" t="s">
        <v>253</v>
      </c>
      <c r="J565" s="198">
        <f>J82</f>
        <v>0</v>
      </c>
      <c r="K565" s="198">
        <f t="shared" ref="K565:Y565" si="183">K82</f>
        <v>0</v>
      </c>
      <c r="L565" s="198">
        <f t="shared" si="183"/>
        <v>0</v>
      </c>
      <c r="M565" s="198">
        <f t="shared" si="183"/>
        <v>0</v>
      </c>
      <c r="N565" s="198">
        <f t="shared" si="183"/>
        <v>62518.572999999997</v>
      </c>
      <c r="O565" s="198">
        <f t="shared" si="183"/>
        <v>963.84799999999996</v>
      </c>
      <c r="P565" s="198">
        <f t="shared" si="183"/>
        <v>84751.020999999993</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972</v>
      </c>
      <c r="G566" t="s">
        <v>253</v>
      </c>
      <c r="J566" s="145">
        <f>J91</f>
        <v>0</v>
      </c>
      <c r="K566" s="145">
        <f t="shared" ref="K566:Y566" si="184">K91</f>
        <v>0</v>
      </c>
      <c r="L566" s="145">
        <f t="shared" si="184"/>
        <v>0</v>
      </c>
      <c r="M566" s="145">
        <f t="shared" si="184"/>
        <v>0</v>
      </c>
      <c r="N566" s="145">
        <f t="shared" si="184"/>
        <v>48725.938000000002</v>
      </c>
      <c r="O566" s="145">
        <f t="shared" si="184"/>
        <v>2040.5429999999999</v>
      </c>
      <c r="P566" s="145">
        <f t="shared" si="184"/>
        <v>69378.464000000007</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971</v>
      </c>
      <c r="G567" s="91" t="s">
        <v>253</v>
      </c>
      <c r="H567" s="91"/>
      <c r="I567" s="91"/>
      <c r="J567" s="198">
        <f>J100</f>
        <v>0</v>
      </c>
      <c r="K567" s="198">
        <f t="shared" ref="K567:Y567" si="185">K100</f>
        <v>0</v>
      </c>
      <c r="L567" s="198">
        <f t="shared" si="185"/>
        <v>0</v>
      </c>
      <c r="M567" s="198">
        <f t="shared" si="185"/>
        <v>0</v>
      </c>
      <c r="N567" s="198">
        <f t="shared" si="185"/>
        <v>73404.600999999995</v>
      </c>
      <c r="O567" s="198">
        <f t="shared" si="185"/>
        <v>32654.519</v>
      </c>
      <c r="P567" s="198">
        <f t="shared" si="185"/>
        <v>193174.59</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1121</v>
      </c>
      <c r="AQ569" s="3"/>
    </row>
    <row r="570" spans="4:43" x14ac:dyDescent="0.25">
      <c r="E570" s="111" t="s">
        <v>246</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968</v>
      </c>
      <c r="G571" t="s">
        <v>206</v>
      </c>
      <c r="J571" s="174">
        <f>J105</f>
        <v>0</v>
      </c>
      <c r="K571" s="174">
        <f t="shared" ref="K571:Y571" si="186">K105</f>
        <v>0</v>
      </c>
      <c r="L571" s="174">
        <f t="shared" si="186"/>
        <v>0</v>
      </c>
      <c r="M571" s="174">
        <f t="shared" si="186"/>
        <v>0</v>
      </c>
      <c r="N571" s="174">
        <f t="shared" si="186"/>
        <v>0</v>
      </c>
      <c r="O571" s="174">
        <f t="shared" si="186"/>
        <v>0</v>
      </c>
      <c r="P571" s="174">
        <f t="shared" si="186"/>
        <v>0</v>
      </c>
      <c r="Q571" s="174">
        <f t="shared" si="186"/>
        <v>0</v>
      </c>
      <c r="R571" s="174">
        <f t="shared" si="186"/>
        <v>461.60500000000002</v>
      </c>
      <c r="S571" s="174">
        <f t="shared" si="186"/>
        <v>0</v>
      </c>
      <c r="T571" s="174">
        <f t="shared" si="186"/>
        <v>1.7350000000000001</v>
      </c>
      <c r="U571" s="174">
        <f t="shared" si="186"/>
        <v>0</v>
      </c>
      <c r="V571" s="174">
        <f t="shared" si="186"/>
        <v>0</v>
      </c>
      <c r="W571" s="174">
        <f t="shared" si="186"/>
        <v>0</v>
      </c>
      <c r="X571" s="174">
        <f t="shared" si="186"/>
        <v>0</v>
      </c>
      <c r="Y571" s="174">
        <f t="shared" si="186"/>
        <v>0</v>
      </c>
      <c r="AQ571" s="3"/>
    </row>
    <row r="572" spans="4:43" x14ac:dyDescent="0.25">
      <c r="E572" s="124"/>
      <c r="F572" s="2" t="s">
        <v>969</v>
      </c>
      <c r="G572" t="s">
        <v>206</v>
      </c>
      <c r="J572" s="198">
        <f>J114</f>
        <v>17977.821069245529</v>
      </c>
      <c r="K572" s="198">
        <f t="shared" ref="K572:Y572" si="187">K114</f>
        <v>0</v>
      </c>
      <c r="L572" s="198">
        <f t="shared" si="187"/>
        <v>606.09777118413092</v>
      </c>
      <c r="M572" s="198">
        <f t="shared" si="187"/>
        <v>0</v>
      </c>
      <c r="N572" s="198">
        <f t="shared" si="187"/>
        <v>116.08133897472126</v>
      </c>
      <c r="O572" s="198">
        <f t="shared" si="187"/>
        <v>0</v>
      </c>
      <c r="P572" s="198">
        <f t="shared" si="187"/>
        <v>0</v>
      </c>
      <c r="Q572" s="198">
        <f t="shared" si="187"/>
        <v>9.4473171927800657</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970</v>
      </c>
      <c r="G573" t="s">
        <v>206</v>
      </c>
      <c r="J573" s="198">
        <f>J123</f>
        <v>0</v>
      </c>
      <c r="K573" s="198">
        <f t="shared" ref="K573:Y573" si="188">K123</f>
        <v>0</v>
      </c>
      <c r="L573" s="198">
        <f t="shared" si="188"/>
        <v>80.202188185604072</v>
      </c>
      <c r="M573" s="198">
        <f t="shared" si="188"/>
        <v>0</v>
      </c>
      <c r="N573" s="198">
        <f t="shared" si="188"/>
        <v>633.14061621304177</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972</v>
      </c>
      <c r="G574" t="s">
        <v>206</v>
      </c>
      <c r="J574" s="145">
        <f>J132</f>
        <v>0</v>
      </c>
      <c r="K574" s="145">
        <f t="shared" ref="K574:Y574" si="189">K132</f>
        <v>0</v>
      </c>
      <c r="L574" s="145">
        <f t="shared" si="189"/>
        <v>29.215108638158505</v>
      </c>
      <c r="M574" s="145">
        <f t="shared" si="189"/>
        <v>0</v>
      </c>
      <c r="N574" s="145">
        <f t="shared" si="189"/>
        <v>1727.1928127221925</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971</v>
      </c>
      <c r="G575" t="s">
        <v>206</v>
      </c>
      <c r="J575" s="145">
        <f>J141</f>
        <v>0</v>
      </c>
      <c r="K575" s="145">
        <f t="shared" ref="K575:Y575" si="190">K141</f>
        <v>0</v>
      </c>
      <c r="L575" s="145">
        <f t="shared" si="190"/>
        <v>91.762725871827456</v>
      </c>
      <c r="M575" s="145">
        <f t="shared" si="190"/>
        <v>0</v>
      </c>
      <c r="N575" s="145">
        <f t="shared" si="190"/>
        <v>460.4606004382365</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247</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968</v>
      </c>
      <c r="G577" t="s">
        <v>206</v>
      </c>
      <c r="J577" s="174">
        <f>J106</f>
        <v>0</v>
      </c>
      <c r="K577" s="174">
        <f t="shared" ref="K577:Y577" si="191">K106</f>
        <v>0</v>
      </c>
      <c r="L577" s="174">
        <f t="shared" si="191"/>
        <v>0</v>
      </c>
      <c r="M577" s="174">
        <f t="shared" si="191"/>
        <v>0</v>
      </c>
      <c r="N577" s="174">
        <f t="shared" si="191"/>
        <v>0</v>
      </c>
      <c r="O577" s="174">
        <f t="shared" si="191"/>
        <v>0</v>
      </c>
      <c r="P577" s="174">
        <f t="shared" si="191"/>
        <v>0</v>
      </c>
      <c r="Q577" s="174">
        <f t="shared" si="191"/>
        <v>0</v>
      </c>
      <c r="R577" s="174">
        <f t="shared" si="191"/>
        <v>2076.4070000000002</v>
      </c>
      <c r="S577" s="174">
        <f t="shared" si="191"/>
        <v>0</v>
      </c>
      <c r="T577" s="174">
        <f t="shared" si="191"/>
        <v>16.108000000000001</v>
      </c>
      <c r="U577" s="174">
        <f t="shared" si="191"/>
        <v>0</v>
      </c>
      <c r="V577" s="174">
        <f t="shared" si="191"/>
        <v>0</v>
      </c>
      <c r="W577" s="174">
        <f t="shared" si="191"/>
        <v>0</v>
      </c>
      <c r="X577" s="174">
        <f t="shared" si="191"/>
        <v>0</v>
      </c>
      <c r="Y577" s="174">
        <f t="shared" si="191"/>
        <v>0</v>
      </c>
      <c r="AQ577" s="3"/>
    </row>
    <row r="578" spans="5:43" x14ac:dyDescent="0.25">
      <c r="E578" s="124"/>
      <c r="F578" s="2" t="s">
        <v>969</v>
      </c>
      <c r="G578" t="s">
        <v>206</v>
      </c>
      <c r="J578" s="198">
        <f>J115</f>
        <v>43109.182634741424</v>
      </c>
      <c r="K578" s="198">
        <f t="shared" ref="K578:Y578" si="192">K115</f>
        <v>0</v>
      </c>
      <c r="L578" s="198">
        <f t="shared" si="192"/>
        <v>2189.2341803249178</v>
      </c>
      <c r="M578" s="198">
        <f t="shared" si="192"/>
        <v>0</v>
      </c>
      <c r="N578" s="198">
        <f t="shared" si="192"/>
        <v>355.71645666194769</v>
      </c>
      <c r="O578" s="198">
        <f t="shared" si="192"/>
        <v>0</v>
      </c>
      <c r="P578" s="198">
        <f t="shared" si="192"/>
        <v>0</v>
      </c>
      <c r="Q578" s="198">
        <f t="shared" si="192"/>
        <v>79.548638403142107</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970</v>
      </c>
      <c r="G579" t="s">
        <v>206</v>
      </c>
      <c r="J579" s="198">
        <f>J124</f>
        <v>0</v>
      </c>
      <c r="K579" s="198">
        <f t="shared" ref="K579:Y579" si="193">K124</f>
        <v>0</v>
      </c>
      <c r="L579" s="198">
        <f t="shared" si="193"/>
        <v>287.88748602779941</v>
      </c>
      <c r="M579" s="198">
        <f t="shared" si="193"/>
        <v>0</v>
      </c>
      <c r="N579" s="198">
        <f t="shared" si="193"/>
        <v>2053.4643141917782</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972</v>
      </c>
      <c r="G580" t="s">
        <v>206</v>
      </c>
      <c r="J580" s="145">
        <f>J133</f>
        <v>0</v>
      </c>
      <c r="K580" s="145">
        <f t="shared" ref="K580:Y580" si="194">K133</f>
        <v>0</v>
      </c>
      <c r="L580" s="145">
        <f t="shared" si="194"/>
        <v>102.9001902916247</v>
      </c>
      <c r="M580" s="145">
        <f t="shared" si="194"/>
        <v>0</v>
      </c>
      <c r="N580" s="145">
        <f t="shared" si="194"/>
        <v>5245.3026819919187</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971</v>
      </c>
      <c r="G581" t="s">
        <v>206</v>
      </c>
      <c r="J581" s="145">
        <f>J142</f>
        <v>0</v>
      </c>
      <c r="K581" s="145">
        <f t="shared" ref="K581:Y581" si="195">K142</f>
        <v>0</v>
      </c>
      <c r="L581" s="145">
        <f t="shared" si="195"/>
        <v>237.13289333311434</v>
      </c>
      <c r="M581" s="145">
        <f t="shared" si="195"/>
        <v>0</v>
      </c>
      <c r="N581" s="145">
        <f t="shared" si="195"/>
        <v>1349.1372950898653</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248</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968</v>
      </c>
      <c r="G583" t="s">
        <v>206</v>
      </c>
      <c r="J583" s="174">
        <f>J107</f>
        <v>0</v>
      </c>
      <c r="K583" s="174">
        <f t="shared" ref="K583:Y583" si="196">K107</f>
        <v>0</v>
      </c>
      <c r="L583" s="174">
        <f t="shared" si="196"/>
        <v>0</v>
      </c>
      <c r="M583" s="174">
        <f t="shared" si="196"/>
        <v>0</v>
      </c>
      <c r="N583" s="174">
        <f t="shared" si="196"/>
        <v>0</v>
      </c>
      <c r="O583" s="174">
        <f t="shared" si="196"/>
        <v>0</v>
      </c>
      <c r="P583" s="174">
        <f t="shared" si="196"/>
        <v>0</v>
      </c>
      <c r="Q583" s="174">
        <f t="shared" si="196"/>
        <v>0</v>
      </c>
      <c r="R583" s="174">
        <f t="shared" si="196"/>
        <v>1230.577</v>
      </c>
      <c r="S583" s="174">
        <f t="shared" si="196"/>
        <v>0</v>
      </c>
      <c r="T583" s="174">
        <f t="shared" si="196"/>
        <v>8.6150000000000002</v>
      </c>
      <c r="U583" s="174">
        <f t="shared" si="196"/>
        <v>0</v>
      </c>
      <c r="V583" s="174">
        <f t="shared" si="196"/>
        <v>0</v>
      </c>
      <c r="W583" s="174">
        <f t="shared" si="196"/>
        <v>0</v>
      </c>
      <c r="X583" s="174">
        <f t="shared" si="196"/>
        <v>0</v>
      </c>
      <c r="Y583" s="174">
        <f t="shared" si="196"/>
        <v>0</v>
      </c>
      <c r="AQ583" s="3"/>
    </row>
    <row r="584" spans="5:43" x14ac:dyDescent="0.25">
      <c r="E584" s="124"/>
      <c r="F584" s="2" t="s">
        <v>969</v>
      </c>
      <c r="G584" t="s">
        <v>206</v>
      </c>
      <c r="J584" s="198">
        <f>J116</f>
        <v>61508.146726310944</v>
      </c>
      <c r="K584" s="198">
        <f t="shared" ref="K584:Y584" si="197">K116</f>
        <v>0</v>
      </c>
      <c r="L584" s="198">
        <f t="shared" si="197"/>
        <v>2279.0113760479762</v>
      </c>
      <c r="M584" s="198">
        <f t="shared" si="197"/>
        <v>0</v>
      </c>
      <c r="N584" s="198">
        <f t="shared" si="197"/>
        <v>446.94375863973147</v>
      </c>
      <c r="O584" s="198">
        <f t="shared" si="197"/>
        <v>0</v>
      </c>
      <c r="P584" s="198">
        <f t="shared" si="197"/>
        <v>0</v>
      </c>
      <c r="Q584" s="198">
        <f t="shared" si="197"/>
        <v>139.29179941102402</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970</v>
      </c>
      <c r="G585" t="s">
        <v>206</v>
      </c>
      <c r="J585" s="198">
        <f>J125</f>
        <v>0</v>
      </c>
      <c r="K585" s="198">
        <f t="shared" ref="K585:Y585" si="198">K125</f>
        <v>0</v>
      </c>
      <c r="L585" s="198">
        <f t="shared" si="198"/>
        <v>302.33444331644898</v>
      </c>
      <c r="M585" s="198">
        <f t="shared" si="198"/>
        <v>0</v>
      </c>
      <c r="N585" s="198">
        <f t="shared" si="198"/>
        <v>2647.9412407071604</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972</v>
      </c>
      <c r="G586" t="s">
        <v>206</v>
      </c>
      <c r="J586" s="145">
        <f>J134</f>
        <v>0</v>
      </c>
      <c r="K586" s="145">
        <f t="shared" ref="K586:Y586" si="199">K134</f>
        <v>0</v>
      </c>
      <c r="L586" s="145">
        <f t="shared" si="199"/>
        <v>107.99850833341939</v>
      </c>
      <c r="M586" s="145">
        <f t="shared" si="199"/>
        <v>0</v>
      </c>
      <c r="N586" s="145">
        <f t="shared" si="199"/>
        <v>7189.1907032788822</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971</v>
      </c>
      <c r="G587" t="s">
        <v>206</v>
      </c>
      <c r="J587" s="145">
        <f>J143</f>
        <v>0</v>
      </c>
      <c r="K587" s="145">
        <f t="shared" ref="K587:Y587" si="200">K143</f>
        <v>0</v>
      </c>
      <c r="L587" s="145">
        <f t="shared" si="200"/>
        <v>237.02747694296784</v>
      </c>
      <c r="M587" s="145">
        <f t="shared" si="200"/>
        <v>0</v>
      </c>
      <c r="N587" s="145">
        <f t="shared" si="200"/>
        <v>1709.1473997616572</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211</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968</v>
      </c>
      <c r="G589" t="s">
        <v>211</v>
      </c>
      <c r="J589" s="174">
        <f>J108</f>
        <v>0</v>
      </c>
      <c r="K589" s="174">
        <f t="shared" ref="K589:Y589" si="201">K108</f>
        <v>0</v>
      </c>
      <c r="L589" s="174">
        <f t="shared" si="201"/>
        <v>0</v>
      </c>
      <c r="M589" s="174">
        <f t="shared" si="201"/>
        <v>0</v>
      </c>
      <c r="N589" s="174">
        <f t="shared" si="201"/>
        <v>0</v>
      </c>
      <c r="O589" s="174">
        <f t="shared" si="201"/>
        <v>0</v>
      </c>
      <c r="P589" s="174">
        <f t="shared" si="201"/>
        <v>0</v>
      </c>
      <c r="Q589" s="174">
        <f t="shared" si="201"/>
        <v>0</v>
      </c>
      <c r="R589" s="174">
        <f t="shared" si="201"/>
        <v>273.96666666666664</v>
      </c>
      <c r="S589" s="174">
        <f t="shared" si="201"/>
        <v>0</v>
      </c>
      <c r="T589" s="174">
        <f t="shared" si="201"/>
        <v>2</v>
      </c>
      <c r="U589" s="174">
        <f t="shared" si="201"/>
        <v>0</v>
      </c>
      <c r="V589" s="174">
        <f t="shared" si="201"/>
        <v>0</v>
      </c>
      <c r="W589" s="174">
        <f t="shared" si="201"/>
        <v>0</v>
      </c>
      <c r="X589" s="174">
        <f t="shared" si="201"/>
        <v>0</v>
      </c>
      <c r="Y589" s="174">
        <f t="shared" si="201"/>
        <v>0</v>
      </c>
      <c r="AQ589" s="3"/>
    </row>
    <row r="590" spans="5:43" x14ac:dyDescent="0.25">
      <c r="E590" s="124"/>
      <c r="F590" s="2" t="s">
        <v>969</v>
      </c>
      <c r="G590" t="s">
        <v>211</v>
      </c>
      <c r="J590" s="198">
        <f>J117</f>
        <v>44241.292567649827</v>
      </c>
      <c r="K590" s="198">
        <f t="shared" ref="K590:Y590" si="202">K117</f>
        <v>0</v>
      </c>
      <c r="L590" s="198">
        <f t="shared" si="202"/>
        <v>485.19265346453273</v>
      </c>
      <c r="M590" s="198">
        <f t="shared" si="202"/>
        <v>0</v>
      </c>
      <c r="N590" s="198">
        <f t="shared" si="202"/>
        <v>10.411859516406272</v>
      </c>
      <c r="O590" s="198">
        <f t="shared" si="202"/>
        <v>0</v>
      </c>
      <c r="P590" s="198">
        <f t="shared" si="202"/>
        <v>0</v>
      </c>
      <c r="Q590" s="198">
        <f t="shared" si="202"/>
        <v>149.67048054834018</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970</v>
      </c>
      <c r="G591" t="s">
        <v>211</v>
      </c>
      <c r="J591" s="198">
        <f>J126</f>
        <v>0</v>
      </c>
      <c r="K591" s="198">
        <f t="shared" ref="K591:Y591" si="203">K126</f>
        <v>0</v>
      </c>
      <c r="L591" s="198">
        <f t="shared" si="203"/>
        <v>78.999984080732588</v>
      </c>
      <c r="M591" s="198">
        <f t="shared" si="203"/>
        <v>0</v>
      </c>
      <c r="N591" s="198">
        <f t="shared" si="203"/>
        <v>61.169674658886883</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972</v>
      </c>
      <c r="G592" t="s">
        <v>211</v>
      </c>
      <c r="J592" s="145">
        <f>J135</f>
        <v>0</v>
      </c>
      <c r="K592" s="145">
        <f t="shared" ref="K592:Y592" si="204">K135</f>
        <v>0</v>
      </c>
      <c r="L592" s="145">
        <f t="shared" si="204"/>
        <v>28.849527410042406</v>
      </c>
      <c r="M592" s="145">
        <f t="shared" si="204"/>
        <v>0</v>
      </c>
      <c r="N592" s="145">
        <f t="shared" si="204"/>
        <v>85.89784101035184</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971</v>
      </c>
      <c r="G593" t="s">
        <v>211</v>
      </c>
      <c r="J593" s="145">
        <f>J144</f>
        <v>0</v>
      </c>
      <c r="K593" s="145">
        <f t="shared" ref="K593:Y593" si="205">K144</f>
        <v>0</v>
      </c>
      <c r="L593" s="145">
        <f t="shared" si="205"/>
        <v>33.534864192425218</v>
      </c>
      <c r="M593" s="145">
        <f t="shared" si="205"/>
        <v>0</v>
      </c>
      <c r="N593" s="145">
        <f t="shared" si="205"/>
        <v>16.919271714160196</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249</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968</v>
      </c>
      <c r="G595" t="s">
        <v>250</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969</v>
      </c>
      <c r="G596" t="s">
        <v>250</v>
      </c>
      <c r="J596" s="198">
        <f>J118</f>
        <v>0</v>
      </c>
      <c r="K596" s="198">
        <f t="shared" ref="K596:Y596" si="207">K118</f>
        <v>0</v>
      </c>
      <c r="L596" s="198">
        <f t="shared" si="207"/>
        <v>0</v>
      </c>
      <c r="M596" s="198">
        <f t="shared" si="207"/>
        <v>0</v>
      </c>
      <c r="N596" s="198">
        <f t="shared" si="207"/>
        <v>454</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970</v>
      </c>
      <c r="G597" t="s">
        <v>250</v>
      </c>
      <c r="J597" s="198">
        <f>J127</f>
        <v>0</v>
      </c>
      <c r="K597" s="198">
        <f t="shared" ref="K597:Y597" si="208">K127</f>
        <v>0</v>
      </c>
      <c r="L597" s="198">
        <f t="shared" si="208"/>
        <v>0</v>
      </c>
      <c r="M597" s="198">
        <f t="shared" si="208"/>
        <v>0</v>
      </c>
      <c r="N597" s="198">
        <f t="shared" si="208"/>
        <v>5303</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972</v>
      </c>
      <c r="G598" t="s">
        <v>250</v>
      </c>
      <c r="J598" s="145">
        <f>J136</f>
        <v>0</v>
      </c>
      <c r="K598" s="145">
        <f t="shared" ref="K598:Y598" si="209">K136</f>
        <v>0</v>
      </c>
      <c r="L598" s="145">
        <f t="shared" si="209"/>
        <v>0</v>
      </c>
      <c r="M598" s="145">
        <f t="shared" si="209"/>
        <v>0</v>
      </c>
      <c r="N598" s="145">
        <f t="shared" si="209"/>
        <v>11634</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971</v>
      </c>
      <c r="G599" t="s">
        <v>250</v>
      </c>
      <c r="J599" s="145">
        <f>J145</f>
        <v>0</v>
      </c>
      <c r="K599" s="145">
        <f t="shared" ref="K599:Y599" si="210">K145</f>
        <v>0</v>
      </c>
      <c r="L599" s="145">
        <f t="shared" si="210"/>
        <v>0</v>
      </c>
      <c r="M599" s="145">
        <f t="shared" si="210"/>
        <v>0</v>
      </c>
      <c r="N599" s="145">
        <f t="shared" si="210"/>
        <v>3665</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251</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968</v>
      </c>
      <c r="G601" t="s">
        <v>250</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969</v>
      </c>
      <c r="G602" t="s">
        <v>250</v>
      </c>
      <c r="J602" s="198">
        <f>J119</f>
        <v>0</v>
      </c>
      <c r="K602" s="198">
        <f t="shared" ref="K602:Y602" si="212">K119</f>
        <v>0</v>
      </c>
      <c r="L602" s="198">
        <f t="shared" si="212"/>
        <v>0</v>
      </c>
      <c r="M602" s="198">
        <f t="shared" si="212"/>
        <v>0</v>
      </c>
      <c r="N602" s="198">
        <f t="shared" si="212"/>
        <v>48.742465753424661</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970</v>
      </c>
      <c r="G603" t="s">
        <v>250</v>
      </c>
      <c r="J603" s="198">
        <f>J128</f>
        <v>0</v>
      </c>
      <c r="K603" s="198">
        <f t="shared" ref="K603:Y603" si="213">K128</f>
        <v>0</v>
      </c>
      <c r="L603" s="198">
        <f t="shared" si="213"/>
        <v>0</v>
      </c>
      <c r="M603" s="198">
        <f t="shared" si="213"/>
        <v>0</v>
      </c>
      <c r="N603" s="198">
        <f t="shared" si="213"/>
        <v>4.5041095890410956</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972</v>
      </c>
      <c r="G604" t="s">
        <v>250</v>
      </c>
      <c r="J604" s="145">
        <f>J137</f>
        <v>0</v>
      </c>
      <c r="K604" s="145">
        <f t="shared" ref="K604:Y604" si="214">K137</f>
        <v>0</v>
      </c>
      <c r="L604" s="145">
        <f t="shared" si="214"/>
        <v>0</v>
      </c>
      <c r="M604" s="145">
        <f t="shared" si="214"/>
        <v>0</v>
      </c>
      <c r="N604" s="145">
        <f t="shared" si="214"/>
        <v>7.7287671232876711</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971</v>
      </c>
      <c r="G605" t="s">
        <v>250</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252</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968</v>
      </c>
      <c r="G607" t="s">
        <v>253</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7.8289999999999997</v>
      </c>
      <c r="U607" s="174">
        <f t="shared" si="216"/>
        <v>0</v>
      </c>
      <c r="V607" s="174">
        <f t="shared" si="216"/>
        <v>0</v>
      </c>
      <c r="W607" s="174">
        <f t="shared" si="216"/>
        <v>0</v>
      </c>
      <c r="X607" s="174">
        <f t="shared" si="216"/>
        <v>0</v>
      </c>
      <c r="Y607" s="174">
        <f t="shared" si="216"/>
        <v>0</v>
      </c>
      <c r="AQ607" s="3"/>
    </row>
    <row r="608" spans="5:43" x14ac:dyDescent="0.25">
      <c r="E608" s="124"/>
      <c r="F608" s="2" t="s">
        <v>969</v>
      </c>
      <c r="G608" t="s">
        <v>253</v>
      </c>
      <c r="J608" s="198">
        <f>J120</f>
        <v>0</v>
      </c>
      <c r="K608" s="198">
        <f t="shared" ref="K608:Y608" si="217">K120</f>
        <v>0</v>
      </c>
      <c r="L608" s="198">
        <f t="shared" si="217"/>
        <v>0</v>
      </c>
      <c r="M608" s="198">
        <f t="shared" si="217"/>
        <v>0</v>
      </c>
      <c r="N608" s="198">
        <f t="shared" si="217"/>
        <v>27.48</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970</v>
      </c>
      <c r="G609" t="s">
        <v>253</v>
      </c>
      <c r="J609" s="198">
        <f>J129</f>
        <v>0</v>
      </c>
      <c r="K609" s="198">
        <f t="shared" ref="K609:Y609" si="218">K129</f>
        <v>0</v>
      </c>
      <c r="L609" s="198">
        <f t="shared" si="218"/>
        <v>0</v>
      </c>
      <c r="M609" s="198">
        <f t="shared" si="218"/>
        <v>0</v>
      </c>
      <c r="N609" s="198">
        <f t="shared" si="218"/>
        <v>207.57900000000001</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972</v>
      </c>
      <c r="G610" t="s">
        <v>253</v>
      </c>
      <c r="J610" s="145">
        <f>J138</f>
        <v>0</v>
      </c>
      <c r="K610" s="145">
        <f t="shared" ref="K610:Y610" si="219">K138</f>
        <v>0</v>
      </c>
      <c r="L610" s="145">
        <f t="shared" si="219"/>
        <v>0</v>
      </c>
      <c r="M610" s="145">
        <f t="shared" si="219"/>
        <v>0</v>
      </c>
      <c r="N610" s="145">
        <f t="shared" si="219"/>
        <v>700.91200000000003</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971</v>
      </c>
      <c r="G611" s="91" t="s">
        <v>253</v>
      </c>
      <c r="H611" s="91"/>
      <c r="I611" s="91"/>
      <c r="J611" s="198">
        <f>J147</f>
        <v>0</v>
      </c>
      <c r="K611" s="198">
        <f t="shared" ref="K611:Y611" si="220">K147</f>
        <v>0</v>
      </c>
      <c r="L611" s="198">
        <f t="shared" si="220"/>
        <v>0</v>
      </c>
      <c r="M611" s="198">
        <f t="shared" si="220"/>
        <v>0</v>
      </c>
      <c r="N611" s="198">
        <f t="shared" si="220"/>
        <v>246.82599999999999</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1122</v>
      </c>
      <c r="AQ613" s="3"/>
    </row>
    <row r="614" spans="4:43" x14ac:dyDescent="0.25">
      <c r="E614" s="111" t="s">
        <v>246</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968</v>
      </c>
      <c r="G615" t="s">
        <v>206</v>
      </c>
      <c r="J615" s="174">
        <f>J152</f>
        <v>0</v>
      </c>
      <c r="K615" s="174">
        <f t="shared" ref="K615:Y615" si="221">K152</f>
        <v>2.9178128836445221</v>
      </c>
      <c r="L615" s="174">
        <f t="shared" si="221"/>
        <v>0</v>
      </c>
      <c r="M615" s="174">
        <f t="shared" si="221"/>
        <v>3.3518113487766206</v>
      </c>
      <c r="N615" s="174">
        <f t="shared" si="221"/>
        <v>0</v>
      </c>
      <c r="O615" s="174">
        <f t="shared" si="221"/>
        <v>0</v>
      </c>
      <c r="P615" s="174">
        <f t="shared" si="221"/>
        <v>0</v>
      </c>
      <c r="Q615" s="174">
        <f t="shared" si="221"/>
        <v>0</v>
      </c>
      <c r="R615" s="174">
        <f t="shared" si="221"/>
        <v>813.798</v>
      </c>
      <c r="S615" s="174">
        <f t="shared" si="221"/>
        <v>8.0310000000000006</v>
      </c>
      <c r="T615" s="174">
        <f t="shared" si="221"/>
        <v>19.936</v>
      </c>
      <c r="U615" s="174">
        <f t="shared" si="221"/>
        <v>0</v>
      </c>
      <c r="V615" s="174">
        <f t="shared" si="221"/>
        <v>29.873000000000001</v>
      </c>
      <c r="W615" s="174">
        <f t="shared" si="221"/>
        <v>0</v>
      </c>
      <c r="X615" s="174">
        <f t="shared" si="221"/>
        <v>185.017</v>
      </c>
      <c r="Y615" s="174">
        <f t="shared" si="221"/>
        <v>0</v>
      </c>
      <c r="AQ615" s="3"/>
    </row>
    <row r="616" spans="4:43" x14ac:dyDescent="0.25">
      <c r="E616" s="124"/>
      <c r="F616" s="2" t="s">
        <v>969</v>
      </c>
      <c r="G616" t="s">
        <v>206</v>
      </c>
      <c r="J616" s="198">
        <f>J161</f>
        <v>26180.287942014904</v>
      </c>
      <c r="K616" s="198">
        <f t="shared" ref="K616:Y616" si="222">K161</f>
        <v>0</v>
      </c>
      <c r="L616" s="198">
        <f t="shared" si="222"/>
        <v>1316.8456250784016</v>
      </c>
      <c r="M616" s="198">
        <f t="shared" si="222"/>
        <v>0</v>
      </c>
      <c r="N616" s="198">
        <f t="shared" si="222"/>
        <v>1355.3769337394358</v>
      </c>
      <c r="O616" s="198">
        <f t="shared" si="222"/>
        <v>218.33066625405175</v>
      </c>
      <c r="P616" s="198">
        <f t="shared" si="222"/>
        <v>464.40461153746105</v>
      </c>
      <c r="Q616" s="198">
        <f t="shared" si="222"/>
        <v>20.318312455183225</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970</v>
      </c>
      <c r="G617" t="s">
        <v>206</v>
      </c>
      <c r="J617" s="198">
        <f>J170</f>
        <v>0</v>
      </c>
      <c r="K617" s="198">
        <f t="shared" ref="K617:Y617" si="223">K170</f>
        <v>0</v>
      </c>
      <c r="L617" s="198">
        <f t="shared" si="223"/>
        <v>22.172002937862541</v>
      </c>
      <c r="M617" s="198">
        <f t="shared" si="223"/>
        <v>0</v>
      </c>
      <c r="N617" s="198">
        <f t="shared" si="223"/>
        <v>4327.0753516381792</v>
      </c>
      <c r="O617" s="198">
        <f t="shared" si="223"/>
        <v>77.628125207527304</v>
      </c>
      <c r="P617" s="198">
        <f t="shared" si="223"/>
        <v>1177.3266004560255</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972</v>
      </c>
      <c r="G618" t="s">
        <v>206</v>
      </c>
      <c r="J618" s="145">
        <f>J179</f>
        <v>0</v>
      </c>
      <c r="K618" s="145">
        <f t="shared" ref="K618:Y618" si="224">K179</f>
        <v>0</v>
      </c>
      <c r="L618" s="145">
        <f t="shared" si="224"/>
        <v>127.2705460969017</v>
      </c>
      <c r="M618" s="145">
        <f t="shared" si="224"/>
        <v>0</v>
      </c>
      <c r="N618" s="145">
        <f t="shared" si="224"/>
        <v>1729.2185644388328</v>
      </c>
      <c r="O618" s="145">
        <f t="shared" si="224"/>
        <v>92.922440863967267</v>
      </c>
      <c r="P618" s="145">
        <f t="shared" si="224"/>
        <v>3998.6130889209239</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971</v>
      </c>
      <c r="G619" t="s">
        <v>206</v>
      </c>
      <c r="J619" s="145">
        <f>J188</f>
        <v>0</v>
      </c>
      <c r="K619" s="145">
        <f t="shared" ref="K619:Y619" si="225">K188</f>
        <v>0</v>
      </c>
      <c r="L619" s="145">
        <f t="shared" si="225"/>
        <v>94.178767375879119</v>
      </c>
      <c r="M619" s="145">
        <f t="shared" si="225"/>
        <v>0</v>
      </c>
      <c r="N619" s="145">
        <f t="shared" si="225"/>
        <v>10277.690919008639</v>
      </c>
      <c r="O619" s="145">
        <f t="shared" si="225"/>
        <v>4906.7742013658253</v>
      </c>
      <c r="P619" s="145">
        <f t="shared" si="225"/>
        <v>8731.4520134894938</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247</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968</v>
      </c>
      <c r="G621" t="s">
        <v>206</v>
      </c>
      <c r="J621" s="174">
        <f>J153</f>
        <v>0</v>
      </c>
      <c r="K621" s="174">
        <f t="shared" ref="K621:Y621" si="226">K153</f>
        <v>37.585016423182644</v>
      </c>
      <c r="L621" s="174">
        <f t="shared" si="226"/>
        <v>0</v>
      </c>
      <c r="M621" s="174">
        <f t="shared" si="226"/>
        <v>12.030658885079809</v>
      </c>
      <c r="N621" s="174">
        <f t="shared" si="226"/>
        <v>0</v>
      </c>
      <c r="O621" s="174">
        <f t="shared" si="226"/>
        <v>0</v>
      </c>
      <c r="P621" s="174">
        <f t="shared" si="226"/>
        <v>0</v>
      </c>
      <c r="Q621" s="174">
        <f t="shared" si="226"/>
        <v>0</v>
      </c>
      <c r="R621" s="174">
        <f t="shared" si="226"/>
        <v>3713.4470000000006</v>
      </c>
      <c r="S621" s="174">
        <f t="shared" si="226"/>
        <v>28.257000000000001</v>
      </c>
      <c r="T621" s="174">
        <f t="shared" si="226"/>
        <v>113.25500000000001</v>
      </c>
      <c r="U621" s="174">
        <f t="shared" si="226"/>
        <v>0</v>
      </c>
      <c r="V621" s="174">
        <f t="shared" si="226"/>
        <v>93.573000000000008</v>
      </c>
      <c r="W621" s="174">
        <f t="shared" si="226"/>
        <v>0</v>
      </c>
      <c r="X621" s="174">
        <f t="shared" si="226"/>
        <v>534.005</v>
      </c>
      <c r="Y621" s="174">
        <f t="shared" si="226"/>
        <v>0</v>
      </c>
      <c r="AQ621" s="3"/>
    </row>
    <row r="622" spans="4:43" x14ac:dyDescent="0.25">
      <c r="E622" s="124"/>
      <c r="F622" s="2" t="s">
        <v>969</v>
      </c>
      <c r="G622" t="s">
        <v>206</v>
      </c>
      <c r="J622" s="198">
        <f>J162</f>
        <v>64430.8985274808</v>
      </c>
      <c r="K622" s="198">
        <f t="shared" ref="K622:Y622" si="227">K162</f>
        <v>0</v>
      </c>
      <c r="L622" s="198">
        <f t="shared" si="227"/>
        <v>4740.8905524957208</v>
      </c>
      <c r="M622" s="198">
        <f t="shared" si="227"/>
        <v>0</v>
      </c>
      <c r="N622" s="198">
        <f t="shared" si="227"/>
        <v>4058.2936454062669</v>
      </c>
      <c r="O622" s="198">
        <f t="shared" si="227"/>
        <v>824.38904108130316</v>
      </c>
      <c r="P622" s="198">
        <f t="shared" si="227"/>
        <v>1494.6274486993891</v>
      </c>
      <c r="Q622" s="198">
        <f t="shared" si="227"/>
        <v>191.74568924558483</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970</v>
      </c>
      <c r="G623" t="s">
        <v>206</v>
      </c>
      <c r="J623" s="198">
        <f>J171</f>
        <v>0</v>
      </c>
      <c r="K623" s="198">
        <f t="shared" ref="K623:Y623" si="228">K171</f>
        <v>0</v>
      </c>
      <c r="L623" s="198">
        <f t="shared" si="228"/>
        <v>82.98402930365171</v>
      </c>
      <c r="M623" s="198">
        <f t="shared" si="228"/>
        <v>0</v>
      </c>
      <c r="N623" s="198">
        <f t="shared" si="228"/>
        <v>13322.915787407239</v>
      </c>
      <c r="O623" s="198">
        <f t="shared" si="228"/>
        <v>439.13024212695842</v>
      </c>
      <c r="P623" s="198">
        <f t="shared" si="228"/>
        <v>4009.9926476218538</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972</v>
      </c>
      <c r="G624" t="s">
        <v>206</v>
      </c>
      <c r="J624" s="145">
        <f>J180</f>
        <v>0</v>
      </c>
      <c r="K624" s="145">
        <f t="shared" ref="K624:Y624" si="229">K180</f>
        <v>0</v>
      </c>
      <c r="L624" s="145">
        <f t="shared" si="229"/>
        <v>459.62371139280577</v>
      </c>
      <c r="M624" s="145">
        <f t="shared" si="229"/>
        <v>0</v>
      </c>
      <c r="N624" s="145">
        <f t="shared" si="229"/>
        <v>5770.4980953606073</v>
      </c>
      <c r="O624" s="145">
        <f t="shared" si="229"/>
        <v>300.09617062474786</v>
      </c>
      <c r="P624" s="145">
        <f t="shared" si="229"/>
        <v>13221.923356245488</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971</v>
      </c>
      <c r="G625" t="s">
        <v>206</v>
      </c>
      <c r="J625" s="145">
        <f>J189</f>
        <v>0</v>
      </c>
      <c r="K625" s="145">
        <f t="shared" ref="K625:Y625" si="230">K189</f>
        <v>0</v>
      </c>
      <c r="L625" s="145">
        <f t="shared" si="230"/>
        <v>337.10782339568618</v>
      </c>
      <c r="M625" s="145">
        <f t="shared" si="230"/>
        <v>0</v>
      </c>
      <c r="N625" s="145">
        <f t="shared" si="230"/>
        <v>35396.045560490798</v>
      </c>
      <c r="O625" s="145">
        <f t="shared" si="230"/>
        <v>16393.219432110294</v>
      </c>
      <c r="P625" s="145">
        <f t="shared" si="230"/>
        <v>27222.186648607254</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248</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968</v>
      </c>
      <c r="G627" t="s">
        <v>206</v>
      </c>
      <c r="J627" s="174">
        <f>J154</f>
        <v>0</v>
      </c>
      <c r="K627" s="174">
        <f t="shared" ref="K627:Y627" si="231">K154</f>
        <v>86.400026579674773</v>
      </c>
      <c r="L627" s="174">
        <f t="shared" si="231"/>
        <v>0</v>
      </c>
      <c r="M627" s="174">
        <f t="shared" si="231"/>
        <v>14.576916202439337</v>
      </c>
      <c r="N627" s="174">
        <f t="shared" si="231"/>
        <v>0</v>
      </c>
      <c r="O627" s="174">
        <f t="shared" si="231"/>
        <v>0</v>
      </c>
      <c r="P627" s="174">
        <f t="shared" si="231"/>
        <v>0</v>
      </c>
      <c r="Q627" s="174">
        <f t="shared" si="231"/>
        <v>0</v>
      </c>
      <c r="R627" s="174">
        <f t="shared" si="231"/>
        <v>2195.2260000000001</v>
      </c>
      <c r="S627" s="174">
        <f t="shared" si="231"/>
        <v>18.324999999999999</v>
      </c>
      <c r="T627" s="174">
        <f t="shared" si="231"/>
        <v>68.24799999999999</v>
      </c>
      <c r="U627" s="174">
        <f t="shared" si="231"/>
        <v>0</v>
      </c>
      <c r="V627" s="174">
        <f t="shared" si="231"/>
        <v>105.008</v>
      </c>
      <c r="W627" s="174">
        <f t="shared" si="231"/>
        <v>0</v>
      </c>
      <c r="X627" s="174">
        <f t="shared" si="231"/>
        <v>839.64599999999996</v>
      </c>
      <c r="Y627" s="174">
        <f t="shared" si="231"/>
        <v>0</v>
      </c>
      <c r="AQ627" s="3"/>
    </row>
    <row r="628" spans="5:43" x14ac:dyDescent="0.25">
      <c r="E628" s="124"/>
      <c r="F628" s="2" t="s">
        <v>969</v>
      </c>
      <c r="G628" t="s">
        <v>206</v>
      </c>
      <c r="J628" s="198">
        <f>J163</f>
        <v>93183.244893325929</v>
      </c>
      <c r="K628" s="198">
        <f t="shared" ref="K628:Y628" si="232">K163</f>
        <v>0</v>
      </c>
      <c r="L628" s="198">
        <f t="shared" si="232"/>
        <v>5020.3715681761723</v>
      </c>
      <c r="M628" s="198">
        <f t="shared" si="232"/>
        <v>0</v>
      </c>
      <c r="N628" s="198">
        <f t="shared" si="232"/>
        <v>5473.1342243402678</v>
      </c>
      <c r="O628" s="198">
        <f t="shared" si="232"/>
        <v>944.34441610643944</v>
      </c>
      <c r="P628" s="198">
        <f t="shared" si="232"/>
        <v>2630.9626544242637</v>
      </c>
      <c r="Q628" s="198">
        <f t="shared" si="232"/>
        <v>299.78858933193914</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970</v>
      </c>
      <c r="G629" t="s">
        <v>206</v>
      </c>
      <c r="J629" s="198">
        <f>J172</f>
        <v>0</v>
      </c>
      <c r="K629" s="198">
        <f t="shared" ref="K629:Y629" si="233">K172</f>
        <v>0</v>
      </c>
      <c r="L629" s="198">
        <f t="shared" si="233"/>
        <v>82.401682231027394</v>
      </c>
      <c r="M629" s="198">
        <f t="shared" si="233"/>
        <v>0</v>
      </c>
      <c r="N629" s="198">
        <f t="shared" si="233"/>
        <v>17468.033583326061</v>
      </c>
      <c r="O629" s="198">
        <f t="shared" si="233"/>
        <v>278.20663555320618</v>
      </c>
      <c r="P629" s="198">
        <f t="shared" si="233"/>
        <v>4217.2762956844263</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972</v>
      </c>
      <c r="G630" t="s">
        <v>206</v>
      </c>
      <c r="J630" s="145">
        <f>J181</f>
        <v>0</v>
      </c>
      <c r="K630" s="145">
        <f t="shared" ref="K630:Y630" si="234">K181</f>
        <v>0</v>
      </c>
      <c r="L630" s="145">
        <f t="shared" si="234"/>
        <v>466.17927796079323</v>
      </c>
      <c r="M630" s="145">
        <f t="shared" si="234"/>
        <v>0</v>
      </c>
      <c r="N630" s="145">
        <f t="shared" si="234"/>
        <v>5958.384879216831</v>
      </c>
      <c r="O630" s="145">
        <f t="shared" si="234"/>
        <v>438.97240525780006</v>
      </c>
      <c r="P630" s="145">
        <f t="shared" si="234"/>
        <v>17654.082138721071</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971</v>
      </c>
      <c r="G631" t="s">
        <v>206</v>
      </c>
      <c r="J631" s="145">
        <f>J190</f>
        <v>0</v>
      </c>
      <c r="K631" s="145">
        <f t="shared" ref="K631:Y631" si="235">K190</f>
        <v>0</v>
      </c>
      <c r="L631" s="145">
        <f t="shared" si="235"/>
        <v>354.81085578143637</v>
      </c>
      <c r="M631" s="145">
        <f t="shared" si="235"/>
        <v>0</v>
      </c>
      <c r="N631" s="145">
        <f t="shared" si="235"/>
        <v>40588.499905114419</v>
      </c>
      <c r="O631" s="145">
        <f t="shared" si="235"/>
        <v>18921.687660404932</v>
      </c>
      <c r="P631" s="145">
        <f t="shared" si="235"/>
        <v>44303.078921377855</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211</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968</v>
      </c>
      <c r="G633" t="s">
        <v>211</v>
      </c>
      <c r="J633" s="174">
        <f>J155</f>
        <v>0</v>
      </c>
      <c r="K633" s="174">
        <f t="shared" ref="K633:Y633" si="236">K155</f>
        <v>145.76603322968793</v>
      </c>
      <c r="L633" s="174">
        <f t="shared" si="236"/>
        <v>0</v>
      </c>
      <c r="M633" s="174">
        <f t="shared" si="236"/>
        <v>1.301482439550784</v>
      </c>
      <c r="N633" s="174">
        <f t="shared" si="236"/>
        <v>0</v>
      </c>
      <c r="O633" s="174">
        <f t="shared" si="236"/>
        <v>0</v>
      </c>
      <c r="P633" s="174">
        <f t="shared" si="236"/>
        <v>0</v>
      </c>
      <c r="Q633" s="174">
        <f t="shared" si="236"/>
        <v>0</v>
      </c>
      <c r="R633" s="174">
        <f t="shared" si="236"/>
        <v>541.53333333333342</v>
      </c>
      <c r="S633" s="174">
        <f t="shared" si="236"/>
        <v>2</v>
      </c>
      <c r="T633" s="174">
        <f t="shared" si="236"/>
        <v>11</v>
      </c>
      <c r="U633" s="174">
        <f t="shared" si="236"/>
        <v>0</v>
      </c>
      <c r="V633" s="174">
        <f t="shared" si="236"/>
        <v>3</v>
      </c>
      <c r="W633" s="174">
        <f t="shared" si="236"/>
        <v>0</v>
      </c>
      <c r="X633" s="174">
        <f t="shared" si="236"/>
        <v>4</v>
      </c>
      <c r="Y633" s="174">
        <f t="shared" si="236"/>
        <v>0</v>
      </c>
      <c r="AQ633" s="3"/>
    </row>
    <row r="634" spans="5:43" x14ac:dyDescent="0.25">
      <c r="E634" s="124"/>
      <c r="F634" s="2" t="s">
        <v>969</v>
      </c>
      <c r="G634" t="s">
        <v>211</v>
      </c>
      <c r="J634" s="198">
        <f>J164</f>
        <v>69159.345207045189</v>
      </c>
      <c r="K634" s="198">
        <f t="shared" ref="K634:Y634" si="237">K164</f>
        <v>0</v>
      </c>
      <c r="L634" s="198">
        <f t="shared" si="237"/>
        <v>1105.2188876665264</v>
      </c>
      <c r="M634" s="198">
        <f t="shared" si="237"/>
        <v>0</v>
      </c>
      <c r="N634" s="198">
        <f t="shared" si="237"/>
        <v>122.33934931777377</v>
      </c>
      <c r="O634" s="198">
        <f t="shared" si="237"/>
        <v>2.602964879101568</v>
      </c>
      <c r="P634" s="198">
        <f t="shared" si="237"/>
        <v>9.1103770768554959</v>
      </c>
      <c r="Q634" s="198">
        <f t="shared" si="237"/>
        <v>243.37721619599679</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970</v>
      </c>
      <c r="G635" t="s">
        <v>211</v>
      </c>
      <c r="J635" s="198">
        <f>J173</f>
        <v>0</v>
      </c>
      <c r="K635" s="198">
        <f t="shared" ref="K635:Y635" si="238">K173</f>
        <v>0</v>
      </c>
      <c r="L635" s="198">
        <f t="shared" si="238"/>
        <v>48.154850263379018</v>
      </c>
      <c r="M635" s="198">
        <f t="shared" si="238"/>
        <v>0</v>
      </c>
      <c r="N635" s="198">
        <f t="shared" si="238"/>
        <v>212.14163764677789</v>
      </c>
      <c r="O635" s="198">
        <f t="shared" si="238"/>
        <v>2.602964879101568</v>
      </c>
      <c r="P635" s="198">
        <f t="shared" si="238"/>
        <v>11.713341955957061</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972</v>
      </c>
      <c r="G636" t="s">
        <v>211</v>
      </c>
      <c r="J636" s="145">
        <f>J182</f>
        <v>0</v>
      </c>
      <c r="K636" s="145">
        <f t="shared" ref="K636:Y636" si="239">K182</f>
        <v>0</v>
      </c>
      <c r="L636" s="145">
        <f t="shared" si="239"/>
        <v>125.11584518881543</v>
      </c>
      <c r="M636" s="145">
        <f t="shared" si="239"/>
        <v>0</v>
      </c>
      <c r="N636" s="145">
        <f t="shared" si="239"/>
        <v>96.309700526758036</v>
      </c>
      <c r="O636" s="145">
        <f t="shared" si="239"/>
        <v>3.9044473186523536</v>
      </c>
      <c r="P636" s="145">
        <f t="shared" si="239"/>
        <v>14.316306835058628</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971</v>
      </c>
      <c r="G637" t="s">
        <v>211</v>
      </c>
      <c r="J637" s="145">
        <f>J191</f>
        <v>0</v>
      </c>
      <c r="K637" s="145">
        <f t="shared" ref="K637:Y637" si="240">K191</f>
        <v>0</v>
      </c>
      <c r="L637" s="145">
        <f t="shared" si="240"/>
        <v>41.647438065625089</v>
      </c>
      <c r="M637" s="145">
        <f t="shared" si="240"/>
        <v>0</v>
      </c>
      <c r="N637" s="145">
        <f t="shared" si="240"/>
        <v>242.07573375644597</v>
      </c>
      <c r="O637" s="145">
        <f t="shared" si="240"/>
        <v>67.677086856640784</v>
      </c>
      <c r="P637" s="145">
        <f t="shared" si="240"/>
        <v>15.617789274609414</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249</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968</v>
      </c>
      <c r="G639" t="s">
        <v>250</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969</v>
      </c>
      <c r="G640" t="s">
        <v>250</v>
      </c>
      <c r="J640" s="198">
        <f>J165</f>
        <v>0</v>
      </c>
      <c r="K640" s="198">
        <f t="shared" ref="K640:Y640" si="242">K165</f>
        <v>0</v>
      </c>
      <c r="L640" s="198">
        <f t="shared" si="242"/>
        <v>0</v>
      </c>
      <c r="M640" s="198">
        <f t="shared" si="242"/>
        <v>0</v>
      </c>
      <c r="N640" s="198">
        <f t="shared" si="242"/>
        <v>7581</v>
      </c>
      <c r="O640" s="198">
        <f t="shared" si="242"/>
        <v>375</v>
      </c>
      <c r="P640" s="198">
        <f t="shared" si="242"/>
        <v>1859</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970</v>
      </c>
      <c r="G641" t="s">
        <v>250</v>
      </c>
      <c r="J641" s="198">
        <f>J174</f>
        <v>0</v>
      </c>
      <c r="K641" s="198">
        <f t="shared" ref="K641:Y641" si="243">K174</f>
        <v>0</v>
      </c>
      <c r="L641" s="198">
        <f t="shared" si="243"/>
        <v>0</v>
      </c>
      <c r="M641" s="198">
        <f t="shared" si="243"/>
        <v>0</v>
      </c>
      <c r="N641" s="198">
        <f t="shared" si="243"/>
        <v>25551</v>
      </c>
      <c r="O641" s="198">
        <f t="shared" si="243"/>
        <v>200</v>
      </c>
      <c r="P641" s="198">
        <f t="shared" si="243"/>
        <v>7023</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972</v>
      </c>
      <c r="G642" t="s">
        <v>250</v>
      </c>
      <c r="J642" s="145">
        <f>J183</f>
        <v>0</v>
      </c>
      <c r="K642" s="145">
        <f t="shared" ref="K642:Y642" si="244">K183</f>
        <v>0</v>
      </c>
      <c r="L642" s="145">
        <f t="shared" si="244"/>
        <v>0</v>
      </c>
      <c r="M642" s="145">
        <f t="shared" si="244"/>
        <v>0</v>
      </c>
      <c r="N642" s="145">
        <f t="shared" si="244"/>
        <v>12453</v>
      </c>
      <c r="O642" s="145">
        <f t="shared" si="244"/>
        <v>1342</v>
      </c>
      <c r="P642" s="145">
        <f t="shared" si="244"/>
        <v>17263</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971</v>
      </c>
      <c r="G643" t="s">
        <v>250</v>
      </c>
      <c r="J643" s="145">
        <f>J192</f>
        <v>0</v>
      </c>
      <c r="K643" s="145">
        <f t="shared" ref="K643:Y643" si="245">K192</f>
        <v>0</v>
      </c>
      <c r="L643" s="145">
        <f t="shared" si="245"/>
        <v>0</v>
      </c>
      <c r="M643" s="145">
        <f t="shared" si="245"/>
        <v>0</v>
      </c>
      <c r="N643" s="145">
        <f t="shared" si="245"/>
        <v>105163</v>
      </c>
      <c r="O643" s="145">
        <f t="shared" si="245"/>
        <v>34514</v>
      </c>
      <c r="P643" s="145">
        <f t="shared" si="245"/>
        <v>45505</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251</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968</v>
      </c>
      <c r="G645" t="s">
        <v>250</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969</v>
      </c>
      <c r="G646" t="s">
        <v>250</v>
      </c>
      <c r="J646" s="198">
        <f>J166</f>
        <v>0</v>
      </c>
      <c r="K646" s="198">
        <f t="shared" ref="K646:Y646" si="247">K166</f>
        <v>0</v>
      </c>
      <c r="L646" s="198">
        <f t="shared" si="247"/>
        <v>0</v>
      </c>
      <c r="M646" s="198">
        <f t="shared" si="247"/>
        <v>0</v>
      </c>
      <c r="N646" s="198">
        <f t="shared" si="247"/>
        <v>6.4109589041095889</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970</v>
      </c>
      <c r="G647" t="s">
        <v>250</v>
      </c>
      <c r="J647" s="198">
        <f>J175</f>
        <v>0</v>
      </c>
      <c r="K647" s="198">
        <f t="shared" ref="K647:Y647" si="248">K175</f>
        <v>0</v>
      </c>
      <c r="L647" s="198">
        <f t="shared" si="248"/>
        <v>0</v>
      </c>
      <c r="M647" s="198">
        <f t="shared" si="248"/>
        <v>0</v>
      </c>
      <c r="N647" s="198">
        <f t="shared" si="248"/>
        <v>0</v>
      </c>
      <c r="O647" s="198">
        <f t="shared" si="248"/>
        <v>123.18082191780822</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972</v>
      </c>
      <c r="G648" t="s">
        <v>250</v>
      </c>
      <c r="J648" s="145">
        <f>J184</f>
        <v>0</v>
      </c>
      <c r="K648" s="145">
        <f t="shared" ref="K648:Y648" si="249">K184</f>
        <v>0</v>
      </c>
      <c r="L648" s="145">
        <f t="shared" si="249"/>
        <v>0</v>
      </c>
      <c r="M648" s="145">
        <f t="shared" si="249"/>
        <v>0</v>
      </c>
      <c r="N648" s="145">
        <f t="shared" si="249"/>
        <v>0</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971</v>
      </c>
      <c r="G649" t="s">
        <v>250</v>
      </c>
      <c r="J649" s="145">
        <f>J193</f>
        <v>0</v>
      </c>
      <c r="K649" s="145">
        <f t="shared" ref="K649:Y649" si="250">K193</f>
        <v>0</v>
      </c>
      <c r="L649" s="145">
        <f t="shared" si="250"/>
        <v>0</v>
      </c>
      <c r="M649" s="145">
        <f t="shared" si="250"/>
        <v>0</v>
      </c>
      <c r="N649" s="145">
        <f t="shared" si="250"/>
        <v>15.032876712328767</v>
      </c>
      <c r="O649" s="145">
        <f t="shared" si="250"/>
        <v>0</v>
      </c>
      <c r="P649" s="145">
        <f t="shared" si="250"/>
        <v>55.715068493150682</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252</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968</v>
      </c>
      <c r="G651" t="s">
        <v>253</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35.960999999999999</v>
      </c>
      <c r="U651" s="174">
        <f t="shared" si="251"/>
        <v>0</v>
      </c>
      <c r="V651" s="174">
        <f t="shared" si="251"/>
        <v>166.20500000000001</v>
      </c>
      <c r="W651" s="174">
        <f t="shared" si="251"/>
        <v>0</v>
      </c>
      <c r="X651" s="174">
        <f t="shared" si="251"/>
        <v>206.58199999999999</v>
      </c>
      <c r="Y651" s="174">
        <f t="shared" si="251"/>
        <v>0</v>
      </c>
      <c r="AQ651" s="3"/>
    </row>
    <row r="652" spans="5:43" x14ac:dyDescent="0.25">
      <c r="E652" s="124"/>
      <c r="F652" s="2" t="s">
        <v>969</v>
      </c>
      <c r="G652" t="s">
        <v>253</v>
      </c>
      <c r="J652" s="198">
        <f>J167</f>
        <v>0</v>
      </c>
      <c r="K652" s="198">
        <f t="shared" ref="K652:Y652" si="252">K167</f>
        <v>0</v>
      </c>
      <c r="L652" s="198">
        <f t="shared" si="252"/>
        <v>0</v>
      </c>
      <c r="M652" s="198">
        <f t="shared" si="252"/>
        <v>0</v>
      </c>
      <c r="N652" s="198">
        <f t="shared" si="252"/>
        <v>528.8993999999999</v>
      </c>
      <c r="O652" s="198">
        <f t="shared" si="252"/>
        <v>81.244</v>
      </c>
      <c r="P652" s="198">
        <f t="shared" si="252"/>
        <v>57.902000000000001</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970</v>
      </c>
      <c r="G653" t="s">
        <v>253</v>
      </c>
      <c r="J653" s="198">
        <f>J176</f>
        <v>0</v>
      </c>
      <c r="K653" s="198">
        <f t="shared" ref="K653:Y653" si="253">K176</f>
        <v>0</v>
      </c>
      <c r="L653" s="198">
        <f t="shared" si="253"/>
        <v>0</v>
      </c>
      <c r="M653" s="198">
        <f t="shared" si="253"/>
        <v>0</v>
      </c>
      <c r="N653" s="198">
        <f t="shared" si="253"/>
        <v>1529.115</v>
      </c>
      <c r="O653" s="198">
        <f t="shared" si="253"/>
        <v>25.257000000000001</v>
      </c>
      <c r="P653" s="198">
        <f t="shared" si="253"/>
        <v>122.77500000000001</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972</v>
      </c>
      <c r="G654" t="s">
        <v>253</v>
      </c>
      <c r="J654" s="145">
        <f>J185</f>
        <v>0</v>
      </c>
      <c r="K654" s="145">
        <f t="shared" ref="K654:Y654" si="254">K185</f>
        <v>0</v>
      </c>
      <c r="L654" s="145">
        <f t="shared" si="254"/>
        <v>0</v>
      </c>
      <c r="M654" s="145">
        <f t="shared" si="254"/>
        <v>0</v>
      </c>
      <c r="N654" s="145">
        <f t="shared" si="254"/>
        <v>519.25900000000001</v>
      </c>
      <c r="O654" s="145">
        <f t="shared" si="254"/>
        <v>13.010999999999999</v>
      </c>
      <c r="P654" s="145">
        <f t="shared" si="254"/>
        <v>575.66499999999996</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971</v>
      </c>
      <c r="G655" s="91" t="s">
        <v>253</v>
      </c>
      <c r="H655" s="91"/>
      <c r="I655" s="91"/>
      <c r="J655" s="198">
        <f>J194</f>
        <v>0</v>
      </c>
      <c r="K655" s="198">
        <f t="shared" ref="K655:Y655" si="255">K194</f>
        <v>0</v>
      </c>
      <c r="L655" s="198">
        <f t="shared" si="255"/>
        <v>0</v>
      </c>
      <c r="M655" s="198">
        <f t="shared" si="255"/>
        <v>0</v>
      </c>
      <c r="N655" s="198">
        <f t="shared" si="255"/>
        <v>6146.74</v>
      </c>
      <c r="O655" s="198">
        <f t="shared" si="255"/>
        <v>2521.4229999999998</v>
      </c>
      <c r="P655" s="198">
        <f t="shared" si="255"/>
        <v>8944.7510000000002</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1099</v>
      </c>
      <c r="I659" t="s">
        <v>153</v>
      </c>
      <c r="AA659" t="s">
        <v>1128</v>
      </c>
      <c r="AQ659" s="3"/>
    </row>
    <row r="660" spans="3:43" x14ac:dyDescent="0.25">
      <c r="D660" s="71" t="s">
        <v>1100</v>
      </c>
      <c r="AQ660" s="3"/>
    </row>
    <row r="661" spans="3:43" x14ac:dyDescent="0.25">
      <c r="D661" s="71" t="s">
        <v>1101</v>
      </c>
      <c r="AQ661" s="3"/>
    </row>
    <row r="662" spans="3:43" x14ac:dyDescent="0.25">
      <c r="D662" s="71" t="s">
        <v>1102</v>
      </c>
      <c r="AQ662" s="3"/>
    </row>
    <row r="663" spans="3:43" x14ac:dyDescent="0.25">
      <c r="AQ663" s="3"/>
    </row>
    <row r="664" spans="3:43" x14ac:dyDescent="0.25">
      <c r="E664" s="60" t="s">
        <v>977</v>
      </c>
      <c r="J664" s="201" t="s">
        <v>968</v>
      </c>
      <c r="K664" s="201" t="s">
        <v>973</v>
      </c>
      <c r="L664" s="201" t="s">
        <v>974</v>
      </c>
      <c r="M664" s="201" t="s">
        <v>975</v>
      </c>
      <c r="N664" s="201" t="s">
        <v>976</v>
      </c>
      <c r="AQ664" s="3"/>
    </row>
    <row r="665" spans="3:43" x14ac:dyDescent="0.25">
      <c r="E665" s="60"/>
      <c r="F665" s="90" t="s">
        <v>246</v>
      </c>
      <c r="G665" s="90" t="s">
        <v>166</v>
      </c>
      <c r="H665" s="90"/>
      <c r="I665" s="90"/>
      <c r="J665" s="202">
        <f>'Inputs by customer type'!J169</f>
        <v>0</v>
      </c>
      <c r="K665" s="202">
        <f>'Inputs by customer type'!K169</f>
        <v>6.9000000000000006E-2</v>
      </c>
      <c r="L665" s="202">
        <f>'Inputs by customer type'!L169</f>
        <v>0.17</v>
      </c>
      <c r="M665" s="202">
        <f>'Inputs by customer type'!M169</f>
        <v>0.192</v>
      </c>
      <c r="N665" s="202">
        <f>'Inputs by customer type'!N169</f>
        <v>0.56899999999999995</v>
      </c>
      <c r="AQ665" s="3"/>
    </row>
    <row r="666" spans="3:43" x14ac:dyDescent="0.25">
      <c r="E666" s="60"/>
      <c r="F666" t="s">
        <v>247</v>
      </c>
      <c r="G666" t="s">
        <v>166</v>
      </c>
      <c r="J666" s="203">
        <f>'Inputs by customer type'!J170</f>
        <v>0</v>
      </c>
      <c r="K666" s="203">
        <f>'Inputs by customer type'!K170</f>
        <v>6.9000000000000006E-2</v>
      </c>
      <c r="L666" s="203">
        <f>'Inputs by customer type'!L170</f>
        <v>0.17</v>
      </c>
      <c r="M666" s="203">
        <f>'Inputs by customer type'!M170</f>
        <v>0.192</v>
      </c>
      <c r="N666" s="203">
        <f>'Inputs by customer type'!N170</f>
        <v>0.56899999999999995</v>
      </c>
      <c r="AQ666" s="3"/>
    </row>
    <row r="667" spans="3:43" x14ac:dyDescent="0.25">
      <c r="E667" s="60"/>
      <c r="F667" s="91" t="s">
        <v>248</v>
      </c>
      <c r="G667" s="91" t="s">
        <v>166</v>
      </c>
      <c r="H667" s="91"/>
      <c r="I667" s="91"/>
      <c r="J667" s="204">
        <f>'Inputs by customer type'!J171</f>
        <v>0</v>
      </c>
      <c r="K667" s="204">
        <f>'Inputs by customer type'!K171</f>
        <v>6.9000000000000006E-2</v>
      </c>
      <c r="L667" s="204">
        <f>'Inputs by customer type'!L171</f>
        <v>0.17</v>
      </c>
      <c r="M667" s="204">
        <f>'Inputs by customer type'!M171</f>
        <v>0.192</v>
      </c>
      <c r="N667" s="204">
        <f>'Inputs by customer type'!N171</f>
        <v>0.56899999999999995</v>
      </c>
      <c r="AQ667" s="3"/>
    </row>
    <row r="668" spans="3:43" x14ac:dyDescent="0.25">
      <c r="E668" s="60"/>
      <c r="AQ668" s="3"/>
    </row>
    <row r="669" spans="3:43" x14ac:dyDescent="0.25">
      <c r="E669" s="60" t="s">
        <v>978</v>
      </c>
      <c r="J669" s="201" t="s">
        <v>968</v>
      </c>
      <c r="K669" s="201" t="s">
        <v>973</v>
      </c>
      <c r="L669" s="201" t="s">
        <v>974</v>
      </c>
      <c r="M669" s="201" t="s">
        <v>975</v>
      </c>
      <c r="N669" s="201" t="s">
        <v>976</v>
      </c>
      <c r="AQ669" s="3"/>
    </row>
    <row r="670" spans="3:43" x14ac:dyDescent="0.25">
      <c r="E670" s="60"/>
      <c r="F670" s="90" t="s">
        <v>246</v>
      </c>
      <c r="G670" s="90" t="s">
        <v>166</v>
      </c>
      <c r="H670" s="90"/>
      <c r="I670" s="90"/>
      <c r="J670" s="202">
        <f>'Inputs by customer type'!J174</f>
        <v>0</v>
      </c>
      <c r="K670" s="202">
        <f>'Inputs by customer type'!K174</f>
        <v>6.9000000000000006E-2</v>
      </c>
      <c r="L670" s="202">
        <f>'Inputs by customer type'!L174</f>
        <v>0.17</v>
      </c>
      <c r="M670" s="202">
        <f>'Inputs by customer type'!M174</f>
        <v>0.192</v>
      </c>
      <c r="N670" s="202">
        <f>'Inputs by customer type'!N174</f>
        <v>0.56899999999999995</v>
      </c>
      <c r="AQ670" s="3"/>
    </row>
    <row r="671" spans="3:43" x14ac:dyDescent="0.25">
      <c r="E671" s="60"/>
      <c r="F671" t="s">
        <v>247</v>
      </c>
      <c r="G671" t="s">
        <v>166</v>
      </c>
      <c r="J671" s="203">
        <f>'Inputs by customer type'!J175</f>
        <v>0</v>
      </c>
      <c r="K671" s="203">
        <f>'Inputs by customer type'!K175</f>
        <v>6.9000000000000006E-2</v>
      </c>
      <c r="L671" s="203">
        <f>'Inputs by customer type'!L175</f>
        <v>0.17</v>
      </c>
      <c r="M671" s="203">
        <f>'Inputs by customer type'!M175</f>
        <v>0.192</v>
      </c>
      <c r="N671" s="203">
        <f>'Inputs by customer type'!N175</f>
        <v>0.56899999999999995</v>
      </c>
      <c r="AQ671" s="3"/>
    </row>
    <row r="672" spans="3:43" x14ac:dyDescent="0.25">
      <c r="E672" s="60"/>
      <c r="F672" s="91" t="s">
        <v>248</v>
      </c>
      <c r="G672" s="91" t="s">
        <v>166</v>
      </c>
      <c r="H672" s="91"/>
      <c r="I672" s="91"/>
      <c r="J672" s="204">
        <f>'Inputs by customer type'!J176</f>
        <v>0</v>
      </c>
      <c r="K672" s="204">
        <f>'Inputs by customer type'!K176</f>
        <v>6.9000000000000006E-2</v>
      </c>
      <c r="L672" s="204">
        <f>'Inputs by customer type'!L176</f>
        <v>0.17</v>
      </c>
      <c r="M672" s="204">
        <f>'Inputs by customer type'!M176</f>
        <v>0.192</v>
      </c>
      <c r="N672" s="204">
        <f>'Inputs by customer type'!N176</f>
        <v>0.56899999999999995</v>
      </c>
      <c r="AQ672" s="3"/>
    </row>
    <row r="673" spans="5:43" x14ac:dyDescent="0.25">
      <c r="E673" s="60"/>
      <c r="AQ673" s="3"/>
    </row>
    <row r="674" spans="5:43" x14ac:dyDescent="0.25">
      <c r="E674" s="60" t="s">
        <v>979</v>
      </c>
      <c r="J674" s="201" t="s">
        <v>968</v>
      </c>
      <c r="K674" s="201" t="s">
        <v>973</v>
      </c>
      <c r="L674" s="201" t="s">
        <v>974</v>
      </c>
      <c r="M674" s="201" t="s">
        <v>975</v>
      </c>
      <c r="N674" s="201" t="s">
        <v>976</v>
      </c>
      <c r="AQ674" s="3"/>
    </row>
    <row r="675" spans="5:43" x14ac:dyDescent="0.25">
      <c r="F675" s="90" t="s">
        <v>246</v>
      </c>
      <c r="G675" s="90" t="s">
        <v>166</v>
      </c>
      <c r="H675" s="90"/>
      <c r="I675" s="90"/>
      <c r="J675" s="202">
        <f>'Inputs by customer type'!J179</f>
        <v>0</v>
      </c>
      <c r="K675" s="202">
        <f>'Inputs by customer type'!K179</f>
        <v>6.9000000000000006E-2</v>
      </c>
      <c r="L675" s="202">
        <f>'Inputs by customer type'!L179</f>
        <v>0.17</v>
      </c>
      <c r="M675" s="202">
        <f>'Inputs by customer type'!M179</f>
        <v>0.192</v>
      </c>
      <c r="N675" s="202">
        <f>'Inputs by customer type'!N179</f>
        <v>0.56899999999999995</v>
      </c>
      <c r="AQ675" s="3"/>
    </row>
    <row r="676" spans="5:43" x14ac:dyDescent="0.25">
      <c r="F676" t="s">
        <v>247</v>
      </c>
      <c r="G676" t="s">
        <v>166</v>
      </c>
      <c r="J676" s="203">
        <f>'Inputs by customer type'!J180</f>
        <v>0</v>
      </c>
      <c r="K676" s="203">
        <f>'Inputs by customer type'!K180</f>
        <v>6.9000000000000006E-2</v>
      </c>
      <c r="L676" s="203">
        <f>'Inputs by customer type'!L180</f>
        <v>0.17</v>
      </c>
      <c r="M676" s="203">
        <f>'Inputs by customer type'!M180</f>
        <v>0.192</v>
      </c>
      <c r="N676" s="203">
        <f>'Inputs by customer type'!N180</f>
        <v>0.56899999999999995</v>
      </c>
      <c r="AQ676" s="3"/>
    </row>
    <row r="677" spans="5:43" x14ac:dyDescent="0.25">
      <c r="F677" s="91" t="s">
        <v>248</v>
      </c>
      <c r="G677" s="91" t="s">
        <v>166</v>
      </c>
      <c r="H677" s="91"/>
      <c r="I677" s="91"/>
      <c r="J677" s="204">
        <f>'Inputs by customer type'!J181</f>
        <v>0</v>
      </c>
      <c r="K677" s="204">
        <f>'Inputs by customer type'!K181</f>
        <v>6.9000000000000006E-2</v>
      </c>
      <c r="L677" s="204">
        <f>'Inputs by customer type'!L181</f>
        <v>0.17</v>
      </c>
      <c r="M677" s="204">
        <f>'Inputs by customer type'!M181</f>
        <v>0.192</v>
      </c>
      <c r="N677" s="204">
        <f>'Inputs by customer type'!N181</f>
        <v>0.56899999999999995</v>
      </c>
      <c r="AQ677" s="3"/>
    </row>
    <row r="678" spans="5:43" x14ac:dyDescent="0.25">
      <c r="AQ678" s="3"/>
    </row>
    <row r="679" spans="5:43" x14ac:dyDescent="0.25">
      <c r="E679" s="60" t="s">
        <v>981</v>
      </c>
      <c r="J679" s="201" t="s">
        <v>968</v>
      </c>
      <c r="K679" s="201" t="s">
        <v>973</v>
      </c>
      <c r="L679" s="201" t="s">
        <v>974</v>
      </c>
      <c r="M679" s="201" t="s">
        <v>975</v>
      </c>
      <c r="N679" s="201" t="s">
        <v>976</v>
      </c>
      <c r="AQ679" s="3"/>
    </row>
    <row r="680" spans="5:43" x14ac:dyDescent="0.25">
      <c r="F680" s="90" t="s">
        <v>246</v>
      </c>
      <c r="G680" s="90" t="s">
        <v>206</v>
      </c>
      <c r="H680" s="90"/>
      <c r="I680" s="90"/>
      <c r="J680" s="205">
        <f t="shared" ref="J680:N682" si="256" xml:space="preserve"> $M58 * J665  + $M105 * J670 + $M152 * J675</f>
        <v>0</v>
      </c>
      <c r="K680" s="205">
        <f t="shared" si="256"/>
        <v>36.266952662885629</v>
      </c>
      <c r="L680" s="205">
        <f t="shared" si="256"/>
        <v>89.353361633196471</v>
      </c>
      <c r="M680" s="205">
        <f t="shared" si="256"/>
        <v>100.91673784455131</v>
      </c>
      <c r="N680" s="205">
        <f t="shared" si="256"/>
        <v>299.07095746640465</v>
      </c>
      <c r="AQ680" s="3"/>
    </row>
    <row r="681" spans="5:43" x14ac:dyDescent="0.25">
      <c r="F681" t="s">
        <v>247</v>
      </c>
      <c r="G681" t="s">
        <v>206</v>
      </c>
      <c r="J681" s="206">
        <f t="shared" si="256"/>
        <v>0</v>
      </c>
      <c r="K681" s="206">
        <f t="shared" si="256"/>
        <v>207.260257229752</v>
      </c>
      <c r="L681" s="206">
        <f t="shared" si="256"/>
        <v>510.64121346460638</v>
      </c>
      <c r="M681" s="206">
        <f t="shared" si="256"/>
        <v>576.72419403061429</v>
      </c>
      <c r="N681" s="206">
        <f t="shared" si="256"/>
        <v>1709.1461791844765</v>
      </c>
      <c r="AQ681" s="3"/>
    </row>
    <row r="682" spans="5:43" x14ac:dyDescent="0.25">
      <c r="F682" s="91" t="s">
        <v>248</v>
      </c>
      <c r="G682" s="91" t="s">
        <v>206</v>
      </c>
      <c r="H682" s="91"/>
      <c r="I682" s="91"/>
      <c r="J682" s="207">
        <f t="shared" si="256"/>
        <v>0</v>
      </c>
      <c r="K682" s="207">
        <f t="shared" si="256"/>
        <v>614.8036355429299</v>
      </c>
      <c r="L682" s="207">
        <f t="shared" si="256"/>
        <v>1514.7335948159141</v>
      </c>
      <c r="M682" s="207">
        <f t="shared" si="256"/>
        <v>1710.7579423803263</v>
      </c>
      <c r="N682" s="207">
        <f t="shared" si="256"/>
        <v>5069.902443825029</v>
      </c>
      <c r="AQ682" s="3"/>
    </row>
    <row r="683" spans="5:43" x14ac:dyDescent="0.25">
      <c r="J683" s="101"/>
      <c r="K683" s="101"/>
      <c r="L683" s="101"/>
      <c r="M683" s="101"/>
      <c r="N683" s="101"/>
      <c r="AQ683" s="3"/>
    </row>
    <row r="684" spans="5:43" x14ac:dyDescent="0.25">
      <c r="J684" s="208" t="s">
        <v>968</v>
      </c>
      <c r="K684" s="208" t="s">
        <v>973</v>
      </c>
      <c r="L684" s="208" t="s">
        <v>974</v>
      </c>
      <c r="M684" s="208" t="s">
        <v>975</v>
      </c>
      <c r="N684" s="208" t="s">
        <v>976</v>
      </c>
      <c r="AQ684" s="3"/>
    </row>
    <row r="685" spans="5:43" x14ac:dyDescent="0.25">
      <c r="E685" s="104" t="s">
        <v>982</v>
      </c>
      <c r="G685" t="s">
        <v>206</v>
      </c>
      <c r="J685" s="101">
        <f>SUM(J680:J682)</f>
        <v>0</v>
      </c>
      <c r="K685" s="101">
        <f>SUM(K680:K682)</f>
        <v>858.33084543556754</v>
      </c>
      <c r="L685" s="101">
        <f t="shared" ref="L685:N685" si="257">SUM(L680:L682)</f>
        <v>2114.728169913717</v>
      </c>
      <c r="M685" s="101">
        <f t="shared" si="257"/>
        <v>2388.398874255492</v>
      </c>
      <c r="N685" s="101">
        <f t="shared" si="257"/>
        <v>7078.11958047591</v>
      </c>
      <c r="AQ685" s="3"/>
    </row>
    <row r="686" spans="5:43" x14ac:dyDescent="0.25">
      <c r="J686" s="101"/>
      <c r="K686" s="101"/>
      <c r="L686" s="101"/>
      <c r="M686" s="101"/>
      <c r="N686" s="101"/>
      <c r="AQ686" s="3"/>
    </row>
    <row r="687" spans="5:43" x14ac:dyDescent="0.25">
      <c r="E687" t="s">
        <v>1026</v>
      </c>
      <c r="G687" t="s">
        <v>206</v>
      </c>
      <c r="H687" s="101">
        <f>SUM(J685:N685)</f>
        <v>12439.577470080687</v>
      </c>
      <c r="AQ687" s="3"/>
    </row>
    <row r="688" spans="5:43" x14ac:dyDescent="0.25">
      <c r="J688" s="208" t="s">
        <v>968</v>
      </c>
      <c r="K688" s="208" t="s">
        <v>973</v>
      </c>
      <c r="L688" s="208" t="s">
        <v>974</v>
      </c>
      <c r="M688" s="208" t="s">
        <v>975</v>
      </c>
      <c r="N688" s="208" t="s">
        <v>976</v>
      </c>
      <c r="AQ688" s="3"/>
    </row>
    <row r="689" spans="2:43" x14ac:dyDescent="0.25">
      <c r="E689" s="104" t="s">
        <v>981</v>
      </c>
      <c r="G689" t="s">
        <v>166</v>
      </c>
      <c r="J689" s="154">
        <f>IF($H687 &lt;&gt; 0, J685/$H687, 0)</f>
        <v>0</v>
      </c>
      <c r="K689" s="154">
        <f>IF($H687 &lt;&gt; 0, K685/$H687, 0)</f>
        <v>6.9000000000000006E-2</v>
      </c>
      <c r="L689" s="154">
        <f>IF($H687 &lt;&gt; 0, L685/$H687, 0)</f>
        <v>0.17</v>
      </c>
      <c r="M689" s="154">
        <f>IF($H687 &lt;&gt; 0, M685/$H687, 0)</f>
        <v>0.192</v>
      </c>
      <c r="N689" s="154">
        <f>IF($H687 &lt;&gt; 0, N685/$H687, 0)</f>
        <v>0.56899999999999995</v>
      </c>
      <c r="AQ689" s="3"/>
    </row>
    <row r="690" spans="2:43" x14ac:dyDescent="0.25">
      <c r="AQ690" s="3"/>
    </row>
    <row r="691" spans="2:43" x14ac:dyDescent="0.25">
      <c r="B691" s="70" t="s">
        <v>230</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231</v>
      </c>
      <c r="G693" s="6" t="s">
        <v>54</v>
      </c>
      <c r="H693" s="108">
        <f t="array" ref="H693">SUM(IF(ISERROR(H22:Y309), 1))</f>
        <v>0</v>
      </c>
    </row>
    <row r="695" spans="2:43" x14ac:dyDescent="0.25">
      <c r="B695" s="70" t="s">
        <v>105</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5" t="s">
        <v>142</v>
      </c>
      <c r="H5" s="102" t="s">
        <v>143</v>
      </c>
      <c r="I5" s="47"/>
      <c r="J5" s="102" t="s">
        <v>1158</v>
      </c>
      <c r="K5" s="102" t="s">
        <v>825</v>
      </c>
      <c r="L5" s="102" t="s">
        <v>1159</v>
      </c>
      <c r="M5" s="102" t="s">
        <v>826</v>
      </c>
      <c r="N5" s="102" t="s">
        <v>832</v>
      </c>
      <c r="O5" s="102" t="s">
        <v>833</v>
      </c>
      <c r="P5" s="102" t="s">
        <v>834</v>
      </c>
      <c r="Q5" s="102" t="s">
        <v>835</v>
      </c>
      <c r="R5" s="102" t="s">
        <v>827</v>
      </c>
      <c r="S5" s="102" t="s">
        <v>828</v>
      </c>
      <c r="T5" s="102" t="s">
        <v>829</v>
      </c>
      <c r="U5" s="102" t="s">
        <v>838</v>
      </c>
      <c r="V5" s="102" t="s">
        <v>830</v>
      </c>
      <c r="W5" s="102" t="s">
        <v>837</v>
      </c>
      <c r="X5" s="102" t="s">
        <v>831</v>
      </c>
      <c r="Y5" s="102" t="s">
        <v>836</v>
      </c>
      <c r="AA5" s="85" t="s">
        <v>144</v>
      </c>
    </row>
    <row r="7" spans="1:27" x14ac:dyDescent="0.25">
      <c r="B7" s="70" t="s">
        <v>9</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858</v>
      </c>
    </row>
    <row r="10" spans="1:27" x14ac:dyDescent="0.25">
      <c r="C10" s="71" t="s">
        <v>453</v>
      </c>
    </row>
    <row r="11" spans="1:27" x14ac:dyDescent="0.25">
      <c r="C11" s="71" t="s">
        <v>454</v>
      </c>
    </row>
    <row r="13" spans="1:27" x14ac:dyDescent="0.25">
      <c r="B13" s="70" t="s">
        <v>455</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855</v>
      </c>
      <c r="I15" t="s">
        <v>153</v>
      </c>
      <c r="AA15" t="s">
        <v>856</v>
      </c>
    </row>
    <row r="16" spans="1:27" x14ac:dyDescent="0.25">
      <c r="C16" s="71" t="s">
        <v>456</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457</v>
      </c>
      <c r="F20" s="210"/>
      <c r="G20" s="210" t="s">
        <v>458</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459</v>
      </c>
      <c r="I22" t="s">
        <v>153</v>
      </c>
      <c r="AA22" t="s">
        <v>460</v>
      </c>
    </row>
    <row r="23" spans="3:27" x14ac:dyDescent="0.25">
      <c r="E23" s="71" t="s">
        <v>461</v>
      </c>
      <c r="F23" s="71"/>
    </row>
    <row r="24" spans="3:27" x14ac:dyDescent="0.25">
      <c r="F24" s="93" t="s">
        <v>462</v>
      </c>
      <c r="G24" s="93" t="s">
        <v>146</v>
      </c>
      <c r="H24" s="212"/>
      <c r="I24" s="212"/>
      <c r="J24" s="167">
        <f>IF(J$20, 'General inputs'!$H16, 'General inputs'!$H21)</f>
        <v>913.5</v>
      </c>
      <c r="K24" s="167">
        <f>IF(K$20, 'General inputs'!$H16, 'General inputs'!$H21)</f>
        <v>913.5</v>
      </c>
      <c r="L24" s="167">
        <f>IF(L$20, 'General inputs'!$H16, 'General inputs'!$H21)</f>
        <v>913.5</v>
      </c>
      <c r="M24" s="167">
        <f>IF(M$20, 'General inputs'!$H16, 'General inputs'!$H21)</f>
        <v>913.5</v>
      </c>
      <c r="N24" s="167">
        <f>IF(N$20, 'General inputs'!$H16, 'General inputs'!$H21)</f>
        <v>913.5</v>
      </c>
      <c r="O24" s="167">
        <f>IF(O$20, 'General inputs'!$H16, 'General inputs'!$H21)</f>
        <v>913.5</v>
      </c>
      <c r="P24" s="167">
        <f>IF(P$20, 'General inputs'!$H16, 'General inputs'!$H21)</f>
        <v>913.5</v>
      </c>
      <c r="Q24" s="167">
        <f>IF(Q$20, 'General inputs'!$H16, 'General inputs'!$H21)</f>
        <v>297.5</v>
      </c>
      <c r="R24" s="167">
        <f>IF(R$20, 'General inputs'!$H16, 'General inputs'!$H21)</f>
        <v>913.5</v>
      </c>
      <c r="S24" s="167">
        <f>IF(S$20, 'General inputs'!$H16, 'General inputs'!$H21)</f>
        <v>913.5</v>
      </c>
      <c r="T24" s="167">
        <f>IF(T$20, 'General inputs'!$H16, 'General inputs'!$H21)</f>
        <v>913.5</v>
      </c>
      <c r="U24" s="167">
        <f>IF(U$20, 'General inputs'!$H16, 'General inputs'!$H21)</f>
        <v>913.5</v>
      </c>
      <c r="V24" s="167">
        <f>IF(V$20, 'General inputs'!$H16, 'General inputs'!$H21)</f>
        <v>913.5</v>
      </c>
      <c r="W24" s="167">
        <f>IF(W$20, 'General inputs'!$H16, 'General inputs'!$H21)</f>
        <v>913.5</v>
      </c>
      <c r="X24" s="167">
        <f>IF(X$20, 'General inputs'!$H16, 'General inputs'!$H21)</f>
        <v>913.5</v>
      </c>
      <c r="Y24" s="167">
        <f>IF(Y$20, 'General inputs'!$H16, 'General inputs'!$H21)</f>
        <v>913.5</v>
      </c>
    </row>
    <row r="25" spans="3:27" x14ac:dyDescent="0.25">
      <c r="F25" s="89" t="s">
        <v>463</v>
      </c>
      <c r="G25" t="s">
        <v>146</v>
      </c>
      <c r="H25" s="213"/>
      <c r="I25" s="213"/>
      <c r="J25" s="163">
        <f>IF(J$20, 'General inputs'!$H17, 'General inputs'!$H22)</f>
        <v>2740.5</v>
      </c>
      <c r="K25" s="163">
        <f>IF(K$20, 'General inputs'!$H17, 'General inputs'!$H22)</f>
        <v>2740.5</v>
      </c>
      <c r="L25" s="163">
        <f>IF(L$20, 'General inputs'!$H17, 'General inputs'!$H22)</f>
        <v>2740.5</v>
      </c>
      <c r="M25" s="163">
        <f>IF(M$20, 'General inputs'!$H17, 'General inputs'!$H22)</f>
        <v>2740.5</v>
      </c>
      <c r="N25" s="163">
        <f>IF(N$20, 'General inputs'!$H17, 'General inputs'!$H22)</f>
        <v>2740.5</v>
      </c>
      <c r="O25" s="163">
        <f>IF(O$20, 'General inputs'!$H17, 'General inputs'!$H22)</f>
        <v>2740.5</v>
      </c>
      <c r="P25" s="163">
        <f>IF(P$20, 'General inputs'!$H17, 'General inputs'!$H22)</f>
        <v>2740.5</v>
      </c>
      <c r="Q25" s="163">
        <f>IF(Q$20, 'General inputs'!$H17, 'General inputs'!$H22)</f>
        <v>3356.5</v>
      </c>
      <c r="R25" s="163">
        <f>IF(R$20, 'General inputs'!$H17, 'General inputs'!$H22)</f>
        <v>2740.5</v>
      </c>
      <c r="S25" s="163">
        <f>IF(S$20, 'General inputs'!$H17, 'General inputs'!$H22)</f>
        <v>2740.5</v>
      </c>
      <c r="T25" s="163">
        <f>IF(T$20, 'General inputs'!$H17, 'General inputs'!$H22)</f>
        <v>2740.5</v>
      </c>
      <c r="U25" s="163">
        <f>IF(U$20, 'General inputs'!$H17, 'General inputs'!$H22)</f>
        <v>2740.5</v>
      </c>
      <c r="V25" s="163">
        <f>IF(V$20, 'General inputs'!$H17, 'General inputs'!$H22)</f>
        <v>2740.5</v>
      </c>
      <c r="W25" s="163">
        <f>IF(W$20, 'General inputs'!$H17, 'General inputs'!$H22)</f>
        <v>2740.5</v>
      </c>
      <c r="X25" s="163">
        <f>IF(X$20, 'General inputs'!$H17, 'General inputs'!$H22)</f>
        <v>2740.5</v>
      </c>
      <c r="Y25" s="163">
        <f>IF(Y$20, 'General inputs'!$H17, 'General inputs'!$H22)</f>
        <v>2740.5</v>
      </c>
    </row>
    <row r="26" spans="3:27" x14ac:dyDescent="0.25">
      <c r="F26" s="96" t="s">
        <v>256</v>
      </c>
      <c r="G26" s="91" t="s">
        <v>146</v>
      </c>
      <c r="H26" s="214"/>
      <c r="I26" s="214"/>
      <c r="J26" s="168">
        <f>IF(J$20, 'General inputs'!$H18, 'General inputs'!$H23)</f>
        <v>5106</v>
      </c>
      <c r="K26" s="168">
        <f>IF(K$20, 'General inputs'!$H18, 'General inputs'!$H23)</f>
        <v>5106</v>
      </c>
      <c r="L26" s="168">
        <f>IF(L$20, 'General inputs'!$H18, 'General inputs'!$H23)</f>
        <v>5106</v>
      </c>
      <c r="M26" s="168">
        <f>IF(M$20, 'General inputs'!$H18, 'General inputs'!$H23)</f>
        <v>5106</v>
      </c>
      <c r="N26" s="168">
        <f>IF(N$20, 'General inputs'!$H18, 'General inputs'!$H23)</f>
        <v>5106</v>
      </c>
      <c r="O26" s="168">
        <f>IF(O$20, 'General inputs'!$H18, 'General inputs'!$H23)</f>
        <v>5106</v>
      </c>
      <c r="P26" s="168">
        <f>IF(P$20, 'General inputs'!$H18, 'General inputs'!$H23)</f>
        <v>5106</v>
      </c>
      <c r="Q26" s="168">
        <f>IF(Q$20, 'General inputs'!$H18, 'General inputs'!$H23)</f>
        <v>5106</v>
      </c>
      <c r="R26" s="168">
        <f>IF(R$20, 'General inputs'!$H18, 'General inputs'!$H23)</f>
        <v>5106</v>
      </c>
      <c r="S26" s="168">
        <f>IF(S$20, 'General inputs'!$H18, 'General inputs'!$H23)</f>
        <v>5106</v>
      </c>
      <c r="T26" s="168">
        <f>IF(T$20, 'General inputs'!$H18, 'General inputs'!$H23)</f>
        <v>5106</v>
      </c>
      <c r="U26" s="168">
        <f>IF(U$20, 'General inputs'!$H18, 'General inputs'!$H23)</f>
        <v>5106</v>
      </c>
      <c r="V26" s="168">
        <f>IF(V$20, 'General inputs'!$H18, 'General inputs'!$H23)</f>
        <v>5106</v>
      </c>
      <c r="W26" s="168">
        <f>IF(W$20, 'General inputs'!$H18, 'General inputs'!$H23)</f>
        <v>5106</v>
      </c>
      <c r="X26" s="168">
        <f>IF(X$20, 'General inputs'!$H18, 'General inputs'!$H23)</f>
        <v>5106</v>
      </c>
      <c r="Y26" s="168">
        <f>IF(Y$20, 'General inputs'!$H18, 'General inputs'!$H23)</f>
        <v>5106</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464</v>
      </c>
      <c r="J30" s="101"/>
      <c r="K30" s="101"/>
      <c r="L30" s="101"/>
      <c r="M30" s="101"/>
      <c r="N30" s="101"/>
      <c r="O30" s="101"/>
      <c r="P30" s="101"/>
      <c r="Q30" s="101"/>
      <c r="R30" s="101"/>
      <c r="S30" s="101"/>
      <c r="T30" s="101"/>
      <c r="U30" s="101"/>
      <c r="V30" s="101"/>
      <c r="W30" s="101"/>
      <c r="X30" s="101"/>
      <c r="Y30" s="101"/>
    </row>
    <row r="31" spans="3:27" x14ac:dyDescent="0.25">
      <c r="F31" s="93" t="s">
        <v>155</v>
      </c>
      <c r="G31" s="93" t="s">
        <v>206</v>
      </c>
      <c r="H31" s="90"/>
      <c r="I31" s="90"/>
      <c r="J31" s="167">
        <f>'Volume adjustments'!J238</f>
        <v>913454.1735418035</v>
      </c>
      <c r="K31" s="167">
        <f>'Volume adjustments'!K238</f>
        <v>268.80327538247229</v>
      </c>
      <c r="L31" s="167">
        <f>'Volume adjustments'!L238</f>
        <v>234812.50418576779</v>
      </c>
      <c r="M31" s="167">
        <f>'Volume adjustments'!M238</f>
        <v>523.63909182228326</v>
      </c>
      <c r="N31" s="167">
        <f>'Volume adjustments'!N238</f>
        <v>295924.51806394401</v>
      </c>
      <c r="O31" s="167">
        <f>'Volume adjustments'!O238</f>
        <v>56022.266892157502</v>
      </c>
      <c r="P31" s="167">
        <f>'Volume adjustments'!P238</f>
        <v>499707.76575794787</v>
      </c>
      <c r="Q31" s="167">
        <f>'Volume adjustments'!Q238</f>
        <v>7388.2340001917337</v>
      </c>
      <c r="R31" s="167">
        <f>'Volume adjustments'!R238</f>
        <v>20847.328278374502</v>
      </c>
      <c r="S31" s="167">
        <f>'Volume adjustments'!S238</f>
        <v>8.0310000000000006</v>
      </c>
      <c r="T31" s="167">
        <f>'Volume adjustments'!T238</f>
        <v>5924.0747999999994</v>
      </c>
      <c r="U31" s="167">
        <f>'Volume adjustments'!U238</f>
        <v>0</v>
      </c>
      <c r="V31" s="167">
        <f>'Volume adjustments'!V238</f>
        <v>1042.9018999999998</v>
      </c>
      <c r="W31" s="167">
        <f>'Volume adjustments'!W238</f>
        <v>0</v>
      </c>
      <c r="X31" s="167">
        <f>'Volume adjustments'!X238</f>
        <v>116165.3422</v>
      </c>
      <c r="Y31" s="167">
        <f>'Volume adjustments'!Y238</f>
        <v>0</v>
      </c>
    </row>
    <row r="32" spans="3:27" x14ac:dyDescent="0.25">
      <c r="F32" s="89" t="s">
        <v>156</v>
      </c>
      <c r="G32" s="89" t="s">
        <v>206</v>
      </c>
      <c r="J32" s="163">
        <f>'Volume adjustments'!J249</f>
        <v>2205334.3086330174</v>
      </c>
      <c r="K32" s="163">
        <f>'Volume adjustments'!K249</f>
        <v>3024.6701201283286</v>
      </c>
      <c r="L32" s="163">
        <f>'Volume adjustments'!L249</f>
        <v>843284.94774204772</v>
      </c>
      <c r="M32" s="163">
        <f>'Volume adjustments'!M249</f>
        <v>2996.7048058884111</v>
      </c>
      <c r="N32" s="163">
        <f>'Volume adjustments'!N249</f>
        <v>1058497.0242129595</v>
      </c>
      <c r="O32" s="163">
        <f>'Volume adjustments'!O249</f>
        <v>197577.11425691497</v>
      </c>
      <c r="P32" s="163">
        <f>'Volume adjustments'!P249</f>
        <v>1656173.2796076136</v>
      </c>
      <c r="Q32" s="163">
        <f>'Volume adjustments'!Q249</f>
        <v>30003.16690372517</v>
      </c>
      <c r="R32" s="163">
        <f>'Volume adjustments'!R249</f>
        <v>101581.4545087218</v>
      </c>
      <c r="S32" s="163">
        <f>'Volume adjustments'!S249</f>
        <v>28.257000000000001</v>
      </c>
      <c r="T32" s="163">
        <f>'Volume adjustments'!T249</f>
        <v>23928.992700000006</v>
      </c>
      <c r="U32" s="163">
        <f>'Volume adjustments'!U249</f>
        <v>0</v>
      </c>
      <c r="V32" s="163">
        <f>'Volume adjustments'!V249</f>
        <v>3317.8217</v>
      </c>
      <c r="W32" s="163">
        <f>'Volume adjustments'!W249</f>
        <v>0</v>
      </c>
      <c r="X32" s="163">
        <f>'Volume adjustments'!X249</f>
        <v>309734.76939999999</v>
      </c>
      <c r="Y32" s="163">
        <f>'Volume adjustments'!Y249</f>
        <v>0</v>
      </c>
    </row>
    <row r="33" spans="3:27" x14ac:dyDescent="0.25">
      <c r="F33" s="89" t="s">
        <v>157</v>
      </c>
      <c r="G33" s="89" t="s">
        <v>206</v>
      </c>
      <c r="J33" s="163">
        <f>'Volume adjustments'!J260</f>
        <v>3256274.7370705893</v>
      </c>
      <c r="K33" s="163">
        <f>'Volume adjustments'!K260</f>
        <v>7987.5995677611181</v>
      </c>
      <c r="L33" s="163">
        <f>'Volume adjustments'!L260</f>
        <v>955571.80550490611</v>
      </c>
      <c r="M33" s="163">
        <f>'Volume adjustments'!M260</f>
        <v>8901.6348585294018</v>
      </c>
      <c r="N33" s="163">
        <f>'Volume adjustments'!N260</f>
        <v>1156815.3423758852</v>
      </c>
      <c r="O33" s="163">
        <f>'Volume adjustments'!O260</f>
        <v>236351.47612877822</v>
      </c>
      <c r="P33" s="163">
        <f>'Volume adjustments'!P260</f>
        <v>2322816.9029806675</v>
      </c>
      <c r="Q33" s="163">
        <f>'Volume adjustments'!Q260</f>
        <v>99744.809527368328</v>
      </c>
      <c r="R33" s="163">
        <f>'Volume adjustments'!R260</f>
        <v>58048.115445790958</v>
      </c>
      <c r="S33" s="163">
        <f>'Volume adjustments'!S260</f>
        <v>18.324999999999999</v>
      </c>
      <c r="T33" s="163">
        <f>'Volume adjustments'!T260</f>
        <v>26057.122299999999</v>
      </c>
      <c r="U33" s="163">
        <f>'Volume adjustments'!U260</f>
        <v>0</v>
      </c>
      <c r="V33" s="163">
        <f>'Volume adjustments'!V260</f>
        <v>5561.4861000000001</v>
      </c>
      <c r="W33" s="163">
        <f>'Volume adjustments'!W260</f>
        <v>0</v>
      </c>
      <c r="X33" s="163">
        <f>'Volume adjustments'!X260</f>
        <v>382550.29730000003</v>
      </c>
      <c r="Y33" s="163">
        <f>'Volume adjustments'!Y260</f>
        <v>0</v>
      </c>
    </row>
    <row r="34" spans="3:27" x14ac:dyDescent="0.25">
      <c r="F34" s="215" t="s">
        <v>452</v>
      </c>
      <c r="G34" s="215" t="s">
        <v>206</v>
      </c>
      <c r="H34" s="151"/>
      <c r="I34" s="151"/>
      <c r="J34" s="216">
        <f t="shared" ref="J34:Y34" si="0">SUM(J31:J33)</f>
        <v>6375063.2192454096</v>
      </c>
      <c r="K34" s="216">
        <f t="shared" si="0"/>
        <v>11281.072963271919</v>
      </c>
      <c r="L34" s="216">
        <f t="shared" si="0"/>
        <v>2033669.2574327216</v>
      </c>
      <c r="M34" s="216">
        <f t="shared" si="0"/>
        <v>12421.978756240096</v>
      </c>
      <c r="N34" s="216">
        <f t="shared" si="0"/>
        <v>2511236.8846527888</v>
      </c>
      <c r="O34" s="216">
        <f t="shared" si="0"/>
        <v>489950.85727785068</v>
      </c>
      <c r="P34" s="216">
        <f t="shared" si="0"/>
        <v>4478697.9483462293</v>
      </c>
      <c r="Q34" s="216">
        <f t="shared" si="0"/>
        <v>137136.21043128523</v>
      </c>
      <c r="R34" s="216">
        <f t="shared" si="0"/>
        <v>180476.89823288727</v>
      </c>
      <c r="S34" s="216">
        <f t="shared" si="0"/>
        <v>54.613</v>
      </c>
      <c r="T34" s="216">
        <f t="shared" si="0"/>
        <v>55910.189800000007</v>
      </c>
      <c r="U34" s="216">
        <f t="shared" si="0"/>
        <v>0</v>
      </c>
      <c r="V34" s="216">
        <f t="shared" si="0"/>
        <v>9922.2096999999994</v>
      </c>
      <c r="W34" s="216">
        <f t="shared" si="0"/>
        <v>0</v>
      </c>
      <c r="X34" s="216">
        <f t="shared" si="0"/>
        <v>808450.40890000004</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842</v>
      </c>
      <c r="F38" s="89"/>
      <c r="G38" s="89" t="s">
        <v>148</v>
      </c>
      <c r="I38" t="s">
        <v>153</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854</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843</v>
      </c>
      <c r="J40" s="101"/>
      <c r="K40" s="101"/>
      <c r="L40" s="101"/>
      <c r="M40" s="101"/>
      <c r="N40" s="101"/>
      <c r="O40" s="101"/>
      <c r="P40" s="101"/>
      <c r="Q40" s="101"/>
      <c r="R40" s="101"/>
      <c r="S40" s="101"/>
      <c r="T40" s="101"/>
      <c r="U40" s="101"/>
      <c r="V40" s="101"/>
      <c r="W40" s="101"/>
      <c r="X40" s="101"/>
      <c r="Y40" s="101"/>
    </row>
    <row r="41" spans="3:27" x14ac:dyDescent="0.25">
      <c r="E41" s="71" t="s">
        <v>461</v>
      </c>
    </row>
    <row r="42" spans="3:27" x14ac:dyDescent="0.25">
      <c r="F42" s="93" t="s">
        <v>462</v>
      </c>
      <c r="G42" s="93" t="s">
        <v>166</v>
      </c>
      <c r="H42" s="90"/>
      <c r="I42" s="90"/>
      <c r="J42" s="196">
        <f t="shared" ref="J42:P44" si="1">SUMIF($J$38:$Y$38, J$38, $J31:$Y31) / SUMIF($J$38:$Y$38, J$38, $J$34:$Y$34)</f>
        <v>0.1430744937963844</v>
      </c>
      <c r="K42" s="196">
        <f t="shared" si="1"/>
        <v>0.1430744937963844</v>
      </c>
      <c r="L42" s="196">
        <f t="shared" si="1"/>
        <v>0.11501742401083047</v>
      </c>
      <c r="M42" s="196">
        <f t="shared" si="1"/>
        <v>0.11501742401083047</v>
      </c>
      <c r="N42" s="196">
        <f t="shared" si="1"/>
        <v>0.11784014477983404</v>
      </c>
      <c r="O42" s="196">
        <f t="shared" si="1"/>
        <v>0.11434262448976046</v>
      </c>
      <c r="P42" s="196">
        <f t="shared" si="1"/>
        <v>0.11157433957841838</v>
      </c>
      <c r="Q42" s="219"/>
      <c r="R42" s="219"/>
      <c r="S42" s="219"/>
      <c r="T42" s="219"/>
      <c r="U42" s="219"/>
      <c r="V42" s="219"/>
      <c r="W42" s="219"/>
      <c r="X42" s="219"/>
      <c r="Y42" s="219"/>
    </row>
    <row r="43" spans="3:27" x14ac:dyDescent="0.25">
      <c r="F43" s="89" t="s">
        <v>463</v>
      </c>
      <c r="G43" s="89" t="s">
        <v>166</v>
      </c>
      <c r="J43" s="188">
        <f t="shared" si="1"/>
        <v>0.34579391240264579</v>
      </c>
      <c r="K43" s="188">
        <f t="shared" si="1"/>
        <v>0.34579391240264579</v>
      </c>
      <c r="L43" s="188">
        <f t="shared" si="1"/>
        <v>0.41360895231838035</v>
      </c>
      <c r="M43" s="188">
        <f t="shared" si="1"/>
        <v>0.41360895231838035</v>
      </c>
      <c r="N43" s="188">
        <f t="shared" si="1"/>
        <v>0.42150425182183099</v>
      </c>
      <c r="O43" s="188">
        <f t="shared" si="1"/>
        <v>0.40325904388584255</v>
      </c>
      <c r="P43" s="188">
        <f t="shared" si="1"/>
        <v>0.36978900982129409</v>
      </c>
      <c r="Q43" s="98"/>
      <c r="R43" s="98"/>
      <c r="S43" s="98"/>
      <c r="T43" s="98"/>
      <c r="U43" s="98"/>
      <c r="V43" s="98"/>
      <c r="W43" s="98"/>
      <c r="X43" s="98"/>
      <c r="Y43" s="98"/>
    </row>
    <row r="44" spans="3:27" x14ac:dyDescent="0.25">
      <c r="F44" s="96" t="s">
        <v>256</v>
      </c>
      <c r="G44" s="96" t="s">
        <v>166</v>
      </c>
      <c r="H44" s="91"/>
      <c r="I44" s="91"/>
      <c r="J44" s="197">
        <f t="shared" si="1"/>
        <v>0.51113159380096984</v>
      </c>
      <c r="K44" s="197">
        <f t="shared" si="1"/>
        <v>0.51113159380096984</v>
      </c>
      <c r="L44" s="197">
        <f t="shared" si="1"/>
        <v>0.47137362367078922</v>
      </c>
      <c r="M44" s="197">
        <f t="shared" si="1"/>
        <v>0.47137362367078922</v>
      </c>
      <c r="N44" s="197">
        <f t="shared" si="1"/>
        <v>0.46065560339833495</v>
      </c>
      <c r="O44" s="197">
        <f t="shared" si="1"/>
        <v>0.48239833162439699</v>
      </c>
      <c r="P44" s="197">
        <f t="shared" si="1"/>
        <v>0.51863665060028741</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844</v>
      </c>
      <c r="F46" s="89"/>
      <c r="G46" s="89"/>
    </row>
    <row r="47" spans="3:27" x14ac:dyDescent="0.25">
      <c r="E47" s="71" t="s">
        <v>461</v>
      </c>
    </row>
    <row r="48" spans="3:27" x14ac:dyDescent="0.25">
      <c r="F48" s="93" t="s">
        <v>462</v>
      </c>
      <c r="G48" s="93" t="s">
        <v>166</v>
      </c>
      <c r="H48" s="90"/>
      <c r="I48" s="90"/>
      <c r="J48" s="196">
        <f>IF(ISNUMBER(J$38), J42, IF(J$34 = 0, 0, J31 / J$34))</f>
        <v>0.1430744937963844</v>
      </c>
      <c r="K48" s="196">
        <f t="shared" ref="K48:Y48" si="2">IF(ISNUMBER(K$38), K42, IF(K$34 = 0, 0, K31 / K$34))</f>
        <v>0.1430744937963844</v>
      </c>
      <c r="L48" s="196">
        <f t="shared" si="2"/>
        <v>0.11501742401083047</v>
      </c>
      <c r="M48" s="196">
        <f t="shared" si="2"/>
        <v>0.11501742401083047</v>
      </c>
      <c r="N48" s="196">
        <f t="shared" si="2"/>
        <v>0.11784014477983404</v>
      </c>
      <c r="O48" s="196">
        <f t="shared" si="2"/>
        <v>0.11434262448976046</v>
      </c>
      <c r="P48" s="196">
        <f t="shared" si="2"/>
        <v>0.11157433957841838</v>
      </c>
      <c r="Q48" s="196">
        <f t="shared" si="2"/>
        <v>5.3875150676514806E-2</v>
      </c>
      <c r="R48" s="196">
        <f t="shared" si="2"/>
        <v>0.1155124477564609</v>
      </c>
      <c r="S48" s="196">
        <f t="shared" si="2"/>
        <v>0.14705289949279476</v>
      </c>
      <c r="T48" s="196">
        <f t="shared" si="2"/>
        <v>0.10595697888330186</v>
      </c>
      <c r="U48" s="196">
        <f t="shared" si="2"/>
        <v>0</v>
      </c>
      <c r="V48" s="196">
        <f t="shared" si="2"/>
        <v>0.10510782693899323</v>
      </c>
      <c r="W48" s="196">
        <f t="shared" si="2"/>
        <v>0</v>
      </c>
      <c r="X48" s="196">
        <f t="shared" si="2"/>
        <v>0.14368889040214325</v>
      </c>
      <c r="Y48" s="196">
        <f t="shared" si="2"/>
        <v>0</v>
      </c>
    </row>
    <row r="49" spans="2:27" x14ac:dyDescent="0.25">
      <c r="F49" s="89" t="s">
        <v>463</v>
      </c>
      <c r="G49" s="89" t="s">
        <v>166</v>
      </c>
      <c r="J49" s="188">
        <f t="shared" ref="J49:Y49" si="3">IF(ISNUMBER(J$38), J43, IF(J$34 = 0, 0, J32 / J$34))</f>
        <v>0.34579391240264579</v>
      </c>
      <c r="K49" s="188">
        <f t="shared" si="3"/>
        <v>0.34579391240264579</v>
      </c>
      <c r="L49" s="188">
        <f t="shared" si="3"/>
        <v>0.41360895231838035</v>
      </c>
      <c r="M49" s="188">
        <f t="shared" si="3"/>
        <v>0.41360895231838035</v>
      </c>
      <c r="N49" s="188">
        <f t="shared" si="3"/>
        <v>0.42150425182183099</v>
      </c>
      <c r="O49" s="188">
        <f t="shared" si="3"/>
        <v>0.40325904388584255</v>
      </c>
      <c r="P49" s="188">
        <f t="shared" si="3"/>
        <v>0.36978900982129409</v>
      </c>
      <c r="Q49" s="188">
        <f t="shared" si="3"/>
        <v>0.2187836954905418</v>
      </c>
      <c r="R49" s="188">
        <f t="shared" si="3"/>
        <v>0.56285017918271818</v>
      </c>
      <c r="S49" s="188">
        <f t="shared" si="3"/>
        <v>0.51740428103198877</v>
      </c>
      <c r="T49" s="188">
        <f t="shared" si="3"/>
        <v>0.4279898312918981</v>
      </c>
      <c r="U49" s="188">
        <f t="shared" si="3"/>
        <v>0</v>
      </c>
      <c r="V49" s="188">
        <f t="shared" si="3"/>
        <v>0.3343833480963419</v>
      </c>
      <c r="W49" s="188">
        <f t="shared" si="3"/>
        <v>0</v>
      </c>
      <c r="X49" s="188">
        <f t="shared" si="3"/>
        <v>0.38312154461203585</v>
      </c>
      <c r="Y49" s="188">
        <f t="shared" si="3"/>
        <v>0</v>
      </c>
    </row>
    <row r="50" spans="2:27" x14ac:dyDescent="0.25">
      <c r="F50" s="96" t="s">
        <v>256</v>
      </c>
      <c r="G50" s="96" t="s">
        <v>166</v>
      </c>
      <c r="H50" s="91"/>
      <c r="I50" s="91"/>
      <c r="J50" s="197">
        <f t="shared" ref="J50:Y50" si="4">IF(ISNUMBER(J$38), J44, IF(J$34 = 0, 0, J33 / J$34))</f>
        <v>0.51113159380096984</v>
      </c>
      <c r="K50" s="197">
        <f t="shared" si="4"/>
        <v>0.51113159380096984</v>
      </c>
      <c r="L50" s="197">
        <f t="shared" si="4"/>
        <v>0.47137362367078922</v>
      </c>
      <c r="M50" s="197">
        <f t="shared" si="4"/>
        <v>0.47137362367078922</v>
      </c>
      <c r="N50" s="197">
        <f t="shared" si="4"/>
        <v>0.46065560339833495</v>
      </c>
      <c r="O50" s="197">
        <f t="shared" si="4"/>
        <v>0.48239833162439699</v>
      </c>
      <c r="P50" s="197">
        <f t="shared" si="4"/>
        <v>0.51863665060028741</v>
      </c>
      <c r="Q50" s="197">
        <f t="shared" si="4"/>
        <v>0.7273411538329434</v>
      </c>
      <c r="R50" s="197">
        <f t="shared" si="4"/>
        <v>0.32163737306082085</v>
      </c>
      <c r="S50" s="197">
        <f t="shared" si="4"/>
        <v>0.33554281947521652</v>
      </c>
      <c r="T50" s="197">
        <f t="shared" si="4"/>
        <v>0.46605318982479998</v>
      </c>
      <c r="U50" s="197">
        <f t="shared" si="4"/>
        <v>0</v>
      </c>
      <c r="V50" s="197">
        <f t="shared" si="4"/>
        <v>0.56050882496466492</v>
      </c>
      <c r="W50" s="197">
        <f t="shared" si="4"/>
        <v>0</v>
      </c>
      <c r="X50" s="197">
        <f t="shared" si="4"/>
        <v>0.47318956498582088</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465</v>
      </c>
      <c r="G54" t="s">
        <v>282</v>
      </c>
      <c r="H54" s="101"/>
      <c r="I54" s="101"/>
      <c r="J54" s="101">
        <f t="shared" ref="J54:Y54" si="5">J48 * hours_in_year / J24</f>
        <v>1.3720115661262478</v>
      </c>
      <c r="K54" s="101">
        <f t="shared" si="5"/>
        <v>1.3720115661262478</v>
      </c>
      <c r="L54" s="101">
        <f t="shared" si="5"/>
        <v>1.1029585488066502</v>
      </c>
      <c r="M54" s="101">
        <f t="shared" si="5"/>
        <v>1.1029585488066502</v>
      </c>
      <c r="N54" s="101">
        <f t="shared" si="5"/>
        <v>1.1300270041284579</v>
      </c>
      <c r="O54" s="101">
        <f t="shared" si="5"/>
        <v>1.0964875648935979</v>
      </c>
      <c r="P54" s="101">
        <f t="shared" si="5"/>
        <v>1.0699411217372139</v>
      </c>
      <c r="Q54" s="101">
        <f t="shared" si="5"/>
        <v>1.5863741846261168</v>
      </c>
      <c r="R54" s="101">
        <f t="shared" si="5"/>
        <v>1.1077055745447153</v>
      </c>
      <c r="S54" s="101">
        <f t="shared" si="5"/>
        <v>1.4101624516222024</v>
      </c>
      <c r="T54" s="101">
        <f t="shared" si="5"/>
        <v>1.0160734920828947</v>
      </c>
      <c r="U54" s="101">
        <f t="shared" si="5"/>
        <v>0</v>
      </c>
      <c r="V54" s="101">
        <f t="shared" si="5"/>
        <v>1.0079305571818071</v>
      </c>
      <c r="W54" s="101">
        <f t="shared" si="5"/>
        <v>0</v>
      </c>
      <c r="X54" s="101">
        <f t="shared" si="5"/>
        <v>1.3779033168284345</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466</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467</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240</v>
      </c>
      <c r="G62" s="89" t="s">
        <v>166</v>
      </c>
      <c r="J62" s="150">
        <f>'Inputs by customer type'!J15</f>
        <v>0.44180020285437083</v>
      </c>
      <c r="K62" s="150">
        <f>'Inputs by customer type'!K15</f>
        <v>0.24867302833153104</v>
      </c>
      <c r="L62" s="150">
        <f>'Inputs by customer type'!L15</f>
        <v>0.43243566659353516</v>
      </c>
      <c r="M62" s="150">
        <f>'Inputs by customer type'!M15</f>
        <v>0.33384136002534986</v>
      </c>
      <c r="N62" s="150">
        <f>'Inputs by customer type'!N15</f>
        <v>0.51508595276019253</v>
      </c>
      <c r="O62" s="150">
        <f>'Inputs by customer type'!O15</f>
        <v>0.56960100717297635</v>
      </c>
      <c r="P62" s="150">
        <f>'Inputs by customer type'!P15</f>
        <v>0.71494018227343137</v>
      </c>
      <c r="Q62" s="150">
        <f>'Inputs by customer type'!Q15</f>
        <v>0.50202494227628447</v>
      </c>
      <c r="R62" s="98"/>
      <c r="S62" s="98"/>
      <c r="T62" s="98"/>
      <c r="U62" s="98"/>
      <c r="V62" s="98"/>
      <c r="W62" s="98"/>
      <c r="X62" s="98"/>
      <c r="Y62" s="98"/>
    </row>
    <row r="63" spans="2:27" x14ac:dyDescent="0.25">
      <c r="E63" s="89" t="s">
        <v>242</v>
      </c>
      <c r="G63" s="89" t="s">
        <v>166</v>
      </c>
      <c r="J63" s="150">
        <f>'Inputs by customer type'!J16</f>
        <v>0.82102624852029582</v>
      </c>
      <c r="K63" s="98"/>
      <c r="L63" s="150">
        <f>'Inputs by customer type'!L16</f>
        <v>0.78668947772858921</v>
      </c>
      <c r="M63" s="98"/>
      <c r="N63" s="150">
        <f>'Inputs by customer type'!N16</f>
        <v>0.79167979726490179</v>
      </c>
      <c r="O63" s="150">
        <f>'Inputs by customer type'!O16</f>
        <v>0.79256163631083032</v>
      </c>
      <c r="P63" s="150">
        <f>'Inputs by customer type'!P16</f>
        <v>0.84626631056599422</v>
      </c>
      <c r="Q63" s="150">
        <f>'Inputs by customer type'!Q16</f>
        <v>0.92981400090687938</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845</v>
      </c>
      <c r="E67" s="89"/>
      <c r="F67" s="89"/>
      <c r="G67" s="89"/>
    </row>
    <row r="68" spans="3:27" x14ac:dyDescent="0.25">
      <c r="D68" s="60"/>
      <c r="E68" s="89"/>
      <c r="F68" s="89"/>
      <c r="G68" s="89"/>
    </row>
    <row r="69" spans="3:27" x14ac:dyDescent="0.25">
      <c r="D69" s="60"/>
      <c r="E69" s="89" t="s">
        <v>846</v>
      </c>
      <c r="F69" s="89"/>
      <c r="G69" s="89" t="s">
        <v>171</v>
      </c>
      <c r="J69" s="101">
        <f t="shared" ref="J69:P69" si="6">J34 / hours_in_year</f>
        <v>727.74694283623398</v>
      </c>
      <c r="K69" s="101">
        <f t="shared" si="6"/>
        <v>1.2877937172684839</v>
      </c>
      <c r="L69" s="101">
        <f t="shared" si="6"/>
        <v>232.15402482108695</v>
      </c>
      <c r="M69" s="101">
        <f t="shared" si="6"/>
        <v>1.4180341045936182</v>
      </c>
      <c r="N69" s="101">
        <f t="shared" si="6"/>
        <v>286.67087724346902</v>
      </c>
      <c r="O69" s="101">
        <f t="shared" si="6"/>
        <v>55.930463159571993</v>
      </c>
      <c r="P69" s="101">
        <f t="shared" si="6"/>
        <v>511.26688908061976</v>
      </c>
      <c r="Q69" s="218"/>
      <c r="R69" s="218"/>
      <c r="S69" s="218"/>
      <c r="T69" s="218"/>
      <c r="U69" s="218"/>
      <c r="V69" s="218"/>
      <c r="W69" s="218"/>
      <c r="X69" s="218"/>
      <c r="Y69" s="218"/>
    </row>
    <row r="70" spans="3:27" x14ac:dyDescent="0.25">
      <c r="D70" s="60"/>
      <c r="E70" s="89"/>
      <c r="F70" s="89"/>
      <c r="G70" s="89"/>
    </row>
    <row r="71" spans="3:27" x14ac:dyDescent="0.25">
      <c r="D71" s="60"/>
      <c r="E71" s="89" t="s">
        <v>468</v>
      </c>
      <c r="F71" s="89"/>
      <c r="G71" s="89" t="s">
        <v>171</v>
      </c>
      <c r="J71" s="101">
        <f t="shared" ref="J71:P71" si="7">IF(J62 = 0, 0, J34 / (J62 * hours_in_year))</f>
        <v>1647.2308933640732</v>
      </c>
      <c r="K71" s="101">
        <f t="shared" si="7"/>
        <v>5.1786626234011859</v>
      </c>
      <c r="L71" s="101">
        <f t="shared" si="7"/>
        <v>536.85216728271973</v>
      </c>
      <c r="M71" s="101">
        <f t="shared" si="7"/>
        <v>4.2476285876799134</v>
      </c>
      <c r="N71" s="101">
        <f t="shared" si="7"/>
        <v>556.54959275686895</v>
      </c>
      <c r="O71" s="101">
        <f t="shared" si="7"/>
        <v>98.192352989620034</v>
      </c>
      <c r="P71" s="101">
        <f t="shared" si="7"/>
        <v>715.11841375994163</v>
      </c>
      <c r="Q71" s="218"/>
      <c r="R71" s="218"/>
      <c r="S71" s="218"/>
      <c r="T71" s="218"/>
      <c r="U71" s="218"/>
      <c r="V71" s="218"/>
      <c r="W71" s="218"/>
      <c r="X71" s="218"/>
      <c r="Y71" s="218"/>
    </row>
    <row r="72" spans="3:27" x14ac:dyDescent="0.25">
      <c r="D72" s="60"/>
      <c r="E72" s="89"/>
      <c r="F72" s="89"/>
      <c r="G72" s="89"/>
    </row>
    <row r="73" spans="3:27" x14ac:dyDescent="0.25">
      <c r="D73" s="60"/>
      <c r="E73" s="89" t="s">
        <v>847</v>
      </c>
      <c r="F73" s="89"/>
      <c r="G73" s="89" t="s">
        <v>171</v>
      </c>
      <c r="J73" s="101">
        <f>J71 * J63</f>
        <v>1352.4198008254405</v>
      </c>
      <c r="K73" s="101">
        <f t="shared" ref="K73:M73" si="8">K71 * K63</f>
        <v>0</v>
      </c>
      <c r="L73" s="101">
        <f t="shared" si="8"/>
        <v>422.33595109710399</v>
      </c>
      <c r="M73" s="101">
        <f t="shared" si="8"/>
        <v>0</v>
      </c>
      <c r="N73" s="101">
        <f t="shared" ref="N73:P73" si="9">N71 * N63</f>
        <v>440.60906876162164</v>
      </c>
      <c r="O73" s="101">
        <f t="shared" si="9"/>
        <v>77.823491958663908</v>
      </c>
      <c r="P73" s="101">
        <f t="shared" si="9"/>
        <v>605.18062163043192</v>
      </c>
      <c r="Q73" s="218"/>
      <c r="R73" s="218"/>
      <c r="S73" s="218"/>
      <c r="T73" s="218"/>
      <c r="U73" s="218"/>
      <c r="V73" s="218"/>
      <c r="W73" s="218"/>
      <c r="X73" s="218"/>
      <c r="Y73" s="218"/>
    </row>
    <row r="74" spans="3:27" x14ac:dyDescent="0.25">
      <c r="D74" s="60"/>
      <c r="E74" s="89"/>
      <c r="F74" s="89"/>
      <c r="G74" s="89"/>
    </row>
    <row r="75" spans="3:27" x14ac:dyDescent="0.25">
      <c r="D75" s="60" t="s">
        <v>848</v>
      </c>
      <c r="E75" s="89"/>
      <c r="F75" s="89"/>
      <c r="G75" s="89"/>
    </row>
    <row r="76" spans="3:27" x14ac:dyDescent="0.25">
      <c r="D76" s="60"/>
      <c r="E76" s="89"/>
      <c r="F76" s="89"/>
      <c r="G76" s="89"/>
    </row>
    <row r="77" spans="3:27" x14ac:dyDescent="0.25">
      <c r="D77" s="60"/>
      <c r="E77" s="89" t="s">
        <v>240</v>
      </c>
      <c r="F77" s="89"/>
      <c r="G77" s="89" t="s">
        <v>166</v>
      </c>
      <c r="J77" s="188">
        <f t="shared" ref="J77:P77" si="10">SUMIF($J$38:$Y$38, J$38, $J$69:$Y$69) / SUMIF($J$38:$Y$38, J$38, $J$71:$Y$71)</f>
        <v>0.44119494099502099</v>
      </c>
      <c r="K77" s="188">
        <f t="shared" si="10"/>
        <v>0.44119494099502099</v>
      </c>
      <c r="L77" s="188">
        <f t="shared" si="10"/>
        <v>0.43166170216339178</v>
      </c>
      <c r="M77" s="188">
        <f t="shared" si="10"/>
        <v>0.43166170216339178</v>
      </c>
      <c r="N77" s="188">
        <f t="shared" si="10"/>
        <v>0.51508595276019253</v>
      </c>
      <c r="O77" s="188">
        <f t="shared" si="10"/>
        <v>0.56960100717297646</v>
      </c>
      <c r="P77" s="188">
        <f t="shared" si="10"/>
        <v>0.71494018227343137</v>
      </c>
      <c r="Q77" s="218"/>
      <c r="R77" s="218"/>
      <c r="S77" s="218"/>
      <c r="T77" s="218"/>
      <c r="U77" s="218"/>
      <c r="V77" s="218"/>
      <c r="W77" s="218"/>
      <c r="X77" s="218"/>
      <c r="Y77" s="218"/>
    </row>
    <row r="78" spans="3:27" x14ac:dyDescent="0.25">
      <c r="D78" s="60"/>
      <c r="E78" s="89"/>
      <c r="F78" s="89"/>
      <c r="G78" s="89"/>
    </row>
    <row r="79" spans="3:27" x14ac:dyDescent="0.25">
      <c r="D79" s="60"/>
      <c r="E79" s="89" t="s">
        <v>242</v>
      </c>
      <c r="F79" s="89"/>
      <c r="G79" s="89" t="s">
        <v>166</v>
      </c>
      <c r="J79" s="188">
        <f t="shared" ref="J79:P79" si="11">SUMIF($J$38:$Y$38, J$38, $J$73:$Y$73) / SUMIF($J$38:$Y$38, J$38, $J$71:$Y$71)</f>
        <v>0.81845314675467307</v>
      </c>
      <c r="K79" s="188">
        <f t="shared" si="11"/>
        <v>0.81845314675467307</v>
      </c>
      <c r="L79" s="188">
        <f t="shared" si="11"/>
        <v>0.7805139723213993</v>
      </c>
      <c r="M79" s="188">
        <f t="shared" si="11"/>
        <v>0.7805139723213993</v>
      </c>
      <c r="N79" s="188">
        <f t="shared" si="11"/>
        <v>0.79167979726490179</v>
      </c>
      <c r="O79" s="188">
        <f t="shared" si="11"/>
        <v>0.79256163631083032</v>
      </c>
      <c r="P79" s="188">
        <f t="shared" si="11"/>
        <v>0.84626631056599422</v>
      </c>
      <c r="Q79" s="218"/>
      <c r="R79" s="218"/>
      <c r="S79" s="218"/>
      <c r="T79" s="218"/>
      <c r="U79" s="218"/>
      <c r="V79" s="218"/>
      <c r="W79" s="218"/>
      <c r="X79" s="218"/>
      <c r="Y79" s="218"/>
    </row>
    <row r="80" spans="3:27" x14ac:dyDescent="0.25">
      <c r="D80" s="60"/>
      <c r="E80" s="89"/>
      <c r="F80" s="89"/>
      <c r="G80" s="89"/>
    </row>
    <row r="81" spans="2:27" x14ac:dyDescent="0.25">
      <c r="D81" s="60" t="s">
        <v>849</v>
      </c>
      <c r="E81" s="89"/>
      <c r="F81" s="89"/>
      <c r="G81" s="89"/>
    </row>
    <row r="82" spans="2:27" x14ac:dyDescent="0.25">
      <c r="D82" s="89"/>
      <c r="E82" s="89"/>
      <c r="F82" s="89"/>
      <c r="G82" s="89"/>
    </row>
    <row r="83" spans="2:27" x14ac:dyDescent="0.25">
      <c r="D83" s="89"/>
      <c r="E83" s="89" t="s">
        <v>240</v>
      </c>
      <c r="F83" s="89"/>
      <c r="G83" s="89" t="s">
        <v>166</v>
      </c>
      <c r="J83" s="188">
        <f>IF(J$38 = 0, J62, J77)</f>
        <v>0.44119494099502099</v>
      </c>
      <c r="K83" s="188">
        <f t="shared" ref="K83:Y83" si="12">IF(K$38 = 0, K62, K77)</f>
        <v>0.44119494099502099</v>
      </c>
      <c r="L83" s="188">
        <f t="shared" si="12"/>
        <v>0.43166170216339178</v>
      </c>
      <c r="M83" s="188">
        <f>IF(M$38 = 0, M62, M77)</f>
        <v>0.43166170216339178</v>
      </c>
      <c r="N83" s="188">
        <f t="shared" si="12"/>
        <v>0.51508595276019253</v>
      </c>
      <c r="O83" s="188">
        <f t="shared" si="12"/>
        <v>0.56960100717297646</v>
      </c>
      <c r="P83" s="188">
        <f t="shared" si="12"/>
        <v>0.71494018227343137</v>
      </c>
      <c r="Q83" s="188">
        <f t="shared" si="12"/>
        <v>0.50202494227628447</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242</v>
      </c>
      <c r="F85" s="89"/>
      <c r="G85" s="89" t="s">
        <v>166</v>
      </c>
      <c r="J85" s="188">
        <f>IF(J38 = 0, J63, J79)</f>
        <v>0.81845314675467307</v>
      </c>
      <c r="K85" s="188">
        <f t="shared" ref="K85:Y85" si="13">IF(K38 = 0, K63, K79)</f>
        <v>0.81845314675467307</v>
      </c>
      <c r="L85" s="188">
        <f t="shared" si="13"/>
        <v>0.7805139723213993</v>
      </c>
      <c r="M85" s="188">
        <f t="shared" si="13"/>
        <v>0.7805139723213993</v>
      </c>
      <c r="N85" s="188">
        <f t="shared" si="13"/>
        <v>0.79167979726490179</v>
      </c>
      <c r="O85" s="188">
        <f t="shared" si="13"/>
        <v>0.79256163631083032</v>
      </c>
      <c r="P85" s="188">
        <f t="shared" si="13"/>
        <v>0.84626631056599422</v>
      </c>
      <c r="Q85" s="188">
        <f t="shared" si="13"/>
        <v>0.92981400090687938</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469</v>
      </c>
      <c r="G89" s="89" t="s">
        <v>282</v>
      </c>
      <c r="J89" s="101">
        <f t="shared" ref="J89:Y89" si="14">IF(AND(J62 = 0, J63 = 0), 1, J63 / J62)</f>
        <v>1.8583654856105352</v>
      </c>
      <c r="K89" s="101">
        <f t="shared" si="14"/>
        <v>0</v>
      </c>
      <c r="L89" s="101">
        <f t="shared" si="14"/>
        <v>1.8192058114115559</v>
      </c>
      <c r="M89" s="101">
        <f t="shared" si="14"/>
        <v>0</v>
      </c>
      <c r="N89" s="101">
        <f t="shared" si="14"/>
        <v>1.5369858040634288</v>
      </c>
      <c r="O89" s="101">
        <f t="shared" si="14"/>
        <v>1.3914329966592656</v>
      </c>
      <c r="P89" s="101">
        <f t="shared" si="14"/>
        <v>1.183688274276262</v>
      </c>
      <c r="Q89" s="101">
        <f t="shared" si="14"/>
        <v>1.8521271008785165</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850</v>
      </c>
      <c r="G91" s="89" t="s">
        <v>282</v>
      </c>
      <c r="I91" t="s">
        <v>153</v>
      </c>
      <c r="J91" s="101">
        <f>IF(AND(J83 = 0, J85 = 0), 1, J85 / J83)</f>
        <v>1.8550828006069759</v>
      </c>
      <c r="K91" s="101">
        <f t="shared" ref="K91:Y91" si="15">IF(AND(K83 = 0, K85 = 0), 1, K85 / K83)</f>
        <v>1.8550828006069759</v>
      </c>
      <c r="L91" s="101">
        <f t="shared" si="15"/>
        <v>1.8081612716848356</v>
      </c>
      <c r="M91" s="101">
        <f t="shared" si="15"/>
        <v>1.8081612716848356</v>
      </c>
      <c r="N91" s="101">
        <f>IF(AND(N83 = 0, N85 = 0), 1, N85 / N83)</f>
        <v>1.5369858040634288</v>
      </c>
      <c r="O91" s="101">
        <f t="shared" si="15"/>
        <v>1.3914329966592653</v>
      </c>
      <c r="P91" s="101">
        <f t="shared" si="15"/>
        <v>1.183688274276262</v>
      </c>
      <c r="Q91" s="101">
        <f t="shared" si="15"/>
        <v>1.8521271008785165</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854</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470</v>
      </c>
      <c r="G93" s="89" t="s">
        <v>282</v>
      </c>
      <c r="I93" t="s">
        <v>153</v>
      </c>
      <c r="J93" s="101">
        <f>IF(OR(J54 = 0, J85 = 0), 1, J91 / J54)</f>
        <v>1.3520897683425781</v>
      </c>
      <c r="K93" s="101">
        <f t="shared" ref="K93:Y93" si="16">IF(OR(K54 = 0, K85 = 0), 1, K91 / K54)</f>
        <v>1.3520897683425781</v>
      </c>
      <c r="L93" s="101">
        <f t="shared" si="16"/>
        <v>1.6393737313529886</v>
      </c>
      <c r="M93" s="101">
        <f t="shared" si="16"/>
        <v>1.6393737313529886</v>
      </c>
      <c r="N93" s="101">
        <f>IF(OR(N54 = 0, N85 = 0), 1, N91 / N54)</f>
        <v>1.3601319246780663</v>
      </c>
      <c r="O93" s="101">
        <f t="shared" si="16"/>
        <v>1.2689911324204473</v>
      </c>
      <c r="P93" s="101">
        <f t="shared" si="16"/>
        <v>1.1063115999825879</v>
      </c>
      <c r="Q93" s="101">
        <f t="shared" si="16"/>
        <v>1.1675222143853996</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471</v>
      </c>
    </row>
    <row r="94" spans="2:27" x14ac:dyDescent="0.25">
      <c r="F94" s="89"/>
      <c r="G94" s="89"/>
    </row>
    <row r="95" spans="2:27" x14ac:dyDescent="0.25">
      <c r="B95" s="70" t="s">
        <v>472</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474</v>
      </c>
      <c r="I97" t="s">
        <v>153</v>
      </c>
      <c r="AA97" t="s">
        <v>473</v>
      </c>
    </row>
    <row r="98" spans="3:27" x14ac:dyDescent="0.25">
      <c r="C98" s="71" t="s">
        <v>475</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476</v>
      </c>
      <c r="G102" s="89"/>
    </row>
    <row r="103" spans="3:27" x14ac:dyDescent="0.25">
      <c r="F103" s="111" t="s">
        <v>293</v>
      </c>
      <c r="G103" s="93" t="s">
        <v>166</v>
      </c>
      <c r="H103" s="149">
        <f>'Inputs by network level'!K40</f>
        <v>0.62257951567438408</v>
      </c>
    </row>
    <row r="104" spans="3:27" x14ac:dyDescent="0.25">
      <c r="F104" s="113" t="s">
        <v>294</v>
      </c>
      <c r="G104" s="89" t="s">
        <v>166</v>
      </c>
      <c r="H104" s="150">
        <f>'Inputs by network level'!K41</f>
        <v>0.31938813265160099</v>
      </c>
    </row>
    <row r="105" spans="3:27" x14ac:dyDescent="0.25">
      <c r="F105" s="115" t="s">
        <v>256</v>
      </c>
      <c r="G105" s="96" t="s">
        <v>166</v>
      </c>
      <c r="H105" s="184">
        <f>'Inputs by network level'!K42</f>
        <v>5.803235167401493E-2</v>
      </c>
    </row>
    <row r="106" spans="3:27" x14ac:dyDescent="0.25">
      <c r="F106" s="111" t="s">
        <v>295</v>
      </c>
      <c r="G106" s="93" t="s">
        <v>166</v>
      </c>
      <c r="H106" s="149">
        <f>'Inputs by network level'!K43</f>
        <v>0.57940195566676456</v>
      </c>
    </row>
    <row r="107" spans="3:27" x14ac:dyDescent="0.25">
      <c r="F107" s="113" t="s">
        <v>304</v>
      </c>
      <c r="G107" s="89" t="s">
        <v>166</v>
      </c>
      <c r="H107" s="220">
        <f>SUM(H103:H104) - H106</f>
        <v>0.36256569265922056</v>
      </c>
    </row>
    <row r="108" spans="3:27" x14ac:dyDescent="0.25">
      <c r="F108" s="115" t="s">
        <v>256</v>
      </c>
      <c r="G108" s="96" t="s">
        <v>166</v>
      </c>
      <c r="H108" s="221">
        <f>H105</f>
        <v>5.803235167401493E-2</v>
      </c>
    </row>
    <row r="109" spans="3:27" x14ac:dyDescent="0.25">
      <c r="F109" s="71"/>
      <c r="G109" s="89"/>
    </row>
    <row r="110" spans="3:27" x14ac:dyDescent="0.25">
      <c r="E110" s="60" t="s">
        <v>477</v>
      </c>
      <c r="G110" s="89"/>
    </row>
    <row r="111" spans="3:27" x14ac:dyDescent="0.25">
      <c r="F111" s="111" t="s">
        <v>462</v>
      </c>
      <c r="G111" s="93" t="s">
        <v>166</v>
      </c>
      <c r="H111" s="149">
        <f>'Inputs by network level'!L40</f>
        <v>0.50594879003916027</v>
      </c>
    </row>
    <row r="112" spans="3:27" x14ac:dyDescent="0.25">
      <c r="F112" s="113" t="s">
        <v>463</v>
      </c>
      <c r="G112" s="89" t="s">
        <v>166</v>
      </c>
      <c r="H112" s="150">
        <f>'Inputs by network level'!L41</f>
        <v>0.42088853806128962</v>
      </c>
    </row>
    <row r="113" spans="5:8" x14ac:dyDescent="0.25">
      <c r="F113" s="115" t="s">
        <v>256</v>
      </c>
      <c r="G113" s="96" t="s">
        <v>166</v>
      </c>
      <c r="H113" s="184">
        <f>'Inputs by network level'!L42</f>
        <v>7.3162671899550225E-2</v>
      </c>
    </row>
    <row r="114" spans="5:8" x14ac:dyDescent="0.25">
      <c r="F114" s="111" t="s">
        <v>295</v>
      </c>
      <c r="G114" s="93" t="s">
        <v>166</v>
      </c>
      <c r="H114" s="149">
        <f>'Inputs by network level'!L43</f>
        <v>0.48050543180986116</v>
      </c>
    </row>
    <row r="115" spans="5:8" x14ac:dyDescent="0.25">
      <c r="F115" s="113" t="s">
        <v>304</v>
      </c>
      <c r="G115" s="89" t="s">
        <v>166</v>
      </c>
      <c r="H115" s="220">
        <f>SUM(H111:H112) - H114</f>
        <v>0.44633189629058867</v>
      </c>
    </row>
    <row r="116" spans="5:8" x14ac:dyDescent="0.25">
      <c r="F116" s="115" t="s">
        <v>256</v>
      </c>
      <c r="G116" s="96" t="s">
        <v>166</v>
      </c>
      <c r="H116" s="221">
        <f>H113</f>
        <v>7.3162671899550225E-2</v>
      </c>
    </row>
    <row r="117" spans="5:8" x14ac:dyDescent="0.25">
      <c r="F117" s="71"/>
      <c r="G117" s="89"/>
    </row>
    <row r="118" spans="5:8" x14ac:dyDescent="0.25">
      <c r="E118" s="60" t="s">
        <v>478</v>
      </c>
      <c r="G118" s="89"/>
    </row>
    <row r="119" spans="5:8" x14ac:dyDescent="0.25">
      <c r="F119" s="111" t="s">
        <v>462</v>
      </c>
      <c r="G119" s="93" t="s">
        <v>166</v>
      </c>
      <c r="H119" s="149">
        <f>'Inputs by network level'!M40</f>
        <v>0.50594879003916027</v>
      </c>
    </row>
    <row r="120" spans="5:8" x14ac:dyDescent="0.25">
      <c r="F120" s="113" t="s">
        <v>463</v>
      </c>
      <c r="G120" s="89" t="s">
        <v>166</v>
      </c>
      <c r="H120" s="150">
        <f>'Inputs by network level'!M41</f>
        <v>0.42088853806128962</v>
      </c>
    </row>
    <row r="121" spans="5:8" x14ac:dyDescent="0.25">
      <c r="F121" s="115" t="s">
        <v>256</v>
      </c>
      <c r="G121" s="96" t="s">
        <v>166</v>
      </c>
      <c r="H121" s="184">
        <f>'Inputs by network level'!M42</f>
        <v>7.3162671899550225E-2</v>
      </c>
    </row>
    <row r="122" spans="5:8" x14ac:dyDescent="0.25">
      <c r="F122" s="111" t="s">
        <v>295</v>
      </c>
      <c r="G122" s="93" t="s">
        <v>166</v>
      </c>
      <c r="H122" s="149">
        <f>'Inputs by network level'!M43</f>
        <v>0.48050543180986116</v>
      </c>
    </row>
    <row r="123" spans="5:8" x14ac:dyDescent="0.25">
      <c r="F123" s="113" t="s">
        <v>304</v>
      </c>
      <c r="G123" s="89" t="s">
        <v>166</v>
      </c>
      <c r="H123" s="220">
        <f>SUM(H119:H120) - H122</f>
        <v>0.44633189629058867</v>
      </c>
    </row>
    <row r="124" spans="5:8" x14ac:dyDescent="0.25">
      <c r="F124" s="115" t="s">
        <v>256</v>
      </c>
      <c r="G124" s="96" t="s">
        <v>166</v>
      </c>
      <c r="H124" s="221">
        <f>H121</f>
        <v>7.3162671899550225E-2</v>
      </c>
    </row>
    <row r="125" spans="5:8" x14ac:dyDescent="0.25">
      <c r="F125" s="71"/>
      <c r="G125" s="89"/>
    </row>
    <row r="126" spans="5:8" x14ac:dyDescent="0.25">
      <c r="E126" s="60" t="s">
        <v>479</v>
      </c>
      <c r="G126" s="89"/>
    </row>
    <row r="127" spans="5:8" x14ac:dyDescent="0.25">
      <c r="F127" s="111" t="s">
        <v>462</v>
      </c>
      <c r="G127" s="93" t="s">
        <v>166</v>
      </c>
      <c r="H127" s="149">
        <f>'Inputs by network level'!N40</f>
        <v>0.40527261390044367</v>
      </c>
    </row>
    <row r="128" spans="5:8" x14ac:dyDescent="0.25">
      <c r="F128" s="113" t="s">
        <v>463</v>
      </c>
      <c r="G128" s="89" t="s">
        <v>166</v>
      </c>
      <c r="H128" s="150">
        <f>'Inputs by network level'!N41</f>
        <v>0.45418665412934084</v>
      </c>
    </row>
    <row r="129" spans="5:8" x14ac:dyDescent="0.25">
      <c r="F129" s="115" t="s">
        <v>256</v>
      </c>
      <c r="G129" s="96" t="s">
        <v>166</v>
      </c>
      <c r="H129" s="184">
        <f>'Inputs by network level'!N42</f>
        <v>0.14054073197021552</v>
      </c>
    </row>
    <row r="130" spans="5:8" x14ac:dyDescent="0.25">
      <c r="F130" s="111" t="s">
        <v>295</v>
      </c>
      <c r="G130" s="93" t="s">
        <v>166</v>
      </c>
      <c r="H130" s="149">
        <f>'Inputs by network level'!N43</f>
        <v>0.36324672717491535</v>
      </c>
    </row>
    <row r="131" spans="5:8" x14ac:dyDescent="0.25">
      <c r="F131" s="113" t="s">
        <v>304</v>
      </c>
      <c r="G131" s="89" t="s">
        <v>166</v>
      </c>
      <c r="H131" s="220">
        <f>SUM(H127:H128) - H130</f>
        <v>0.49621254085486921</v>
      </c>
    </row>
    <row r="132" spans="5:8" x14ac:dyDescent="0.25">
      <c r="F132" s="115" t="s">
        <v>256</v>
      </c>
      <c r="G132" s="96" t="s">
        <v>166</v>
      </c>
      <c r="H132" s="221">
        <f>H129</f>
        <v>0.14054073197021552</v>
      </c>
    </row>
    <row r="133" spans="5:8" x14ac:dyDescent="0.25">
      <c r="F133" s="71"/>
      <c r="G133" s="89"/>
    </row>
    <row r="134" spans="5:8" x14ac:dyDescent="0.25">
      <c r="E134" s="60" t="s">
        <v>480</v>
      </c>
      <c r="G134" s="89"/>
    </row>
    <row r="135" spans="5:8" x14ac:dyDescent="0.25">
      <c r="F135" s="111" t="s">
        <v>462</v>
      </c>
      <c r="G135" s="93" t="s">
        <v>166</v>
      </c>
      <c r="H135" s="149">
        <f>'Inputs by network level'!O40</f>
        <v>0.40527261390044367</v>
      </c>
    </row>
    <row r="136" spans="5:8" x14ac:dyDescent="0.25">
      <c r="F136" s="113" t="s">
        <v>463</v>
      </c>
      <c r="G136" s="89" t="s">
        <v>166</v>
      </c>
      <c r="H136" s="150">
        <f>'Inputs by network level'!O41</f>
        <v>0.45418665412934084</v>
      </c>
    </row>
    <row r="137" spans="5:8" x14ac:dyDescent="0.25">
      <c r="F137" s="115" t="s">
        <v>256</v>
      </c>
      <c r="G137" s="96" t="s">
        <v>166</v>
      </c>
      <c r="H137" s="184">
        <f>'Inputs by network level'!O42</f>
        <v>0.14054073197021552</v>
      </c>
    </row>
    <row r="138" spans="5:8" x14ac:dyDescent="0.25">
      <c r="F138" s="111" t="s">
        <v>295</v>
      </c>
      <c r="G138" s="93" t="s">
        <v>166</v>
      </c>
      <c r="H138" s="149">
        <f>'Inputs by network level'!O43</f>
        <v>0.36324672717491535</v>
      </c>
    </row>
    <row r="139" spans="5:8" x14ac:dyDescent="0.25">
      <c r="F139" s="113" t="s">
        <v>304</v>
      </c>
      <c r="G139" s="89" t="s">
        <v>166</v>
      </c>
      <c r="H139" s="220">
        <f>SUM(H135:H136) - H138</f>
        <v>0.49621254085486921</v>
      </c>
    </row>
    <row r="140" spans="5:8" x14ac:dyDescent="0.25">
      <c r="F140" s="115" t="s">
        <v>256</v>
      </c>
      <c r="G140" s="96" t="s">
        <v>166</v>
      </c>
      <c r="H140" s="221">
        <f>H137</f>
        <v>0.14054073197021552</v>
      </c>
    </row>
    <row r="141" spans="5:8" x14ac:dyDescent="0.25">
      <c r="F141" s="71"/>
      <c r="G141" s="89"/>
    </row>
    <row r="142" spans="5:8" x14ac:dyDescent="0.25">
      <c r="E142" s="60" t="s">
        <v>481</v>
      </c>
      <c r="G142" s="89"/>
    </row>
    <row r="143" spans="5:8" x14ac:dyDescent="0.25">
      <c r="F143" s="111" t="s">
        <v>462</v>
      </c>
      <c r="G143" s="93" t="s">
        <v>166</v>
      </c>
      <c r="H143" s="149">
        <f>'Inputs by network level'!P40</f>
        <v>0</v>
      </c>
    </row>
    <row r="144" spans="5:8" x14ac:dyDescent="0.25">
      <c r="F144" s="113" t="s">
        <v>463</v>
      </c>
      <c r="G144" s="89" t="s">
        <v>166</v>
      </c>
      <c r="H144" s="150">
        <f>'Inputs by network level'!P41</f>
        <v>0</v>
      </c>
    </row>
    <row r="145" spans="5:8" x14ac:dyDescent="0.25">
      <c r="F145" s="115" t="s">
        <v>256</v>
      </c>
      <c r="G145" s="96" t="s">
        <v>166</v>
      </c>
      <c r="H145" s="184">
        <f>'Inputs by network level'!P42</f>
        <v>0</v>
      </c>
    </row>
    <row r="146" spans="5:8" x14ac:dyDescent="0.25">
      <c r="F146" s="111" t="s">
        <v>295</v>
      </c>
      <c r="G146" s="93" t="s">
        <v>166</v>
      </c>
      <c r="H146" s="149">
        <f>'Inputs by network level'!P43</f>
        <v>0</v>
      </c>
    </row>
    <row r="147" spans="5:8" x14ac:dyDescent="0.25">
      <c r="F147" s="113" t="s">
        <v>304</v>
      </c>
      <c r="G147" s="89" t="s">
        <v>166</v>
      </c>
      <c r="H147" s="220">
        <f>SUM(H143:H144) - H146</f>
        <v>0</v>
      </c>
    </row>
    <row r="148" spans="5:8" x14ac:dyDescent="0.25">
      <c r="F148" s="115" t="s">
        <v>256</v>
      </c>
      <c r="G148" s="96" t="s">
        <v>166</v>
      </c>
      <c r="H148" s="221">
        <f>H145</f>
        <v>0</v>
      </c>
    </row>
    <row r="149" spans="5:8" x14ac:dyDescent="0.25">
      <c r="F149" s="71"/>
      <c r="G149" s="89"/>
    </row>
    <row r="150" spans="5:8" x14ac:dyDescent="0.25">
      <c r="E150" s="60" t="s">
        <v>482</v>
      </c>
      <c r="G150" s="89"/>
    </row>
    <row r="151" spans="5:8" x14ac:dyDescent="0.25">
      <c r="F151" s="111" t="s">
        <v>462</v>
      </c>
      <c r="G151" s="93" t="s">
        <v>166</v>
      </c>
      <c r="H151" s="149">
        <f>'Inputs by network level'!Q40</f>
        <v>0.40527261390044367</v>
      </c>
    </row>
    <row r="152" spans="5:8" x14ac:dyDescent="0.25">
      <c r="F152" s="113" t="s">
        <v>463</v>
      </c>
      <c r="G152" s="89" t="s">
        <v>166</v>
      </c>
      <c r="H152" s="150">
        <f>'Inputs by network level'!Q41</f>
        <v>0.45418665412934084</v>
      </c>
    </row>
    <row r="153" spans="5:8" x14ac:dyDescent="0.25">
      <c r="F153" s="115" t="s">
        <v>256</v>
      </c>
      <c r="G153" s="96" t="s">
        <v>166</v>
      </c>
      <c r="H153" s="184">
        <f>'Inputs by network level'!Q42</f>
        <v>0.14054073197021552</v>
      </c>
    </row>
    <row r="154" spans="5:8" x14ac:dyDescent="0.25">
      <c r="F154" s="111" t="s">
        <v>295</v>
      </c>
      <c r="G154" s="93" t="s">
        <v>166</v>
      </c>
      <c r="H154" s="149">
        <f>'Inputs by network level'!Q43</f>
        <v>0.36324672717491535</v>
      </c>
    </row>
    <row r="155" spans="5:8" x14ac:dyDescent="0.25">
      <c r="F155" s="113" t="s">
        <v>304</v>
      </c>
      <c r="G155" s="89" t="s">
        <v>166</v>
      </c>
      <c r="H155" s="220">
        <f>SUM(H151:H152) - H154</f>
        <v>0.49621254085486921</v>
      </c>
    </row>
    <row r="156" spans="5:8" x14ac:dyDescent="0.25">
      <c r="F156" s="115" t="s">
        <v>256</v>
      </c>
      <c r="G156" s="96" t="s">
        <v>166</v>
      </c>
      <c r="H156" s="221">
        <f>H153</f>
        <v>0.14054073197021552</v>
      </c>
    </row>
    <row r="157" spans="5:8" x14ac:dyDescent="0.25">
      <c r="F157" s="71"/>
      <c r="G157" s="89"/>
    </row>
    <row r="158" spans="5:8" x14ac:dyDescent="0.25">
      <c r="E158" s="60" t="s">
        <v>483</v>
      </c>
      <c r="G158" s="89"/>
    </row>
    <row r="159" spans="5:8" x14ac:dyDescent="0.25">
      <c r="F159" s="111" t="s">
        <v>462</v>
      </c>
      <c r="G159" s="93" t="s">
        <v>166</v>
      </c>
      <c r="H159" s="149">
        <f>'Inputs by network level'!R40</f>
        <v>0.40527261390044367</v>
      </c>
    </row>
    <row r="160" spans="5:8" x14ac:dyDescent="0.25">
      <c r="F160" s="113" t="s">
        <v>463</v>
      </c>
      <c r="G160" s="89" t="s">
        <v>166</v>
      </c>
      <c r="H160" s="150">
        <f>'Inputs by network level'!R41</f>
        <v>0.45418665412934084</v>
      </c>
    </row>
    <row r="161" spans="3:27" x14ac:dyDescent="0.25">
      <c r="F161" s="115" t="s">
        <v>256</v>
      </c>
      <c r="G161" s="96" t="s">
        <v>166</v>
      </c>
      <c r="H161" s="184">
        <f>'Inputs by network level'!R42</f>
        <v>0.14054073197021552</v>
      </c>
    </row>
    <row r="162" spans="3:27" x14ac:dyDescent="0.25">
      <c r="F162" s="111" t="s">
        <v>295</v>
      </c>
      <c r="G162" s="93" t="s">
        <v>166</v>
      </c>
      <c r="H162" s="149">
        <f>'Inputs by network level'!R43</f>
        <v>0.36324672717491535</v>
      </c>
    </row>
    <row r="163" spans="3:27" x14ac:dyDescent="0.25">
      <c r="F163" s="113" t="s">
        <v>304</v>
      </c>
      <c r="G163" s="89" t="s">
        <v>166</v>
      </c>
      <c r="H163" s="220">
        <f>SUM(H159:H160) - H162</f>
        <v>0.49621254085486921</v>
      </c>
    </row>
    <row r="164" spans="3:27" x14ac:dyDescent="0.25">
      <c r="F164" s="115" t="s">
        <v>256</v>
      </c>
      <c r="G164" s="96" t="s">
        <v>166</v>
      </c>
      <c r="H164" s="221">
        <f>H161</f>
        <v>0.14054073197021552</v>
      </c>
    </row>
    <row r="165" spans="3:27" x14ac:dyDescent="0.25">
      <c r="F165" s="71"/>
      <c r="G165" s="89"/>
    </row>
    <row r="166" spans="3:27" x14ac:dyDescent="0.25">
      <c r="E166" s="60" t="s">
        <v>484</v>
      </c>
      <c r="G166" s="89"/>
    </row>
    <row r="167" spans="3:27" x14ac:dyDescent="0.25">
      <c r="F167" s="111" t="s">
        <v>462</v>
      </c>
      <c r="G167" s="93" t="s">
        <v>166</v>
      </c>
      <c r="H167" s="149">
        <f>'Inputs by network level'!S40</f>
        <v>0.40527261390044367</v>
      </c>
    </row>
    <row r="168" spans="3:27" x14ac:dyDescent="0.25">
      <c r="F168" s="113" t="s">
        <v>463</v>
      </c>
      <c r="G168" s="89" t="s">
        <v>166</v>
      </c>
      <c r="H168" s="150">
        <f>'Inputs by network level'!S41</f>
        <v>0.45418665412934084</v>
      </c>
    </row>
    <row r="169" spans="3:27" x14ac:dyDescent="0.25">
      <c r="F169" s="115" t="s">
        <v>256</v>
      </c>
      <c r="G169" s="96" t="s">
        <v>166</v>
      </c>
      <c r="H169" s="184">
        <f>'Inputs by network level'!S42</f>
        <v>0.14054073197021552</v>
      </c>
    </row>
    <row r="170" spans="3:27" x14ac:dyDescent="0.25">
      <c r="F170" s="111" t="s">
        <v>295</v>
      </c>
      <c r="G170" s="93" t="s">
        <v>166</v>
      </c>
      <c r="H170" s="149">
        <f>'Inputs by network level'!S43</f>
        <v>0.36324672717491535</v>
      </c>
    </row>
    <row r="171" spans="3:27" x14ac:dyDescent="0.25">
      <c r="F171" s="113" t="s">
        <v>304</v>
      </c>
      <c r="G171" s="89" t="s">
        <v>166</v>
      </c>
      <c r="H171" s="220">
        <f>SUM(H167:H168) - H170</f>
        <v>0.49621254085486921</v>
      </c>
    </row>
    <row r="172" spans="3:27" x14ac:dyDescent="0.25">
      <c r="F172" s="115" t="s">
        <v>256</v>
      </c>
      <c r="G172" s="96" t="s">
        <v>166</v>
      </c>
      <c r="H172" s="221">
        <f>H169</f>
        <v>0.14054073197021552</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476</v>
      </c>
      <c r="G176" s="89"/>
    </row>
    <row r="177" spans="5:25" x14ac:dyDescent="0.25">
      <c r="E177" s="71"/>
      <c r="F177" s="111" t="s">
        <v>462</v>
      </c>
      <c r="G177" s="93" t="s">
        <v>166</v>
      </c>
      <c r="H177" s="149"/>
      <c r="I177" s="90"/>
      <c r="J177" s="196">
        <f t="shared" ref="J177:K177" si="17">IF(J$20, $H106, $H103)</f>
        <v>0.62257951567438408</v>
      </c>
      <c r="K177" s="196">
        <f t="shared" si="17"/>
        <v>0.62257951567438408</v>
      </c>
      <c r="L177" s="196">
        <f t="shared" ref="L177:M177" si="18">IF(L$20, $H106, $H103)</f>
        <v>0.62257951567438408</v>
      </c>
      <c r="M177" s="196">
        <f t="shared" si="18"/>
        <v>0.62257951567438408</v>
      </c>
      <c r="N177" s="196">
        <f t="shared" ref="N177:P177" si="19">IF(N$20, $H106, $H103)</f>
        <v>0.62257951567438408</v>
      </c>
      <c r="O177" s="196">
        <f t="shared" si="19"/>
        <v>0.62257951567438408</v>
      </c>
      <c r="P177" s="196">
        <f t="shared" si="19"/>
        <v>0.62257951567438408</v>
      </c>
      <c r="Q177" s="196">
        <f t="shared" ref="Q177:S177" si="20">IF(Q$20, $H106, $H103)</f>
        <v>0.57940195566676456</v>
      </c>
      <c r="R177" s="196">
        <f t="shared" si="20"/>
        <v>0.62257951567438408</v>
      </c>
      <c r="S177" s="196">
        <f t="shared" si="20"/>
        <v>0.62257951567438408</v>
      </c>
      <c r="T177" s="196">
        <f t="shared" ref="T177:U177" si="21">IF(T$20, $H106, $H103)</f>
        <v>0.62257951567438408</v>
      </c>
      <c r="U177" s="196">
        <f t="shared" si="21"/>
        <v>0.62257951567438408</v>
      </c>
      <c r="V177" s="196">
        <f t="shared" ref="V177:W177" si="22">IF(V$20, $H106, $H103)</f>
        <v>0.62257951567438408</v>
      </c>
      <c r="W177" s="196">
        <f t="shared" si="22"/>
        <v>0.62257951567438408</v>
      </c>
      <c r="X177" s="196">
        <f t="shared" ref="X177:Y177" si="23">IF(X$20, $H106, $H103)</f>
        <v>0.62257951567438408</v>
      </c>
      <c r="Y177" s="196">
        <f t="shared" si="23"/>
        <v>0.62257951567438408</v>
      </c>
    </row>
    <row r="178" spans="5:25" x14ac:dyDescent="0.25">
      <c r="E178" s="71"/>
      <c r="F178" s="113" t="s">
        <v>463</v>
      </c>
      <c r="G178" s="89" t="s">
        <v>166</v>
      </c>
      <c r="H178" s="150"/>
      <c r="J178" s="188">
        <f t="shared" ref="J178:K178" si="24">IF(J$20, $H107, $H104)</f>
        <v>0.31938813265160099</v>
      </c>
      <c r="K178" s="188">
        <f t="shared" si="24"/>
        <v>0.31938813265160099</v>
      </c>
      <c r="L178" s="188">
        <f t="shared" ref="L178:M178" si="25">IF(L$20, $H107, $H104)</f>
        <v>0.31938813265160099</v>
      </c>
      <c r="M178" s="188">
        <f t="shared" si="25"/>
        <v>0.31938813265160099</v>
      </c>
      <c r="N178" s="188">
        <f t="shared" ref="N178:P178" si="26">IF(N$20, $H107, $H104)</f>
        <v>0.31938813265160099</v>
      </c>
      <c r="O178" s="188">
        <f t="shared" si="26"/>
        <v>0.31938813265160099</v>
      </c>
      <c r="P178" s="188">
        <f t="shared" si="26"/>
        <v>0.31938813265160099</v>
      </c>
      <c r="Q178" s="188">
        <f t="shared" ref="Q178:S178" si="27">IF(Q$20, $H107, $H104)</f>
        <v>0.36256569265922056</v>
      </c>
      <c r="R178" s="188">
        <f t="shared" si="27"/>
        <v>0.31938813265160099</v>
      </c>
      <c r="S178" s="188">
        <f t="shared" si="27"/>
        <v>0.31938813265160099</v>
      </c>
      <c r="T178" s="188">
        <f t="shared" ref="T178:U178" si="28">IF(T$20, $H107, $H104)</f>
        <v>0.31938813265160099</v>
      </c>
      <c r="U178" s="188">
        <f t="shared" si="28"/>
        <v>0.31938813265160099</v>
      </c>
      <c r="V178" s="188">
        <f t="shared" ref="V178:W178" si="29">IF(V$20, $H107, $H104)</f>
        <v>0.31938813265160099</v>
      </c>
      <c r="W178" s="188">
        <f t="shared" si="29"/>
        <v>0.31938813265160099</v>
      </c>
      <c r="X178" s="188">
        <f t="shared" ref="X178:Y178" si="30">IF(X$20, $H107, $H104)</f>
        <v>0.31938813265160099</v>
      </c>
      <c r="Y178" s="188">
        <f t="shared" si="30"/>
        <v>0.31938813265160099</v>
      </c>
    </row>
    <row r="179" spans="5:25" x14ac:dyDescent="0.25">
      <c r="E179" s="71"/>
      <c r="F179" s="115" t="s">
        <v>256</v>
      </c>
      <c r="G179" s="96" t="s">
        <v>166</v>
      </c>
      <c r="H179" s="184"/>
      <c r="I179" s="91"/>
      <c r="J179" s="197">
        <f t="shared" ref="J179:K179" si="31">IF(J$20, $H108, $H105)</f>
        <v>5.803235167401493E-2</v>
      </c>
      <c r="K179" s="197">
        <f t="shared" si="31"/>
        <v>5.803235167401493E-2</v>
      </c>
      <c r="L179" s="197">
        <f t="shared" ref="L179:M179" si="32">IF(L$20, $H108, $H105)</f>
        <v>5.803235167401493E-2</v>
      </c>
      <c r="M179" s="197">
        <f t="shared" si="32"/>
        <v>5.803235167401493E-2</v>
      </c>
      <c r="N179" s="197">
        <f t="shared" ref="N179:P179" si="33">IF(N$20, $H108, $H105)</f>
        <v>5.803235167401493E-2</v>
      </c>
      <c r="O179" s="197">
        <f t="shared" si="33"/>
        <v>5.803235167401493E-2</v>
      </c>
      <c r="P179" s="197">
        <f t="shared" si="33"/>
        <v>5.803235167401493E-2</v>
      </c>
      <c r="Q179" s="197">
        <f t="shared" ref="Q179:S179" si="34">IF(Q$20, $H108, $H105)</f>
        <v>5.803235167401493E-2</v>
      </c>
      <c r="R179" s="197">
        <f t="shared" si="34"/>
        <v>5.803235167401493E-2</v>
      </c>
      <c r="S179" s="197">
        <f t="shared" si="34"/>
        <v>5.803235167401493E-2</v>
      </c>
      <c r="T179" s="197">
        <f t="shared" ref="T179:U179" si="35">IF(T$20, $H108, $H105)</f>
        <v>5.803235167401493E-2</v>
      </c>
      <c r="U179" s="197">
        <f t="shared" si="35"/>
        <v>5.803235167401493E-2</v>
      </c>
      <c r="V179" s="197">
        <f t="shared" ref="V179:W179" si="36">IF(V$20, $H108, $H105)</f>
        <v>5.803235167401493E-2</v>
      </c>
      <c r="W179" s="197">
        <f t="shared" si="36"/>
        <v>5.803235167401493E-2</v>
      </c>
      <c r="X179" s="197">
        <f t="shared" ref="X179:Y179" si="37">IF(X$20, $H108, $H105)</f>
        <v>5.803235167401493E-2</v>
      </c>
      <c r="Y179" s="197">
        <f t="shared" si="37"/>
        <v>5.803235167401493E-2</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477</v>
      </c>
      <c r="G181" s="89"/>
    </row>
    <row r="182" spans="5:25" x14ac:dyDescent="0.25">
      <c r="E182" s="71"/>
      <c r="F182" s="111" t="s">
        <v>462</v>
      </c>
      <c r="G182" s="93" t="s">
        <v>166</v>
      </c>
      <c r="H182" s="149"/>
      <c r="I182" s="90"/>
      <c r="J182" s="196">
        <f t="shared" ref="J182:K182" si="38">IF(J$20, $H114, $H111)</f>
        <v>0.50594879003916027</v>
      </c>
      <c r="K182" s="196">
        <f t="shared" si="38"/>
        <v>0.50594879003916027</v>
      </c>
      <c r="L182" s="196">
        <f t="shared" ref="L182:M182" si="39">IF(L$20, $H114, $H111)</f>
        <v>0.50594879003916027</v>
      </c>
      <c r="M182" s="196">
        <f t="shared" si="39"/>
        <v>0.50594879003916027</v>
      </c>
      <c r="N182" s="196">
        <f t="shared" ref="N182:P182" si="40">IF(N$20, $H114, $H111)</f>
        <v>0.50594879003916027</v>
      </c>
      <c r="O182" s="196">
        <f t="shared" si="40"/>
        <v>0.50594879003916027</v>
      </c>
      <c r="P182" s="196">
        <f t="shared" si="40"/>
        <v>0.50594879003916027</v>
      </c>
      <c r="Q182" s="196">
        <f t="shared" ref="Q182:S182" si="41">IF(Q$20, $H114, $H111)</f>
        <v>0.48050543180986116</v>
      </c>
      <c r="R182" s="196">
        <f t="shared" si="41"/>
        <v>0.50594879003916027</v>
      </c>
      <c r="S182" s="196">
        <f t="shared" si="41"/>
        <v>0.50594879003916027</v>
      </c>
      <c r="T182" s="196">
        <f t="shared" ref="T182:U182" si="42">IF(T$20, $H114, $H111)</f>
        <v>0.50594879003916027</v>
      </c>
      <c r="U182" s="196">
        <f t="shared" si="42"/>
        <v>0.50594879003916027</v>
      </c>
      <c r="V182" s="196">
        <f t="shared" ref="V182:W182" si="43">IF(V$20, $H114, $H111)</f>
        <v>0.50594879003916027</v>
      </c>
      <c r="W182" s="196">
        <f t="shared" si="43"/>
        <v>0.50594879003916027</v>
      </c>
      <c r="X182" s="196">
        <f t="shared" ref="X182:Y182" si="44">IF(X$20, $H114, $H111)</f>
        <v>0.50594879003916027</v>
      </c>
      <c r="Y182" s="196">
        <f t="shared" si="44"/>
        <v>0.50594879003916027</v>
      </c>
    </row>
    <row r="183" spans="5:25" x14ac:dyDescent="0.25">
      <c r="E183" s="71"/>
      <c r="F183" s="113" t="s">
        <v>463</v>
      </c>
      <c r="G183" s="89" t="s">
        <v>166</v>
      </c>
      <c r="H183" s="150"/>
      <c r="J183" s="188">
        <f t="shared" ref="J183:K183" si="45">IF(J$20, $H115, $H112)</f>
        <v>0.42088853806128962</v>
      </c>
      <c r="K183" s="188">
        <f t="shared" si="45"/>
        <v>0.42088853806128962</v>
      </c>
      <c r="L183" s="188">
        <f t="shared" ref="L183:M183" si="46">IF(L$20, $H115, $H112)</f>
        <v>0.42088853806128962</v>
      </c>
      <c r="M183" s="188">
        <f t="shared" si="46"/>
        <v>0.42088853806128962</v>
      </c>
      <c r="N183" s="188">
        <f t="shared" ref="N183:P183" si="47">IF(N$20, $H115, $H112)</f>
        <v>0.42088853806128962</v>
      </c>
      <c r="O183" s="188">
        <f t="shared" si="47"/>
        <v>0.42088853806128962</v>
      </c>
      <c r="P183" s="188">
        <f t="shared" si="47"/>
        <v>0.42088853806128962</v>
      </c>
      <c r="Q183" s="188">
        <f t="shared" ref="Q183:S183" si="48">IF(Q$20, $H115, $H112)</f>
        <v>0.44633189629058867</v>
      </c>
      <c r="R183" s="188">
        <f t="shared" si="48"/>
        <v>0.42088853806128962</v>
      </c>
      <c r="S183" s="188">
        <f t="shared" si="48"/>
        <v>0.42088853806128962</v>
      </c>
      <c r="T183" s="188">
        <f t="shared" ref="T183:U183" si="49">IF(T$20, $H115, $H112)</f>
        <v>0.42088853806128962</v>
      </c>
      <c r="U183" s="188">
        <f t="shared" si="49"/>
        <v>0.42088853806128962</v>
      </c>
      <c r="V183" s="188">
        <f t="shared" ref="V183:W183" si="50">IF(V$20, $H115, $H112)</f>
        <v>0.42088853806128962</v>
      </c>
      <c r="W183" s="188">
        <f t="shared" si="50"/>
        <v>0.42088853806128962</v>
      </c>
      <c r="X183" s="188">
        <f t="shared" ref="X183:Y183" si="51">IF(X$20, $H115, $H112)</f>
        <v>0.42088853806128962</v>
      </c>
      <c r="Y183" s="188">
        <f t="shared" si="51"/>
        <v>0.42088853806128962</v>
      </c>
    </row>
    <row r="184" spans="5:25" x14ac:dyDescent="0.25">
      <c r="E184" s="71"/>
      <c r="F184" s="115" t="s">
        <v>256</v>
      </c>
      <c r="G184" s="96" t="s">
        <v>166</v>
      </c>
      <c r="H184" s="184"/>
      <c r="I184" s="91"/>
      <c r="J184" s="197">
        <f t="shared" ref="J184:K184" si="52">IF(J$20, $H116, $H113)</f>
        <v>7.3162671899550225E-2</v>
      </c>
      <c r="K184" s="197">
        <f t="shared" si="52"/>
        <v>7.3162671899550225E-2</v>
      </c>
      <c r="L184" s="197">
        <f t="shared" ref="L184:M184" si="53">IF(L$20, $H116, $H113)</f>
        <v>7.3162671899550225E-2</v>
      </c>
      <c r="M184" s="197">
        <f t="shared" si="53"/>
        <v>7.3162671899550225E-2</v>
      </c>
      <c r="N184" s="197">
        <f t="shared" ref="N184:P184" si="54">IF(N$20, $H116, $H113)</f>
        <v>7.3162671899550225E-2</v>
      </c>
      <c r="O184" s="197">
        <f t="shared" si="54"/>
        <v>7.3162671899550225E-2</v>
      </c>
      <c r="P184" s="197">
        <f t="shared" si="54"/>
        <v>7.3162671899550225E-2</v>
      </c>
      <c r="Q184" s="197">
        <f t="shared" ref="Q184:S184" si="55">IF(Q$20, $H116, $H113)</f>
        <v>7.3162671899550225E-2</v>
      </c>
      <c r="R184" s="197">
        <f t="shared" si="55"/>
        <v>7.3162671899550225E-2</v>
      </c>
      <c r="S184" s="197">
        <f t="shared" si="55"/>
        <v>7.3162671899550225E-2</v>
      </c>
      <c r="T184" s="197">
        <f t="shared" ref="T184:U184" si="56">IF(T$20, $H116, $H113)</f>
        <v>7.3162671899550225E-2</v>
      </c>
      <c r="U184" s="197">
        <f t="shared" si="56"/>
        <v>7.3162671899550225E-2</v>
      </c>
      <c r="V184" s="197">
        <f t="shared" ref="V184:W184" si="57">IF(V$20, $H116, $H113)</f>
        <v>7.3162671899550225E-2</v>
      </c>
      <c r="W184" s="197">
        <f t="shared" si="57"/>
        <v>7.3162671899550225E-2</v>
      </c>
      <c r="X184" s="197">
        <f t="shared" ref="X184:Y184" si="58">IF(X$20, $H116, $H113)</f>
        <v>7.3162671899550225E-2</v>
      </c>
      <c r="Y184" s="197">
        <f t="shared" si="58"/>
        <v>7.3162671899550225E-2</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478</v>
      </c>
      <c r="G186" s="89"/>
    </row>
    <row r="187" spans="5:25" x14ac:dyDescent="0.25">
      <c r="E187" s="71"/>
      <c r="F187" s="111" t="s">
        <v>462</v>
      </c>
      <c r="G187" s="93" t="s">
        <v>166</v>
      </c>
      <c r="H187" s="149"/>
      <c r="I187" s="90"/>
      <c r="J187" s="196">
        <f t="shared" ref="J187:K187" si="59">IF(J$20, $H122, $H119)</f>
        <v>0.50594879003916027</v>
      </c>
      <c r="K187" s="196">
        <f t="shared" si="59"/>
        <v>0.50594879003916027</v>
      </c>
      <c r="L187" s="196">
        <f t="shared" ref="L187:M187" si="60">IF(L$20, $H122, $H119)</f>
        <v>0.50594879003916027</v>
      </c>
      <c r="M187" s="196">
        <f t="shared" si="60"/>
        <v>0.50594879003916027</v>
      </c>
      <c r="N187" s="196">
        <f t="shared" ref="N187:P187" si="61">IF(N$20, $H122, $H119)</f>
        <v>0.50594879003916027</v>
      </c>
      <c r="O187" s="196">
        <f t="shared" si="61"/>
        <v>0.50594879003916027</v>
      </c>
      <c r="P187" s="196">
        <f t="shared" si="61"/>
        <v>0.50594879003916027</v>
      </c>
      <c r="Q187" s="196">
        <f t="shared" ref="Q187:S187" si="62">IF(Q$20, $H122, $H119)</f>
        <v>0.48050543180986116</v>
      </c>
      <c r="R187" s="196">
        <f t="shared" si="62"/>
        <v>0.50594879003916027</v>
      </c>
      <c r="S187" s="196">
        <f t="shared" si="62"/>
        <v>0.50594879003916027</v>
      </c>
      <c r="T187" s="196">
        <f t="shared" ref="T187:U187" si="63">IF(T$20, $H122, $H119)</f>
        <v>0.50594879003916027</v>
      </c>
      <c r="U187" s="196">
        <f t="shared" si="63"/>
        <v>0.50594879003916027</v>
      </c>
      <c r="V187" s="196">
        <f t="shared" ref="V187:W187" si="64">IF(V$20, $H122, $H119)</f>
        <v>0.50594879003916027</v>
      </c>
      <c r="W187" s="196">
        <f t="shared" si="64"/>
        <v>0.50594879003916027</v>
      </c>
      <c r="X187" s="196">
        <f t="shared" ref="X187:Y187" si="65">IF(X$20, $H122, $H119)</f>
        <v>0.50594879003916027</v>
      </c>
      <c r="Y187" s="196">
        <f t="shared" si="65"/>
        <v>0.50594879003916027</v>
      </c>
    </row>
    <row r="188" spans="5:25" x14ac:dyDescent="0.25">
      <c r="E188" s="71"/>
      <c r="F188" s="113" t="s">
        <v>463</v>
      </c>
      <c r="G188" s="89" t="s">
        <v>166</v>
      </c>
      <c r="H188" s="150"/>
      <c r="J188" s="188">
        <f t="shared" ref="J188:K188" si="66">IF(J$20, $H123, $H120)</f>
        <v>0.42088853806128962</v>
      </c>
      <c r="K188" s="188">
        <f t="shared" si="66"/>
        <v>0.42088853806128962</v>
      </c>
      <c r="L188" s="188">
        <f t="shared" ref="L188:M188" si="67">IF(L$20, $H123, $H120)</f>
        <v>0.42088853806128962</v>
      </c>
      <c r="M188" s="188">
        <f t="shared" si="67"/>
        <v>0.42088853806128962</v>
      </c>
      <c r="N188" s="188">
        <f t="shared" ref="N188:P188" si="68">IF(N$20, $H123, $H120)</f>
        <v>0.42088853806128962</v>
      </c>
      <c r="O188" s="188">
        <f t="shared" si="68"/>
        <v>0.42088853806128962</v>
      </c>
      <c r="P188" s="188">
        <f t="shared" si="68"/>
        <v>0.42088853806128962</v>
      </c>
      <c r="Q188" s="188">
        <f t="shared" ref="Q188:S188" si="69">IF(Q$20, $H123, $H120)</f>
        <v>0.44633189629058867</v>
      </c>
      <c r="R188" s="188">
        <f t="shared" si="69"/>
        <v>0.42088853806128962</v>
      </c>
      <c r="S188" s="188">
        <f t="shared" si="69"/>
        <v>0.42088853806128962</v>
      </c>
      <c r="T188" s="188">
        <f t="shared" ref="T188:U188" si="70">IF(T$20, $H123, $H120)</f>
        <v>0.42088853806128962</v>
      </c>
      <c r="U188" s="188">
        <f t="shared" si="70"/>
        <v>0.42088853806128962</v>
      </c>
      <c r="V188" s="188">
        <f t="shared" ref="V188:W188" si="71">IF(V$20, $H123, $H120)</f>
        <v>0.42088853806128962</v>
      </c>
      <c r="W188" s="188">
        <f t="shared" si="71"/>
        <v>0.42088853806128962</v>
      </c>
      <c r="X188" s="188">
        <f t="shared" ref="X188:Y188" si="72">IF(X$20, $H123, $H120)</f>
        <v>0.42088853806128962</v>
      </c>
      <c r="Y188" s="188">
        <f t="shared" si="72"/>
        <v>0.42088853806128962</v>
      </c>
    </row>
    <row r="189" spans="5:25" x14ac:dyDescent="0.25">
      <c r="E189" s="71"/>
      <c r="F189" s="115" t="s">
        <v>256</v>
      </c>
      <c r="G189" s="96" t="s">
        <v>166</v>
      </c>
      <c r="H189" s="184"/>
      <c r="I189" s="91"/>
      <c r="J189" s="197">
        <f t="shared" ref="J189:K189" si="73">IF(J$20, $H124, $H121)</f>
        <v>7.3162671899550225E-2</v>
      </c>
      <c r="K189" s="197">
        <f t="shared" si="73"/>
        <v>7.3162671899550225E-2</v>
      </c>
      <c r="L189" s="197">
        <f t="shared" ref="L189:M189" si="74">IF(L$20, $H124, $H121)</f>
        <v>7.3162671899550225E-2</v>
      </c>
      <c r="M189" s="197">
        <f t="shared" si="74"/>
        <v>7.3162671899550225E-2</v>
      </c>
      <c r="N189" s="197">
        <f t="shared" ref="N189:P189" si="75">IF(N$20, $H124, $H121)</f>
        <v>7.3162671899550225E-2</v>
      </c>
      <c r="O189" s="197">
        <f t="shared" si="75"/>
        <v>7.3162671899550225E-2</v>
      </c>
      <c r="P189" s="197">
        <f t="shared" si="75"/>
        <v>7.3162671899550225E-2</v>
      </c>
      <c r="Q189" s="197">
        <f t="shared" ref="Q189:S189" si="76">IF(Q$20, $H124, $H121)</f>
        <v>7.3162671899550225E-2</v>
      </c>
      <c r="R189" s="197">
        <f t="shared" si="76"/>
        <v>7.3162671899550225E-2</v>
      </c>
      <c r="S189" s="197">
        <f t="shared" si="76"/>
        <v>7.3162671899550225E-2</v>
      </c>
      <c r="T189" s="197">
        <f t="shared" ref="T189:U189" si="77">IF(T$20, $H124, $H121)</f>
        <v>7.3162671899550225E-2</v>
      </c>
      <c r="U189" s="197">
        <f t="shared" si="77"/>
        <v>7.3162671899550225E-2</v>
      </c>
      <c r="V189" s="197">
        <f t="shared" ref="V189:W189" si="78">IF(V$20, $H124, $H121)</f>
        <v>7.3162671899550225E-2</v>
      </c>
      <c r="W189" s="197">
        <f t="shared" si="78"/>
        <v>7.3162671899550225E-2</v>
      </c>
      <c r="X189" s="197">
        <f t="shared" ref="X189:Y189" si="79">IF(X$20, $H124, $H121)</f>
        <v>7.3162671899550225E-2</v>
      </c>
      <c r="Y189" s="197">
        <f t="shared" si="79"/>
        <v>7.3162671899550225E-2</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479</v>
      </c>
      <c r="G191" s="89"/>
    </row>
    <row r="192" spans="5:25" x14ac:dyDescent="0.25">
      <c r="E192" s="71"/>
      <c r="F192" s="111" t="s">
        <v>462</v>
      </c>
      <c r="G192" s="93" t="s">
        <v>166</v>
      </c>
      <c r="H192" s="149"/>
      <c r="I192" s="90"/>
      <c r="J192" s="196">
        <f t="shared" ref="J192:K192" si="80">IF(J$20, $H130, $H127)</f>
        <v>0.40527261390044367</v>
      </c>
      <c r="K192" s="196">
        <f t="shared" si="80"/>
        <v>0.40527261390044367</v>
      </c>
      <c r="L192" s="196">
        <f t="shared" ref="L192:M192" si="81">IF(L$20, $H130, $H127)</f>
        <v>0.40527261390044367</v>
      </c>
      <c r="M192" s="196">
        <f t="shared" si="81"/>
        <v>0.40527261390044367</v>
      </c>
      <c r="N192" s="196">
        <f t="shared" ref="N192:P192" si="82">IF(N$20, $H130, $H127)</f>
        <v>0.40527261390044367</v>
      </c>
      <c r="O192" s="196">
        <f t="shared" si="82"/>
        <v>0.40527261390044367</v>
      </c>
      <c r="P192" s="196">
        <f t="shared" si="82"/>
        <v>0.40527261390044367</v>
      </c>
      <c r="Q192" s="196">
        <f t="shared" ref="Q192:S192" si="83">IF(Q$20, $H130, $H127)</f>
        <v>0.36324672717491535</v>
      </c>
      <c r="R192" s="196">
        <f t="shared" si="83"/>
        <v>0.40527261390044367</v>
      </c>
      <c r="S192" s="196">
        <f t="shared" si="83"/>
        <v>0.40527261390044367</v>
      </c>
      <c r="T192" s="196">
        <f t="shared" ref="T192:U192" si="84">IF(T$20, $H130, $H127)</f>
        <v>0.40527261390044367</v>
      </c>
      <c r="U192" s="196">
        <f t="shared" si="84"/>
        <v>0.40527261390044367</v>
      </c>
      <c r="V192" s="196">
        <f t="shared" ref="V192:W192" si="85">IF(V$20, $H130, $H127)</f>
        <v>0.40527261390044367</v>
      </c>
      <c r="W192" s="196">
        <f t="shared" si="85"/>
        <v>0.40527261390044367</v>
      </c>
      <c r="X192" s="196">
        <f t="shared" ref="X192:Y192" si="86">IF(X$20, $H130, $H127)</f>
        <v>0.40527261390044367</v>
      </c>
      <c r="Y192" s="196">
        <f t="shared" si="86"/>
        <v>0.40527261390044367</v>
      </c>
    </row>
    <row r="193" spans="5:25" x14ac:dyDescent="0.25">
      <c r="E193" s="71"/>
      <c r="F193" s="113" t="s">
        <v>463</v>
      </c>
      <c r="G193" s="89" t="s">
        <v>166</v>
      </c>
      <c r="H193" s="150"/>
      <c r="J193" s="188">
        <f t="shared" ref="J193:K193" si="87">IF(J$20, $H131, $H128)</f>
        <v>0.45418665412934084</v>
      </c>
      <c r="K193" s="188">
        <f t="shared" si="87"/>
        <v>0.45418665412934084</v>
      </c>
      <c r="L193" s="188">
        <f t="shared" ref="L193:M193" si="88">IF(L$20, $H131, $H128)</f>
        <v>0.45418665412934084</v>
      </c>
      <c r="M193" s="188">
        <f t="shared" si="88"/>
        <v>0.45418665412934084</v>
      </c>
      <c r="N193" s="188">
        <f t="shared" ref="N193:P193" si="89">IF(N$20, $H131, $H128)</f>
        <v>0.45418665412934084</v>
      </c>
      <c r="O193" s="188">
        <f t="shared" si="89"/>
        <v>0.45418665412934084</v>
      </c>
      <c r="P193" s="188">
        <f t="shared" si="89"/>
        <v>0.45418665412934084</v>
      </c>
      <c r="Q193" s="188">
        <f t="shared" ref="Q193:S193" si="90">IF(Q$20, $H131, $H128)</f>
        <v>0.49621254085486921</v>
      </c>
      <c r="R193" s="188">
        <f t="shared" si="90"/>
        <v>0.45418665412934084</v>
      </c>
      <c r="S193" s="188">
        <f t="shared" si="90"/>
        <v>0.45418665412934084</v>
      </c>
      <c r="T193" s="188">
        <f t="shared" ref="T193:U193" si="91">IF(T$20, $H131, $H128)</f>
        <v>0.45418665412934084</v>
      </c>
      <c r="U193" s="188">
        <f t="shared" si="91"/>
        <v>0.45418665412934084</v>
      </c>
      <c r="V193" s="188">
        <f t="shared" ref="V193:W193" si="92">IF(V$20, $H131, $H128)</f>
        <v>0.45418665412934084</v>
      </c>
      <c r="W193" s="188">
        <f t="shared" si="92"/>
        <v>0.45418665412934084</v>
      </c>
      <c r="X193" s="188">
        <f t="shared" ref="X193:Y193" si="93">IF(X$20, $H131, $H128)</f>
        <v>0.45418665412934084</v>
      </c>
      <c r="Y193" s="188">
        <f t="shared" si="93"/>
        <v>0.45418665412934084</v>
      </c>
    </row>
    <row r="194" spans="5:25" x14ac:dyDescent="0.25">
      <c r="E194" s="71"/>
      <c r="F194" s="115" t="s">
        <v>256</v>
      </c>
      <c r="G194" s="96" t="s">
        <v>166</v>
      </c>
      <c r="H194" s="184"/>
      <c r="I194" s="91"/>
      <c r="J194" s="197">
        <f t="shared" ref="J194:K194" si="94">IF(J$20, $H132, $H129)</f>
        <v>0.14054073197021552</v>
      </c>
      <c r="K194" s="197">
        <f t="shared" si="94"/>
        <v>0.14054073197021552</v>
      </c>
      <c r="L194" s="197">
        <f t="shared" ref="L194:M194" si="95">IF(L$20, $H132, $H129)</f>
        <v>0.14054073197021552</v>
      </c>
      <c r="M194" s="197">
        <f t="shared" si="95"/>
        <v>0.14054073197021552</v>
      </c>
      <c r="N194" s="197">
        <f t="shared" ref="N194:P194" si="96">IF(N$20, $H132, $H129)</f>
        <v>0.14054073197021552</v>
      </c>
      <c r="O194" s="197">
        <f t="shared" si="96"/>
        <v>0.14054073197021552</v>
      </c>
      <c r="P194" s="197">
        <f t="shared" si="96"/>
        <v>0.14054073197021552</v>
      </c>
      <c r="Q194" s="197">
        <f t="shared" ref="Q194:S194" si="97">IF(Q$20, $H132, $H129)</f>
        <v>0.14054073197021552</v>
      </c>
      <c r="R194" s="197">
        <f t="shared" si="97"/>
        <v>0.14054073197021552</v>
      </c>
      <c r="S194" s="197">
        <f t="shared" si="97"/>
        <v>0.14054073197021552</v>
      </c>
      <c r="T194" s="197">
        <f t="shared" ref="T194:U194" si="98">IF(T$20, $H132, $H129)</f>
        <v>0.14054073197021552</v>
      </c>
      <c r="U194" s="197">
        <f t="shared" si="98"/>
        <v>0.14054073197021552</v>
      </c>
      <c r="V194" s="197">
        <f t="shared" ref="V194:W194" si="99">IF(V$20, $H132, $H129)</f>
        <v>0.14054073197021552</v>
      </c>
      <c r="W194" s="197">
        <f t="shared" si="99"/>
        <v>0.14054073197021552</v>
      </c>
      <c r="X194" s="197">
        <f t="shared" ref="X194:Y194" si="100">IF(X$20, $H132, $H129)</f>
        <v>0.14054073197021552</v>
      </c>
      <c r="Y194" s="197">
        <f t="shared" si="100"/>
        <v>0.14054073197021552</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480</v>
      </c>
      <c r="G196" s="89"/>
    </row>
    <row r="197" spans="5:25" x14ac:dyDescent="0.25">
      <c r="E197" s="71"/>
      <c r="F197" s="111" t="s">
        <v>462</v>
      </c>
      <c r="G197" s="93" t="s">
        <v>166</v>
      </c>
      <c r="H197" s="149"/>
      <c r="I197" s="90"/>
      <c r="J197" s="196">
        <f t="shared" ref="J197:K197" si="101">IF(J$20, $H138, $H135)</f>
        <v>0.40527261390044367</v>
      </c>
      <c r="K197" s="196">
        <f t="shared" si="101"/>
        <v>0.40527261390044367</v>
      </c>
      <c r="L197" s="196">
        <f t="shared" ref="L197:M197" si="102">IF(L$20, $H138, $H135)</f>
        <v>0.40527261390044367</v>
      </c>
      <c r="M197" s="196">
        <f t="shared" si="102"/>
        <v>0.40527261390044367</v>
      </c>
      <c r="N197" s="196">
        <f t="shared" ref="N197:P197" si="103">IF(N$20, $H138, $H135)</f>
        <v>0.40527261390044367</v>
      </c>
      <c r="O197" s="196">
        <f t="shared" si="103"/>
        <v>0.40527261390044367</v>
      </c>
      <c r="P197" s="196">
        <f t="shared" si="103"/>
        <v>0.40527261390044367</v>
      </c>
      <c r="Q197" s="196">
        <f t="shared" ref="Q197:S197" si="104">IF(Q$20, $H138, $H135)</f>
        <v>0.36324672717491535</v>
      </c>
      <c r="R197" s="196">
        <f t="shared" si="104"/>
        <v>0.40527261390044367</v>
      </c>
      <c r="S197" s="196">
        <f t="shared" si="104"/>
        <v>0.40527261390044367</v>
      </c>
      <c r="T197" s="196">
        <f t="shared" ref="T197:U197" si="105">IF(T$20, $H138, $H135)</f>
        <v>0.40527261390044367</v>
      </c>
      <c r="U197" s="196">
        <f t="shared" si="105"/>
        <v>0.40527261390044367</v>
      </c>
      <c r="V197" s="196">
        <f t="shared" ref="V197:W197" si="106">IF(V$20, $H138, $H135)</f>
        <v>0.40527261390044367</v>
      </c>
      <c r="W197" s="196">
        <f t="shared" si="106"/>
        <v>0.40527261390044367</v>
      </c>
      <c r="X197" s="196">
        <f t="shared" ref="X197:Y197" si="107">IF(X$20, $H138, $H135)</f>
        <v>0.40527261390044367</v>
      </c>
      <c r="Y197" s="196">
        <f t="shared" si="107"/>
        <v>0.40527261390044367</v>
      </c>
    </row>
    <row r="198" spans="5:25" x14ac:dyDescent="0.25">
      <c r="E198" s="71"/>
      <c r="F198" s="113" t="s">
        <v>463</v>
      </c>
      <c r="G198" s="89" t="s">
        <v>166</v>
      </c>
      <c r="H198" s="150"/>
      <c r="J198" s="188">
        <f t="shared" ref="J198:K198" si="108">IF(J$20, $H139, $H136)</f>
        <v>0.45418665412934084</v>
      </c>
      <c r="K198" s="188">
        <f t="shared" si="108"/>
        <v>0.45418665412934084</v>
      </c>
      <c r="L198" s="188">
        <f t="shared" ref="L198:M198" si="109">IF(L$20, $H139, $H136)</f>
        <v>0.45418665412934084</v>
      </c>
      <c r="M198" s="188">
        <f t="shared" si="109"/>
        <v>0.45418665412934084</v>
      </c>
      <c r="N198" s="188">
        <f t="shared" ref="N198:P198" si="110">IF(N$20, $H139, $H136)</f>
        <v>0.45418665412934084</v>
      </c>
      <c r="O198" s="188">
        <f t="shared" si="110"/>
        <v>0.45418665412934084</v>
      </c>
      <c r="P198" s="188">
        <f t="shared" si="110"/>
        <v>0.45418665412934084</v>
      </c>
      <c r="Q198" s="188">
        <f t="shared" ref="Q198:S198" si="111">IF(Q$20, $H139, $H136)</f>
        <v>0.49621254085486921</v>
      </c>
      <c r="R198" s="188">
        <f t="shared" si="111"/>
        <v>0.45418665412934084</v>
      </c>
      <c r="S198" s="188">
        <f t="shared" si="111"/>
        <v>0.45418665412934084</v>
      </c>
      <c r="T198" s="188">
        <f t="shared" ref="T198:U198" si="112">IF(T$20, $H139, $H136)</f>
        <v>0.45418665412934084</v>
      </c>
      <c r="U198" s="188">
        <f t="shared" si="112"/>
        <v>0.45418665412934084</v>
      </c>
      <c r="V198" s="188">
        <f t="shared" ref="V198:W198" si="113">IF(V$20, $H139, $H136)</f>
        <v>0.45418665412934084</v>
      </c>
      <c r="W198" s="188">
        <f t="shared" si="113"/>
        <v>0.45418665412934084</v>
      </c>
      <c r="X198" s="188">
        <f t="shared" ref="X198:Y198" si="114">IF(X$20, $H139, $H136)</f>
        <v>0.45418665412934084</v>
      </c>
      <c r="Y198" s="188">
        <f t="shared" si="114"/>
        <v>0.45418665412934084</v>
      </c>
    </row>
    <row r="199" spans="5:25" x14ac:dyDescent="0.25">
      <c r="E199" s="71"/>
      <c r="F199" s="115" t="s">
        <v>256</v>
      </c>
      <c r="G199" s="96" t="s">
        <v>166</v>
      </c>
      <c r="H199" s="184"/>
      <c r="I199" s="91"/>
      <c r="J199" s="197">
        <f t="shared" ref="J199:K199" si="115">IF(J$20, $H140, $H137)</f>
        <v>0.14054073197021552</v>
      </c>
      <c r="K199" s="197">
        <f t="shared" si="115"/>
        <v>0.14054073197021552</v>
      </c>
      <c r="L199" s="197">
        <f t="shared" ref="L199:M199" si="116">IF(L$20, $H140, $H137)</f>
        <v>0.14054073197021552</v>
      </c>
      <c r="M199" s="197">
        <f t="shared" si="116"/>
        <v>0.14054073197021552</v>
      </c>
      <c r="N199" s="197">
        <f t="shared" ref="N199:P199" si="117">IF(N$20, $H140, $H137)</f>
        <v>0.14054073197021552</v>
      </c>
      <c r="O199" s="197">
        <f t="shared" si="117"/>
        <v>0.14054073197021552</v>
      </c>
      <c r="P199" s="197">
        <f t="shared" si="117"/>
        <v>0.14054073197021552</v>
      </c>
      <c r="Q199" s="197">
        <f t="shared" ref="Q199:S199" si="118">IF(Q$20, $H140, $H137)</f>
        <v>0.14054073197021552</v>
      </c>
      <c r="R199" s="197">
        <f t="shared" si="118"/>
        <v>0.14054073197021552</v>
      </c>
      <c r="S199" s="197">
        <f t="shared" si="118"/>
        <v>0.14054073197021552</v>
      </c>
      <c r="T199" s="197">
        <f t="shared" ref="T199:U199" si="119">IF(T$20, $H140, $H137)</f>
        <v>0.14054073197021552</v>
      </c>
      <c r="U199" s="197">
        <f t="shared" si="119"/>
        <v>0.14054073197021552</v>
      </c>
      <c r="V199" s="197">
        <f t="shared" ref="V199:W199" si="120">IF(V$20, $H140, $H137)</f>
        <v>0.14054073197021552</v>
      </c>
      <c r="W199" s="197">
        <f t="shared" si="120"/>
        <v>0.14054073197021552</v>
      </c>
      <c r="X199" s="197">
        <f t="shared" ref="X199:Y199" si="121">IF(X$20, $H140, $H137)</f>
        <v>0.14054073197021552</v>
      </c>
      <c r="Y199" s="197">
        <f t="shared" si="121"/>
        <v>0.14054073197021552</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481</v>
      </c>
      <c r="G201" s="89"/>
    </row>
    <row r="202" spans="5:25" x14ac:dyDescent="0.25">
      <c r="E202" s="71"/>
      <c r="F202" s="111" t="s">
        <v>462</v>
      </c>
      <c r="G202" s="93" t="s">
        <v>166</v>
      </c>
      <c r="H202" s="149"/>
      <c r="I202" s="90"/>
      <c r="J202" s="196">
        <f t="shared" ref="J202:K202" si="122">IF(J$20, $H146, $H143)</f>
        <v>0</v>
      </c>
      <c r="K202" s="196">
        <f t="shared" si="122"/>
        <v>0</v>
      </c>
      <c r="L202" s="196">
        <f t="shared" ref="L202:M202" si="123">IF(L$20, $H146, $H143)</f>
        <v>0</v>
      </c>
      <c r="M202" s="196">
        <f t="shared" si="123"/>
        <v>0</v>
      </c>
      <c r="N202" s="196">
        <f t="shared" ref="N202:P202" si="124">IF(N$20, $H146, $H143)</f>
        <v>0</v>
      </c>
      <c r="O202" s="196">
        <f t="shared" si="124"/>
        <v>0</v>
      </c>
      <c r="P202" s="196">
        <f t="shared" si="124"/>
        <v>0</v>
      </c>
      <c r="Q202" s="196">
        <f t="shared" ref="Q202:S202" si="125">IF(Q$20, $H146, $H143)</f>
        <v>0</v>
      </c>
      <c r="R202" s="196">
        <f t="shared" si="125"/>
        <v>0</v>
      </c>
      <c r="S202" s="196">
        <f t="shared" si="125"/>
        <v>0</v>
      </c>
      <c r="T202" s="196">
        <f t="shared" ref="T202:U202" si="126">IF(T$20, $H146, $H143)</f>
        <v>0</v>
      </c>
      <c r="U202" s="196">
        <f t="shared" si="126"/>
        <v>0</v>
      </c>
      <c r="V202" s="196">
        <f t="shared" ref="V202:W202" si="127">IF(V$20, $H146, $H143)</f>
        <v>0</v>
      </c>
      <c r="W202" s="196">
        <f t="shared" si="127"/>
        <v>0</v>
      </c>
      <c r="X202" s="196">
        <f t="shared" ref="X202:Y202" si="128">IF(X$20, $H146, $H143)</f>
        <v>0</v>
      </c>
      <c r="Y202" s="196">
        <f t="shared" si="128"/>
        <v>0</v>
      </c>
    </row>
    <row r="203" spans="5:25" x14ac:dyDescent="0.25">
      <c r="E203" s="71"/>
      <c r="F203" s="113" t="s">
        <v>463</v>
      </c>
      <c r="G203" s="89" t="s">
        <v>166</v>
      </c>
      <c r="H203" s="150"/>
      <c r="J203" s="188">
        <f t="shared" ref="J203:K203" si="129">IF(J$20, $H147, $H144)</f>
        <v>0</v>
      </c>
      <c r="K203" s="188">
        <f t="shared" si="129"/>
        <v>0</v>
      </c>
      <c r="L203" s="188">
        <f t="shared" ref="L203:M203" si="130">IF(L$20, $H147, $H144)</f>
        <v>0</v>
      </c>
      <c r="M203" s="188">
        <f t="shared" si="130"/>
        <v>0</v>
      </c>
      <c r="N203" s="188">
        <f t="shared" ref="N203:P203" si="131">IF(N$20, $H147, $H144)</f>
        <v>0</v>
      </c>
      <c r="O203" s="188">
        <f t="shared" si="131"/>
        <v>0</v>
      </c>
      <c r="P203" s="188">
        <f t="shared" si="131"/>
        <v>0</v>
      </c>
      <c r="Q203" s="188">
        <f t="shared" ref="Q203:S203" si="132">IF(Q$20, $H147, $H144)</f>
        <v>0</v>
      </c>
      <c r="R203" s="188">
        <f t="shared" si="132"/>
        <v>0</v>
      </c>
      <c r="S203" s="188">
        <f t="shared" si="132"/>
        <v>0</v>
      </c>
      <c r="T203" s="188">
        <f t="shared" ref="T203:U203" si="133">IF(T$20, $H147, $H144)</f>
        <v>0</v>
      </c>
      <c r="U203" s="188">
        <f t="shared" si="133"/>
        <v>0</v>
      </c>
      <c r="V203" s="188">
        <f t="shared" ref="V203:W203" si="134">IF(V$20, $H147, $H144)</f>
        <v>0</v>
      </c>
      <c r="W203" s="188">
        <f t="shared" si="134"/>
        <v>0</v>
      </c>
      <c r="X203" s="188">
        <f t="shared" ref="X203:Y203" si="135">IF(X$20, $H147, $H144)</f>
        <v>0</v>
      </c>
      <c r="Y203" s="188">
        <f t="shared" si="135"/>
        <v>0</v>
      </c>
    </row>
    <row r="204" spans="5:25" x14ac:dyDescent="0.25">
      <c r="E204" s="71"/>
      <c r="F204" s="115" t="s">
        <v>256</v>
      </c>
      <c r="G204" s="96" t="s">
        <v>166</v>
      </c>
      <c r="H204" s="184"/>
      <c r="I204" s="91"/>
      <c r="J204" s="197">
        <f t="shared" ref="J204:K204" si="136">IF(J$20, $H148, $H145)</f>
        <v>0</v>
      </c>
      <c r="K204" s="197">
        <f t="shared" si="136"/>
        <v>0</v>
      </c>
      <c r="L204" s="197">
        <f t="shared" ref="L204:M204" si="137">IF(L$20, $H148, $H145)</f>
        <v>0</v>
      </c>
      <c r="M204" s="197">
        <f t="shared" si="137"/>
        <v>0</v>
      </c>
      <c r="N204" s="197">
        <f t="shared" ref="N204:P204" si="138">IF(N$20, $H148, $H145)</f>
        <v>0</v>
      </c>
      <c r="O204" s="197">
        <f t="shared" si="138"/>
        <v>0</v>
      </c>
      <c r="P204" s="197">
        <f t="shared" si="138"/>
        <v>0</v>
      </c>
      <c r="Q204" s="197">
        <f t="shared" ref="Q204:S204" si="139">IF(Q$20, $H148, $H145)</f>
        <v>0</v>
      </c>
      <c r="R204" s="197">
        <f t="shared" si="139"/>
        <v>0</v>
      </c>
      <c r="S204" s="197">
        <f t="shared" si="139"/>
        <v>0</v>
      </c>
      <c r="T204" s="197">
        <f t="shared" ref="T204:U204" si="140">IF(T$20, $H148, $H145)</f>
        <v>0</v>
      </c>
      <c r="U204" s="197">
        <f t="shared" si="140"/>
        <v>0</v>
      </c>
      <c r="V204" s="197">
        <f t="shared" ref="V204:W204" si="141">IF(V$20, $H148, $H145)</f>
        <v>0</v>
      </c>
      <c r="W204" s="197">
        <f t="shared" si="141"/>
        <v>0</v>
      </c>
      <c r="X204" s="197">
        <f t="shared" ref="X204:Y204" si="142">IF(X$20, $H148, $H145)</f>
        <v>0</v>
      </c>
      <c r="Y204" s="197">
        <f t="shared" si="142"/>
        <v>0</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482</v>
      </c>
      <c r="G206" s="89"/>
    </row>
    <row r="207" spans="5:25" x14ac:dyDescent="0.25">
      <c r="E207" s="71"/>
      <c r="F207" s="111" t="s">
        <v>462</v>
      </c>
      <c r="G207" s="93" t="s">
        <v>166</v>
      </c>
      <c r="H207" s="149"/>
      <c r="I207" s="90"/>
      <c r="J207" s="196">
        <f t="shared" ref="J207:K207" si="143">IF(J$20, $H154, $H151)</f>
        <v>0.40527261390044367</v>
      </c>
      <c r="K207" s="196">
        <f t="shared" si="143"/>
        <v>0.40527261390044367</v>
      </c>
      <c r="L207" s="196">
        <f t="shared" ref="L207:M207" si="144">IF(L$20, $H154, $H151)</f>
        <v>0.40527261390044367</v>
      </c>
      <c r="M207" s="196">
        <f t="shared" si="144"/>
        <v>0.40527261390044367</v>
      </c>
      <c r="N207" s="196">
        <f t="shared" ref="N207:P207" si="145">IF(N$20, $H154, $H151)</f>
        <v>0.40527261390044367</v>
      </c>
      <c r="O207" s="196">
        <f t="shared" si="145"/>
        <v>0.40527261390044367</v>
      </c>
      <c r="P207" s="196">
        <f t="shared" si="145"/>
        <v>0.40527261390044367</v>
      </c>
      <c r="Q207" s="196">
        <f t="shared" ref="Q207:S207" si="146">IF(Q$20, $H154, $H151)</f>
        <v>0.36324672717491535</v>
      </c>
      <c r="R207" s="196">
        <f t="shared" si="146"/>
        <v>0.40527261390044367</v>
      </c>
      <c r="S207" s="196">
        <f t="shared" si="146"/>
        <v>0.40527261390044367</v>
      </c>
      <c r="T207" s="196">
        <f t="shared" ref="T207:U207" si="147">IF(T$20, $H154, $H151)</f>
        <v>0.40527261390044367</v>
      </c>
      <c r="U207" s="196">
        <f t="shared" si="147"/>
        <v>0.40527261390044367</v>
      </c>
      <c r="V207" s="196">
        <f t="shared" ref="V207:W207" si="148">IF(V$20, $H154, $H151)</f>
        <v>0.40527261390044367</v>
      </c>
      <c r="W207" s="196">
        <f t="shared" si="148"/>
        <v>0.40527261390044367</v>
      </c>
      <c r="X207" s="196">
        <f t="shared" ref="X207:Y207" si="149">IF(X$20, $H154, $H151)</f>
        <v>0.40527261390044367</v>
      </c>
      <c r="Y207" s="196">
        <f t="shared" si="149"/>
        <v>0.40527261390044367</v>
      </c>
    </row>
    <row r="208" spans="5:25" x14ac:dyDescent="0.25">
      <c r="E208" s="71"/>
      <c r="F208" s="113" t="s">
        <v>463</v>
      </c>
      <c r="G208" s="89" t="s">
        <v>166</v>
      </c>
      <c r="H208" s="150"/>
      <c r="J208" s="188">
        <f t="shared" ref="J208:K208" si="150">IF(J$20, $H155, $H152)</f>
        <v>0.45418665412934084</v>
      </c>
      <c r="K208" s="188">
        <f t="shared" si="150"/>
        <v>0.45418665412934084</v>
      </c>
      <c r="L208" s="188">
        <f t="shared" ref="L208:M208" si="151">IF(L$20, $H155, $H152)</f>
        <v>0.45418665412934084</v>
      </c>
      <c r="M208" s="188">
        <f t="shared" si="151"/>
        <v>0.45418665412934084</v>
      </c>
      <c r="N208" s="188">
        <f t="shared" ref="N208:P208" si="152">IF(N$20, $H155, $H152)</f>
        <v>0.45418665412934084</v>
      </c>
      <c r="O208" s="188">
        <f t="shared" si="152"/>
        <v>0.45418665412934084</v>
      </c>
      <c r="P208" s="188">
        <f t="shared" si="152"/>
        <v>0.45418665412934084</v>
      </c>
      <c r="Q208" s="188">
        <f t="shared" ref="Q208:S208" si="153">IF(Q$20, $H155, $H152)</f>
        <v>0.49621254085486921</v>
      </c>
      <c r="R208" s="188">
        <f t="shared" si="153"/>
        <v>0.45418665412934084</v>
      </c>
      <c r="S208" s="188">
        <f t="shared" si="153"/>
        <v>0.45418665412934084</v>
      </c>
      <c r="T208" s="188">
        <f t="shared" ref="T208:U208" si="154">IF(T$20, $H155, $H152)</f>
        <v>0.45418665412934084</v>
      </c>
      <c r="U208" s="188">
        <f t="shared" si="154"/>
        <v>0.45418665412934084</v>
      </c>
      <c r="V208" s="188">
        <f t="shared" ref="V208:W208" si="155">IF(V$20, $H155, $H152)</f>
        <v>0.45418665412934084</v>
      </c>
      <c r="W208" s="188">
        <f t="shared" si="155"/>
        <v>0.45418665412934084</v>
      </c>
      <c r="X208" s="188">
        <f t="shared" ref="X208:Y208" si="156">IF(X$20, $H155, $H152)</f>
        <v>0.45418665412934084</v>
      </c>
      <c r="Y208" s="188">
        <f t="shared" si="156"/>
        <v>0.45418665412934084</v>
      </c>
    </row>
    <row r="209" spans="3:27" x14ac:dyDescent="0.25">
      <c r="E209" s="71"/>
      <c r="F209" s="115" t="s">
        <v>256</v>
      </c>
      <c r="G209" s="96" t="s">
        <v>166</v>
      </c>
      <c r="H209" s="184"/>
      <c r="I209" s="91"/>
      <c r="J209" s="197">
        <f t="shared" ref="J209:K209" si="157">IF(J$20, $H156, $H153)</f>
        <v>0.14054073197021552</v>
      </c>
      <c r="K209" s="197">
        <f t="shared" si="157"/>
        <v>0.14054073197021552</v>
      </c>
      <c r="L209" s="197">
        <f t="shared" ref="L209:M209" si="158">IF(L$20, $H156, $H153)</f>
        <v>0.14054073197021552</v>
      </c>
      <c r="M209" s="197">
        <f t="shared" si="158"/>
        <v>0.14054073197021552</v>
      </c>
      <c r="N209" s="197">
        <f t="shared" ref="N209:P209" si="159">IF(N$20, $H156, $H153)</f>
        <v>0.14054073197021552</v>
      </c>
      <c r="O209" s="197">
        <f t="shared" si="159"/>
        <v>0.14054073197021552</v>
      </c>
      <c r="P209" s="197">
        <f t="shared" si="159"/>
        <v>0.14054073197021552</v>
      </c>
      <c r="Q209" s="197">
        <f t="shared" ref="Q209:S209" si="160">IF(Q$20, $H156, $H153)</f>
        <v>0.14054073197021552</v>
      </c>
      <c r="R209" s="197">
        <f t="shared" si="160"/>
        <v>0.14054073197021552</v>
      </c>
      <c r="S209" s="197">
        <f t="shared" si="160"/>
        <v>0.14054073197021552</v>
      </c>
      <c r="T209" s="197">
        <f t="shared" ref="T209:U209" si="161">IF(T$20, $H156, $H153)</f>
        <v>0.14054073197021552</v>
      </c>
      <c r="U209" s="197">
        <f t="shared" si="161"/>
        <v>0.14054073197021552</v>
      </c>
      <c r="V209" s="197">
        <f t="shared" ref="V209:W209" si="162">IF(V$20, $H156, $H153)</f>
        <v>0.14054073197021552</v>
      </c>
      <c r="W209" s="197">
        <f t="shared" si="162"/>
        <v>0.14054073197021552</v>
      </c>
      <c r="X209" s="197">
        <f t="shared" ref="X209:Y209" si="163">IF(X$20, $H156, $H153)</f>
        <v>0.14054073197021552</v>
      </c>
      <c r="Y209" s="197">
        <f t="shared" si="163"/>
        <v>0.14054073197021552</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483</v>
      </c>
      <c r="G211" s="89"/>
    </row>
    <row r="212" spans="3:27" x14ac:dyDescent="0.25">
      <c r="E212" s="71"/>
      <c r="F212" s="111" t="s">
        <v>462</v>
      </c>
      <c r="G212" s="93" t="s">
        <v>166</v>
      </c>
      <c r="H212" s="149"/>
      <c r="I212" s="90"/>
      <c r="J212" s="196">
        <f t="shared" ref="J212:K212" si="164">IF(J$20, $H162, $H159)</f>
        <v>0.40527261390044367</v>
      </c>
      <c r="K212" s="196">
        <f t="shared" si="164"/>
        <v>0.40527261390044367</v>
      </c>
      <c r="L212" s="196">
        <f t="shared" ref="L212:M212" si="165">IF(L$20, $H162, $H159)</f>
        <v>0.40527261390044367</v>
      </c>
      <c r="M212" s="196">
        <f t="shared" si="165"/>
        <v>0.40527261390044367</v>
      </c>
      <c r="N212" s="196">
        <f t="shared" ref="N212:P212" si="166">IF(N$20, $H162, $H159)</f>
        <v>0.40527261390044367</v>
      </c>
      <c r="O212" s="196">
        <f t="shared" si="166"/>
        <v>0.40527261390044367</v>
      </c>
      <c r="P212" s="196">
        <f t="shared" si="166"/>
        <v>0.40527261390044367</v>
      </c>
      <c r="Q212" s="196">
        <f t="shared" ref="Q212:S212" si="167">IF(Q$20, $H162, $H159)</f>
        <v>0.36324672717491535</v>
      </c>
      <c r="R212" s="196">
        <f t="shared" si="167"/>
        <v>0.40527261390044367</v>
      </c>
      <c r="S212" s="196">
        <f t="shared" si="167"/>
        <v>0.40527261390044367</v>
      </c>
      <c r="T212" s="196">
        <f t="shared" ref="T212:U212" si="168">IF(T$20, $H162, $H159)</f>
        <v>0.40527261390044367</v>
      </c>
      <c r="U212" s="196">
        <f t="shared" si="168"/>
        <v>0.40527261390044367</v>
      </c>
      <c r="V212" s="196">
        <f t="shared" ref="V212:W212" si="169">IF(V$20, $H162, $H159)</f>
        <v>0.40527261390044367</v>
      </c>
      <c r="W212" s="196">
        <f t="shared" si="169"/>
        <v>0.40527261390044367</v>
      </c>
      <c r="X212" s="196">
        <f t="shared" ref="X212:Y212" si="170">IF(X$20, $H162, $H159)</f>
        <v>0.40527261390044367</v>
      </c>
      <c r="Y212" s="196">
        <f t="shared" si="170"/>
        <v>0.40527261390044367</v>
      </c>
    </row>
    <row r="213" spans="3:27" x14ac:dyDescent="0.25">
      <c r="E213" s="71"/>
      <c r="F213" s="113" t="s">
        <v>463</v>
      </c>
      <c r="G213" s="89" t="s">
        <v>166</v>
      </c>
      <c r="H213" s="150"/>
      <c r="J213" s="188">
        <f t="shared" ref="J213:K213" si="171">IF(J$20, $H163, $H160)</f>
        <v>0.45418665412934084</v>
      </c>
      <c r="K213" s="188">
        <f t="shared" si="171"/>
        <v>0.45418665412934084</v>
      </c>
      <c r="L213" s="188">
        <f t="shared" ref="L213:M213" si="172">IF(L$20, $H163, $H160)</f>
        <v>0.45418665412934084</v>
      </c>
      <c r="M213" s="188">
        <f t="shared" si="172"/>
        <v>0.45418665412934084</v>
      </c>
      <c r="N213" s="188">
        <f t="shared" ref="N213:P213" si="173">IF(N$20, $H163, $H160)</f>
        <v>0.45418665412934084</v>
      </c>
      <c r="O213" s="188">
        <f t="shared" si="173"/>
        <v>0.45418665412934084</v>
      </c>
      <c r="P213" s="188">
        <f t="shared" si="173"/>
        <v>0.45418665412934084</v>
      </c>
      <c r="Q213" s="188">
        <f t="shared" ref="Q213:S213" si="174">IF(Q$20, $H163, $H160)</f>
        <v>0.49621254085486921</v>
      </c>
      <c r="R213" s="188">
        <f t="shared" si="174"/>
        <v>0.45418665412934084</v>
      </c>
      <c r="S213" s="188">
        <f t="shared" si="174"/>
        <v>0.45418665412934084</v>
      </c>
      <c r="T213" s="188">
        <f t="shared" ref="T213:U213" si="175">IF(T$20, $H163, $H160)</f>
        <v>0.45418665412934084</v>
      </c>
      <c r="U213" s="188">
        <f t="shared" si="175"/>
        <v>0.45418665412934084</v>
      </c>
      <c r="V213" s="188">
        <f t="shared" ref="V213:W213" si="176">IF(V$20, $H163, $H160)</f>
        <v>0.45418665412934084</v>
      </c>
      <c r="W213" s="188">
        <f t="shared" si="176"/>
        <v>0.45418665412934084</v>
      </c>
      <c r="X213" s="188">
        <f t="shared" ref="X213:Y213" si="177">IF(X$20, $H163, $H160)</f>
        <v>0.45418665412934084</v>
      </c>
      <c r="Y213" s="188">
        <f t="shared" si="177"/>
        <v>0.45418665412934084</v>
      </c>
    </row>
    <row r="214" spans="3:27" x14ac:dyDescent="0.25">
      <c r="E214" s="71"/>
      <c r="F214" s="115" t="s">
        <v>256</v>
      </c>
      <c r="G214" s="96" t="s">
        <v>166</v>
      </c>
      <c r="H214" s="184"/>
      <c r="I214" s="91"/>
      <c r="J214" s="197">
        <f t="shared" ref="J214:K214" si="178">IF(J$20, $H164, $H161)</f>
        <v>0.14054073197021552</v>
      </c>
      <c r="K214" s="197">
        <f t="shared" si="178"/>
        <v>0.14054073197021552</v>
      </c>
      <c r="L214" s="197">
        <f t="shared" ref="L214:M214" si="179">IF(L$20, $H164, $H161)</f>
        <v>0.14054073197021552</v>
      </c>
      <c r="M214" s="197">
        <f t="shared" si="179"/>
        <v>0.14054073197021552</v>
      </c>
      <c r="N214" s="197">
        <f t="shared" ref="N214:P214" si="180">IF(N$20, $H164, $H161)</f>
        <v>0.14054073197021552</v>
      </c>
      <c r="O214" s="197">
        <f t="shared" si="180"/>
        <v>0.14054073197021552</v>
      </c>
      <c r="P214" s="197">
        <f t="shared" si="180"/>
        <v>0.14054073197021552</v>
      </c>
      <c r="Q214" s="197">
        <f t="shared" ref="Q214:S214" si="181">IF(Q$20, $H164, $H161)</f>
        <v>0.14054073197021552</v>
      </c>
      <c r="R214" s="197">
        <f t="shared" si="181"/>
        <v>0.14054073197021552</v>
      </c>
      <c r="S214" s="197">
        <f t="shared" si="181"/>
        <v>0.14054073197021552</v>
      </c>
      <c r="T214" s="197">
        <f t="shared" ref="T214:U214" si="182">IF(T$20, $H164, $H161)</f>
        <v>0.14054073197021552</v>
      </c>
      <c r="U214" s="197">
        <f t="shared" si="182"/>
        <v>0.14054073197021552</v>
      </c>
      <c r="V214" s="197">
        <f t="shared" ref="V214:W214" si="183">IF(V$20, $H164, $H161)</f>
        <v>0.14054073197021552</v>
      </c>
      <c r="W214" s="197">
        <f t="shared" si="183"/>
        <v>0.14054073197021552</v>
      </c>
      <c r="X214" s="197">
        <f t="shared" ref="X214:Y214" si="184">IF(X$20, $H164, $H161)</f>
        <v>0.14054073197021552</v>
      </c>
      <c r="Y214" s="197">
        <f t="shared" si="184"/>
        <v>0.14054073197021552</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484</v>
      </c>
      <c r="G216" s="89"/>
    </row>
    <row r="217" spans="3:27" x14ac:dyDescent="0.25">
      <c r="E217" s="71"/>
      <c r="F217" s="111" t="s">
        <v>462</v>
      </c>
      <c r="G217" s="93" t="s">
        <v>166</v>
      </c>
      <c r="H217" s="149"/>
      <c r="I217" s="90"/>
      <c r="J217" s="196">
        <f t="shared" ref="J217:K217" si="185">IF(J$20, $H170, $H167)</f>
        <v>0.40527261390044367</v>
      </c>
      <c r="K217" s="196">
        <f t="shared" si="185"/>
        <v>0.40527261390044367</v>
      </c>
      <c r="L217" s="196">
        <f t="shared" ref="L217:M217" si="186">IF(L$20, $H170, $H167)</f>
        <v>0.40527261390044367</v>
      </c>
      <c r="M217" s="196">
        <f t="shared" si="186"/>
        <v>0.40527261390044367</v>
      </c>
      <c r="N217" s="196">
        <f t="shared" ref="N217:P217" si="187">IF(N$20, $H170, $H167)</f>
        <v>0.40527261390044367</v>
      </c>
      <c r="O217" s="196">
        <f t="shared" si="187"/>
        <v>0.40527261390044367</v>
      </c>
      <c r="P217" s="196">
        <f t="shared" si="187"/>
        <v>0.40527261390044367</v>
      </c>
      <c r="Q217" s="196">
        <f t="shared" ref="Q217:S217" si="188">IF(Q$20, $H170, $H167)</f>
        <v>0.36324672717491535</v>
      </c>
      <c r="R217" s="196">
        <f t="shared" si="188"/>
        <v>0.40527261390044367</v>
      </c>
      <c r="S217" s="196">
        <f t="shared" si="188"/>
        <v>0.40527261390044367</v>
      </c>
      <c r="T217" s="196">
        <f t="shared" ref="T217:U217" si="189">IF(T$20, $H170, $H167)</f>
        <v>0.40527261390044367</v>
      </c>
      <c r="U217" s="196">
        <f t="shared" si="189"/>
        <v>0.40527261390044367</v>
      </c>
      <c r="V217" s="196">
        <f t="shared" ref="V217:W217" si="190">IF(V$20, $H170, $H167)</f>
        <v>0.40527261390044367</v>
      </c>
      <c r="W217" s="196">
        <f t="shared" si="190"/>
        <v>0.40527261390044367</v>
      </c>
      <c r="X217" s="196">
        <f t="shared" ref="X217:Y217" si="191">IF(X$20, $H170, $H167)</f>
        <v>0.40527261390044367</v>
      </c>
      <c r="Y217" s="196">
        <f t="shared" si="191"/>
        <v>0.40527261390044367</v>
      </c>
    </row>
    <row r="218" spans="3:27" x14ac:dyDescent="0.25">
      <c r="E218" s="71"/>
      <c r="F218" s="113" t="s">
        <v>463</v>
      </c>
      <c r="G218" s="89" t="s">
        <v>166</v>
      </c>
      <c r="H218" s="150"/>
      <c r="J218" s="188">
        <f t="shared" ref="J218:K218" si="192">IF(J$20, $H171, $H168)</f>
        <v>0.45418665412934084</v>
      </c>
      <c r="K218" s="188">
        <f t="shared" si="192"/>
        <v>0.45418665412934084</v>
      </c>
      <c r="L218" s="188">
        <f t="shared" ref="L218:M218" si="193">IF(L$20, $H171, $H168)</f>
        <v>0.45418665412934084</v>
      </c>
      <c r="M218" s="188">
        <f t="shared" si="193"/>
        <v>0.45418665412934084</v>
      </c>
      <c r="N218" s="188">
        <f t="shared" ref="N218:P218" si="194">IF(N$20, $H171, $H168)</f>
        <v>0.45418665412934084</v>
      </c>
      <c r="O218" s="188">
        <f t="shared" si="194"/>
        <v>0.45418665412934084</v>
      </c>
      <c r="P218" s="188">
        <f t="shared" si="194"/>
        <v>0.45418665412934084</v>
      </c>
      <c r="Q218" s="188">
        <f t="shared" ref="Q218:S218" si="195">IF(Q$20, $H171, $H168)</f>
        <v>0.49621254085486921</v>
      </c>
      <c r="R218" s="188">
        <f t="shared" si="195"/>
        <v>0.45418665412934084</v>
      </c>
      <c r="S218" s="188">
        <f t="shared" si="195"/>
        <v>0.45418665412934084</v>
      </c>
      <c r="T218" s="188">
        <f t="shared" ref="T218:U218" si="196">IF(T$20, $H171, $H168)</f>
        <v>0.45418665412934084</v>
      </c>
      <c r="U218" s="188">
        <f t="shared" si="196"/>
        <v>0.45418665412934084</v>
      </c>
      <c r="V218" s="188">
        <f t="shared" ref="V218:W218" si="197">IF(V$20, $H171, $H168)</f>
        <v>0.45418665412934084</v>
      </c>
      <c r="W218" s="188">
        <f t="shared" si="197"/>
        <v>0.45418665412934084</v>
      </c>
      <c r="X218" s="188">
        <f t="shared" ref="X218:Y218" si="198">IF(X$20, $H171, $H168)</f>
        <v>0.45418665412934084</v>
      </c>
      <c r="Y218" s="188">
        <f t="shared" si="198"/>
        <v>0.45418665412934084</v>
      </c>
    </row>
    <row r="219" spans="3:27" x14ac:dyDescent="0.25">
      <c r="E219" s="71"/>
      <c r="F219" s="115" t="s">
        <v>256</v>
      </c>
      <c r="G219" s="96" t="s">
        <v>166</v>
      </c>
      <c r="H219" s="184"/>
      <c r="I219" s="91"/>
      <c r="J219" s="197">
        <f t="shared" ref="J219:K219" si="199">IF(J$20, $H172, $H169)</f>
        <v>0.14054073197021552</v>
      </c>
      <c r="K219" s="197">
        <f t="shared" si="199"/>
        <v>0.14054073197021552</v>
      </c>
      <c r="L219" s="197">
        <f t="shared" ref="L219:M219" si="200">IF(L$20, $H172, $H169)</f>
        <v>0.14054073197021552</v>
      </c>
      <c r="M219" s="197">
        <f t="shared" si="200"/>
        <v>0.14054073197021552</v>
      </c>
      <c r="N219" s="197">
        <f t="shared" ref="N219:P219" si="201">IF(N$20, $H172, $H169)</f>
        <v>0.14054073197021552</v>
      </c>
      <c r="O219" s="197">
        <f t="shared" si="201"/>
        <v>0.14054073197021552</v>
      </c>
      <c r="P219" s="197">
        <f t="shared" si="201"/>
        <v>0.14054073197021552</v>
      </c>
      <c r="Q219" s="197">
        <f t="shared" ref="Q219:S219" si="202">IF(Q$20, $H172, $H169)</f>
        <v>0.14054073197021552</v>
      </c>
      <c r="R219" s="197">
        <f t="shared" si="202"/>
        <v>0.14054073197021552</v>
      </c>
      <c r="S219" s="197">
        <f t="shared" si="202"/>
        <v>0.14054073197021552</v>
      </c>
      <c r="T219" s="197">
        <f t="shared" ref="T219:U219" si="203">IF(T$20, $H172, $H169)</f>
        <v>0.14054073197021552</v>
      </c>
      <c r="U219" s="197">
        <f t="shared" si="203"/>
        <v>0.14054073197021552</v>
      </c>
      <c r="V219" s="197">
        <f t="shared" ref="V219:W219" si="204">IF(V$20, $H172, $H169)</f>
        <v>0.14054073197021552</v>
      </c>
      <c r="W219" s="197">
        <f t="shared" si="204"/>
        <v>0.14054073197021552</v>
      </c>
      <c r="X219" s="197">
        <f t="shared" ref="X219:Y219" si="205">IF(X$20, $H172, $H169)</f>
        <v>0.14054073197021552</v>
      </c>
      <c r="Y219" s="197">
        <f t="shared" si="205"/>
        <v>0.14054073197021552</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485</v>
      </c>
      <c r="G223" s="89"/>
    </row>
    <row r="224" spans="3:27" x14ac:dyDescent="0.25">
      <c r="F224" s="93" t="s">
        <v>462</v>
      </c>
      <c r="G224" s="93" t="s">
        <v>486</v>
      </c>
      <c r="H224" s="90"/>
      <c r="I224" s="90"/>
      <c r="J224" s="222">
        <f t="shared" ref="J224:Y224" si="206">1 / J24</f>
        <v>1.0946907498631637E-3</v>
      </c>
      <c r="K224" s="222">
        <f t="shared" si="206"/>
        <v>1.0946907498631637E-3</v>
      </c>
      <c r="L224" s="222">
        <f t="shared" si="206"/>
        <v>1.0946907498631637E-3</v>
      </c>
      <c r="M224" s="222">
        <f t="shared" si="206"/>
        <v>1.0946907498631637E-3</v>
      </c>
      <c r="N224" s="222">
        <f t="shared" si="206"/>
        <v>1.0946907498631637E-3</v>
      </c>
      <c r="O224" s="222">
        <f t="shared" si="206"/>
        <v>1.0946907498631637E-3</v>
      </c>
      <c r="P224" s="222">
        <f t="shared" si="206"/>
        <v>1.0946907498631637E-3</v>
      </c>
      <c r="Q224" s="222">
        <f t="shared" si="206"/>
        <v>3.3613445378151263E-3</v>
      </c>
      <c r="R224" s="222">
        <f t="shared" si="206"/>
        <v>1.0946907498631637E-3</v>
      </c>
      <c r="S224" s="222">
        <f t="shared" si="206"/>
        <v>1.0946907498631637E-3</v>
      </c>
      <c r="T224" s="222">
        <f t="shared" si="206"/>
        <v>1.0946907498631637E-3</v>
      </c>
      <c r="U224" s="222">
        <f t="shared" si="206"/>
        <v>1.0946907498631637E-3</v>
      </c>
      <c r="V224" s="222">
        <f t="shared" si="206"/>
        <v>1.0946907498631637E-3</v>
      </c>
      <c r="W224" s="222">
        <f t="shared" si="206"/>
        <v>1.0946907498631637E-3</v>
      </c>
      <c r="X224" s="222">
        <f t="shared" si="206"/>
        <v>1.0946907498631637E-3</v>
      </c>
      <c r="Y224" s="222">
        <f t="shared" si="206"/>
        <v>1.0946907498631637E-3</v>
      </c>
    </row>
    <row r="225" spans="5:25" x14ac:dyDescent="0.25">
      <c r="F225" s="89" t="s">
        <v>463</v>
      </c>
      <c r="G225" s="89" t="s">
        <v>486</v>
      </c>
      <c r="J225" s="101">
        <f t="shared" ref="J225:Y225" si="207">1 / J25</f>
        <v>3.6489691662105453E-4</v>
      </c>
      <c r="K225" s="101">
        <f t="shared" si="207"/>
        <v>3.6489691662105453E-4</v>
      </c>
      <c r="L225" s="101">
        <f t="shared" si="207"/>
        <v>3.6489691662105453E-4</v>
      </c>
      <c r="M225" s="101">
        <f t="shared" si="207"/>
        <v>3.6489691662105453E-4</v>
      </c>
      <c r="N225" s="101">
        <f t="shared" si="207"/>
        <v>3.6489691662105453E-4</v>
      </c>
      <c r="O225" s="101">
        <f t="shared" si="207"/>
        <v>3.6489691662105453E-4</v>
      </c>
      <c r="P225" s="101">
        <f t="shared" si="207"/>
        <v>3.6489691662105453E-4</v>
      </c>
      <c r="Q225" s="101">
        <f t="shared" si="207"/>
        <v>2.9792939073439596E-4</v>
      </c>
      <c r="R225" s="101">
        <f t="shared" si="207"/>
        <v>3.6489691662105453E-4</v>
      </c>
      <c r="S225" s="101">
        <f t="shared" si="207"/>
        <v>3.6489691662105453E-4</v>
      </c>
      <c r="T225" s="101">
        <f t="shared" si="207"/>
        <v>3.6489691662105453E-4</v>
      </c>
      <c r="U225" s="101">
        <f t="shared" si="207"/>
        <v>3.6489691662105453E-4</v>
      </c>
      <c r="V225" s="101">
        <f t="shared" si="207"/>
        <v>3.6489691662105453E-4</v>
      </c>
      <c r="W225" s="101">
        <f t="shared" si="207"/>
        <v>3.6489691662105453E-4</v>
      </c>
      <c r="X225" s="101">
        <f t="shared" si="207"/>
        <v>3.6489691662105453E-4</v>
      </c>
      <c r="Y225" s="101">
        <f t="shared" si="207"/>
        <v>3.6489691662105453E-4</v>
      </c>
    </row>
    <row r="226" spans="5:25" x14ac:dyDescent="0.25">
      <c r="F226" s="96" t="s">
        <v>256</v>
      </c>
      <c r="G226" s="96" t="s">
        <v>486</v>
      </c>
      <c r="H226" s="91"/>
      <c r="I226" s="91"/>
      <c r="J226" s="193">
        <f t="shared" ref="J226:Y226" si="208">1 / J26</f>
        <v>1.9584802193497845E-4</v>
      </c>
      <c r="K226" s="193">
        <f t="shared" si="208"/>
        <v>1.9584802193497845E-4</v>
      </c>
      <c r="L226" s="193">
        <f t="shared" si="208"/>
        <v>1.9584802193497845E-4</v>
      </c>
      <c r="M226" s="193">
        <f t="shared" si="208"/>
        <v>1.9584802193497845E-4</v>
      </c>
      <c r="N226" s="193">
        <f t="shared" si="208"/>
        <v>1.9584802193497845E-4</v>
      </c>
      <c r="O226" s="193">
        <f t="shared" si="208"/>
        <v>1.9584802193497845E-4</v>
      </c>
      <c r="P226" s="193">
        <f t="shared" si="208"/>
        <v>1.9584802193497845E-4</v>
      </c>
      <c r="Q226" s="193">
        <f t="shared" si="208"/>
        <v>1.9584802193497845E-4</v>
      </c>
      <c r="R226" s="193">
        <f t="shared" si="208"/>
        <v>1.9584802193497845E-4</v>
      </c>
      <c r="S226" s="193">
        <f t="shared" si="208"/>
        <v>1.9584802193497845E-4</v>
      </c>
      <c r="T226" s="193">
        <f t="shared" si="208"/>
        <v>1.9584802193497845E-4</v>
      </c>
      <c r="U226" s="193">
        <f t="shared" si="208"/>
        <v>1.9584802193497845E-4</v>
      </c>
      <c r="V226" s="193">
        <f t="shared" si="208"/>
        <v>1.9584802193497845E-4</v>
      </c>
      <c r="W226" s="193">
        <f t="shared" si="208"/>
        <v>1.9584802193497845E-4</v>
      </c>
      <c r="X226" s="193">
        <f t="shared" si="208"/>
        <v>1.9584802193497845E-4</v>
      </c>
      <c r="Y226" s="193">
        <f t="shared" si="208"/>
        <v>1.9584802193497845E-4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155</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190</v>
      </c>
      <c r="G229" s="93" t="s">
        <v>282</v>
      </c>
      <c r="H229" s="90"/>
      <c r="I229" s="90"/>
      <c r="J229" s="216">
        <f>J177 * J$224 * hours_in_year</f>
        <v>5.9702206429202027</v>
      </c>
      <c r="K229" s="216">
        <f t="shared" ref="K229:Y229" si="209">K177 * K$224 * hours_in_year</f>
        <v>5.9702206429202027</v>
      </c>
      <c r="L229" s="216">
        <f t="shared" si="209"/>
        <v>5.9702206429202027</v>
      </c>
      <c r="M229" s="216">
        <f t="shared" si="209"/>
        <v>5.9702206429202027</v>
      </c>
      <c r="N229" s="216">
        <f t="shared" si="209"/>
        <v>5.9702206429202027</v>
      </c>
      <c r="O229" s="216">
        <f t="shared" si="209"/>
        <v>5.9702206429202027</v>
      </c>
      <c r="P229" s="216">
        <f t="shared" si="209"/>
        <v>5.9702206429202027</v>
      </c>
      <c r="Q229" s="216">
        <f t="shared" si="209"/>
        <v>17.060709686187757</v>
      </c>
      <c r="R229" s="216">
        <f t="shared" si="209"/>
        <v>5.9702206429202027</v>
      </c>
      <c r="S229" s="216">
        <f t="shared" si="209"/>
        <v>5.9702206429202027</v>
      </c>
      <c r="T229" s="216">
        <f t="shared" si="209"/>
        <v>5.9702206429202027</v>
      </c>
      <c r="U229" s="216">
        <f t="shared" si="209"/>
        <v>5.9702206429202027</v>
      </c>
      <c r="V229" s="216">
        <f t="shared" si="209"/>
        <v>5.9702206429202027</v>
      </c>
      <c r="W229" s="216">
        <f t="shared" si="209"/>
        <v>5.9702206429202027</v>
      </c>
      <c r="X229" s="216">
        <f t="shared" si="209"/>
        <v>5.9702206429202027</v>
      </c>
      <c r="Y229" s="216">
        <f t="shared" si="209"/>
        <v>5.9702206429202027</v>
      </c>
    </row>
    <row r="230" spans="5:25" x14ac:dyDescent="0.25">
      <c r="F230" s="224" t="s">
        <v>191</v>
      </c>
      <c r="G230" s="89" t="s">
        <v>282</v>
      </c>
      <c r="J230" s="216">
        <f t="shared" ref="J230:Y230" si="210">J182 * J224 * hours_in_year</f>
        <v>4.8517913527564795</v>
      </c>
      <c r="K230" s="216">
        <f t="shared" si="210"/>
        <v>4.8517913527564795</v>
      </c>
      <c r="L230" s="216">
        <f t="shared" si="210"/>
        <v>4.8517913527564795</v>
      </c>
      <c r="M230" s="216">
        <f t="shared" si="210"/>
        <v>4.8517913527564795</v>
      </c>
      <c r="N230" s="216">
        <f t="shared" si="210"/>
        <v>4.8517913527564795</v>
      </c>
      <c r="O230" s="216">
        <f t="shared" si="210"/>
        <v>4.8517913527564795</v>
      </c>
      <c r="P230" s="216">
        <f t="shared" si="210"/>
        <v>4.8517913527564795</v>
      </c>
      <c r="Q230" s="216">
        <f t="shared" si="210"/>
        <v>14.148664143376081</v>
      </c>
      <c r="R230" s="216">
        <f t="shared" si="210"/>
        <v>4.8517913527564795</v>
      </c>
      <c r="S230" s="216">
        <f t="shared" si="210"/>
        <v>4.8517913527564795</v>
      </c>
      <c r="T230" s="216">
        <f t="shared" si="210"/>
        <v>4.8517913527564795</v>
      </c>
      <c r="U230" s="216">
        <f t="shared" si="210"/>
        <v>4.8517913527564795</v>
      </c>
      <c r="V230" s="216">
        <f t="shared" si="210"/>
        <v>4.8517913527564795</v>
      </c>
      <c r="W230" s="216">
        <f t="shared" si="210"/>
        <v>4.8517913527564795</v>
      </c>
      <c r="X230" s="216">
        <f t="shared" si="210"/>
        <v>4.8517913527564795</v>
      </c>
      <c r="Y230" s="216">
        <f t="shared" si="210"/>
        <v>4.8517913527564795</v>
      </c>
    </row>
    <row r="231" spans="5:25" x14ac:dyDescent="0.25">
      <c r="F231" s="224" t="s">
        <v>192</v>
      </c>
      <c r="G231" s="89" t="s">
        <v>282</v>
      </c>
      <c r="J231" s="216">
        <f t="shared" ref="J231:Y231" si="211">J187 * J224 * hours_in_year</f>
        <v>4.8517913527564795</v>
      </c>
      <c r="K231" s="216">
        <f t="shared" si="211"/>
        <v>4.8517913527564795</v>
      </c>
      <c r="L231" s="216">
        <f t="shared" si="211"/>
        <v>4.8517913527564795</v>
      </c>
      <c r="M231" s="216">
        <f t="shared" si="211"/>
        <v>4.8517913527564795</v>
      </c>
      <c r="N231" s="216">
        <f t="shared" si="211"/>
        <v>4.8517913527564795</v>
      </c>
      <c r="O231" s="216">
        <f t="shared" si="211"/>
        <v>4.8517913527564795</v>
      </c>
      <c r="P231" s="216">
        <f t="shared" si="211"/>
        <v>4.8517913527564795</v>
      </c>
      <c r="Q231" s="216">
        <f t="shared" si="211"/>
        <v>14.148664143376081</v>
      </c>
      <c r="R231" s="216">
        <f t="shared" si="211"/>
        <v>4.8517913527564795</v>
      </c>
      <c r="S231" s="216">
        <f t="shared" si="211"/>
        <v>4.8517913527564795</v>
      </c>
      <c r="T231" s="216">
        <f t="shared" si="211"/>
        <v>4.8517913527564795</v>
      </c>
      <c r="U231" s="216">
        <f t="shared" si="211"/>
        <v>4.8517913527564795</v>
      </c>
      <c r="V231" s="216">
        <f t="shared" si="211"/>
        <v>4.8517913527564795</v>
      </c>
      <c r="W231" s="216">
        <f t="shared" si="211"/>
        <v>4.8517913527564795</v>
      </c>
      <c r="X231" s="216">
        <f t="shared" si="211"/>
        <v>4.8517913527564795</v>
      </c>
      <c r="Y231" s="216">
        <f t="shared" si="211"/>
        <v>4.8517913527564795</v>
      </c>
    </row>
    <row r="232" spans="5:25" x14ac:dyDescent="0.25">
      <c r="F232" s="224" t="s">
        <v>193</v>
      </c>
      <c r="G232" s="89" t="s">
        <v>282</v>
      </c>
      <c r="J232" s="216">
        <f t="shared" ref="J232:Y232" si="212">J192 * J224 * hours_in_year</f>
        <v>3.8863580709008065</v>
      </c>
      <c r="K232" s="216">
        <f t="shared" si="212"/>
        <v>3.8863580709008065</v>
      </c>
      <c r="L232" s="216">
        <f t="shared" si="212"/>
        <v>3.8863580709008065</v>
      </c>
      <c r="M232" s="216">
        <f t="shared" si="212"/>
        <v>3.8863580709008065</v>
      </c>
      <c r="N232" s="216">
        <f t="shared" si="212"/>
        <v>3.8863580709008065</v>
      </c>
      <c r="O232" s="216">
        <f t="shared" si="212"/>
        <v>3.8863580709008065</v>
      </c>
      <c r="P232" s="216">
        <f t="shared" si="212"/>
        <v>3.8863580709008065</v>
      </c>
      <c r="Q232" s="216">
        <f t="shared" si="212"/>
        <v>10.695937243873137</v>
      </c>
      <c r="R232" s="216">
        <f t="shared" si="212"/>
        <v>3.8863580709008065</v>
      </c>
      <c r="S232" s="216">
        <f t="shared" si="212"/>
        <v>3.8863580709008065</v>
      </c>
      <c r="T232" s="216">
        <f t="shared" si="212"/>
        <v>3.8863580709008065</v>
      </c>
      <c r="U232" s="216">
        <f t="shared" si="212"/>
        <v>3.8863580709008065</v>
      </c>
      <c r="V232" s="216">
        <f t="shared" si="212"/>
        <v>3.8863580709008065</v>
      </c>
      <c r="W232" s="216">
        <f t="shared" si="212"/>
        <v>3.8863580709008065</v>
      </c>
      <c r="X232" s="216">
        <f t="shared" si="212"/>
        <v>3.8863580709008065</v>
      </c>
      <c r="Y232" s="216">
        <f t="shared" si="212"/>
        <v>3.8863580709008065</v>
      </c>
    </row>
    <row r="233" spans="5:25" x14ac:dyDescent="0.25">
      <c r="F233" s="224" t="s">
        <v>194</v>
      </c>
      <c r="G233" s="89" t="s">
        <v>282</v>
      </c>
      <c r="J233" s="216">
        <f t="shared" ref="J233:Y233" si="213">J197 * J224 * hours_in_year</f>
        <v>3.8863580709008065</v>
      </c>
      <c r="K233" s="216">
        <f t="shared" si="213"/>
        <v>3.8863580709008065</v>
      </c>
      <c r="L233" s="216">
        <f t="shared" si="213"/>
        <v>3.8863580709008065</v>
      </c>
      <c r="M233" s="216">
        <f t="shared" si="213"/>
        <v>3.8863580709008065</v>
      </c>
      <c r="N233" s="216">
        <f t="shared" si="213"/>
        <v>3.8863580709008065</v>
      </c>
      <c r="O233" s="216">
        <f t="shared" si="213"/>
        <v>3.8863580709008065</v>
      </c>
      <c r="P233" s="216">
        <f t="shared" si="213"/>
        <v>3.8863580709008065</v>
      </c>
      <c r="Q233" s="216">
        <f t="shared" si="213"/>
        <v>10.695937243873137</v>
      </c>
      <c r="R233" s="216">
        <f t="shared" si="213"/>
        <v>3.8863580709008065</v>
      </c>
      <c r="S233" s="216">
        <f t="shared" si="213"/>
        <v>3.8863580709008065</v>
      </c>
      <c r="T233" s="216">
        <f t="shared" si="213"/>
        <v>3.8863580709008065</v>
      </c>
      <c r="U233" s="216">
        <f t="shared" si="213"/>
        <v>3.8863580709008065</v>
      </c>
      <c r="V233" s="216">
        <f t="shared" si="213"/>
        <v>3.8863580709008065</v>
      </c>
      <c r="W233" s="216">
        <f t="shared" si="213"/>
        <v>3.8863580709008065</v>
      </c>
      <c r="X233" s="216">
        <f t="shared" si="213"/>
        <v>3.8863580709008065</v>
      </c>
      <c r="Y233" s="216">
        <f t="shared" si="213"/>
        <v>3.8863580709008065</v>
      </c>
    </row>
    <row r="234" spans="5:25" x14ac:dyDescent="0.25">
      <c r="F234" s="224" t="s">
        <v>195</v>
      </c>
      <c r="G234" s="89" t="s">
        <v>282</v>
      </c>
      <c r="J234" s="216">
        <f t="shared" ref="J234:Y234" si="214">J202 * J224 * hours_in_year</f>
        <v>0</v>
      </c>
      <c r="K234" s="216">
        <f t="shared" si="214"/>
        <v>0</v>
      </c>
      <c r="L234" s="216">
        <f t="shared" si="214"/>
        <v>0</v>
      </c>
      <c r="M234" s="216">
        <f t="shared" si="214"/>
        <v>0</v>
      </c>
      <c r="N234" s="216">
        <f t="shared" si="214"/>
        <v>0</v>
      </c>
      <c r="O234" s="216">
        <f t="shared" si="214"/>
        <v>0</v>
      </c>
      <c r="P234" s="216">
        <f t="shared" si="214"/>
        <v>0</v>
      </c>
      <c r="Q234" s="216">
        <f t="shared" si="214"/>
        <v>0</v>
      </c>
      <c r="R234" s="216">
        <f t="shared" si="214"/>
        <v>0</v>
      </c>
      <c r="S234" s="216">
        <f t="shared" si="214"/>
        <v>0</v>
      </c>
      <c r="T234" s="216">
        <f t="shared" si="214"/>
        <v>0</v>
      </c>
      <c r="U234" s="216">
        <f t="shared" si="214"/>
        <v>0</v>
      </c>
      <c r="V234" s="216">
        <f t="shared" si="214"/>
        <v>0</v>
      </c>
      <c r="W234" s="216">
        <f t="shared" si="214"/>
        <v>0</v>
      </c>
      <c r="X234" s="216">
        <f t="shared" si="214"/>
        <v>0</v>
      </c>
      <c r="Y234" s="216">
        <f t="shared" si="214"/>
        <v>0</v>
      </c>
    </row>
    <row r="235" spans="5:25" x14ac:dyDescent="0.25">
      <c r="F235" s="224" t="s">
        <v>196</v>
      </c>
      <c r="G235" s="89" t="s">
        <v>282</v>
      </c>
      <c r="J235" s="216">
        <f t="shared" ref="J235:Y235" si="215">J207 * J224 * hours_in_year</f>
        <v>3.8863580709008065</v>
      </c>
      <c r="K235" s="216">
        <f t="shared" si="215"/>
        <v>3.8863580709008065</v>
      </c>
      <c r="L235" s="216">
        <f t="shared" si="215"/>
        <v>3.8863580709008065</v>
      </c>
      <c r="M235" s="216">
        <f t="shared" si="215"/>
        <v>3.8863580709008065</v>
      </c>
      <c r="N235" s="216">
        <f t="shared" si="215"/>
        <v>3.8863580709008065</v>
      </c>
      <c r="O235" s="216">
        <f t="shared" si="215"/>
        <v>3.8863580709008065</v>
      </c>
      <c r="P235" s="216">
        <f t="shared" si="215"/>
        <v>3.8863580709008065</v>
      </c>
      <c r="Q235" s="216">
        <f t="shared" si="215"/>
        <v>10.695937243873137</v>
      </c>
      <c r="R235" s="216">
        <f t="shared" si="215"/>
        <v>3.8863580709008065</v>
      </c>
      <c r="S235" s="216">
        <f t="shared" si="215"/>
        <v>3.8863580709008065</v>
      </c>
      <c r="T235" s="216">
        <f t="shared" si="215"/>
        <v>3.8863580709008065</v>
      </c>
      <c r="U235" s="216">
        <f t="shared" si="215"/>
        <v>3.8863580709008065</v>
      </c>
      <c r="V235" s="216">
        <f t="shared" si="215"/>
        <v>3.8863580709008065</v>
      </c>
      <c r="W235" s="216">
        <f t="shared" si="215"/>
        <v>3.8863580709008065</v>
      </c>
      <c r="X235" s="216">
        <f t="shared" si="215"/>
        <v>3.8863580709008065</v>
      </c>
      <c r="Y235" s="216">
        <f t="shared" si="215"/>
        <v>3.8863580709008065</v>
      </c>
    </row>
    <row r="236" spans="5:25" x14ac:dyDescent="0.25">
      <c r="F236" s="224" t="s">
        <v>197</v>
      </c>
      <c r="G236" s="89" t="s">
        <v>282</v>
      </c>
      <c r="J236" s="216">
        <f t="shared" ref="J236:Y236" si="216">J212 * J224 * hours_in_year</f>
        <v>3.8863580709008065</v>
      </c>
      <c r="K236" s="216">
        <f t="shared" si="216"/>
        <v>3.8863580709008065</v>
      </c>
      <c r="L236" s="216">
        <f t="shared" si="216"/>
        <v>3.8863580709008065</v>
      </c>
      <c r="M236" s="216">
        <f t="shared" si="216"/>
        <v>3.8863580709008065</v>
      </c>
      <c r="N236" s="216">
        <f t="shared" si="216"/>
        <v>3.8863580709008065</v>
      </c>
      <c r="O236" s="216">
        <f t="shared" si="216"/>
        <v>3.8863580709008065</v>
      </c>
      <c r="P236" s="216">
        <f t="shared" si="216"/>
        <v>3.8863580709008065</v>
      </c>
      <c r="Q236" s="216">
        <f t="shared" si="216"/>
        <v>10.695937243873137</v>
      </c>
      <c r="R236" s="216">
        <f t="shared" si="216"/>
        <v>3.8863580709008065</v>
      </c>
      <c r="S236" s="216">
        <f t="shared" si="216"/>
        <v>3.8863580709008065</v>
      </c>
      <c r="T236" s="216">
        <f t="shared" si="216"/>
        <v>3.8863580709008065</v>
      </c>
      <c r="U236" s="216">
        <f t="shared" si="216"/>
        <v>3.8863580709008065</v>
      </c>
      <c r="V236" s="216">
        <f t="shared" si="216"/>
        <v>3.8863580709008065</v>
      </c>
      <c r="W236" s="216">
        <f t="shared" si="216"/>
        <v>3.8863580709008065</v>
      </c>
      <c r="X236" s="216">
        <f t="shared" si="216"/>
        <v>3.8863580709008065</v>
      </c>
      <c r="Y236" s="216">
        <f t="shared" si="216"/>
        <v>3.8863580709008065</v>
      </c>
    </row>
    <row r="237" spans="5:25" x14ac:dyDescent="0.25">
      <c r="F237" s="225" t="s">
        <v>198</v>
      </c>
      <c r="G237" s="96" t="s">
        <v>282</v>
      </c>
      <c r="H237" s="91"/>
      <c r="I237" s="91"/>
      <c r="J237" s="216">
        <f t="shared" ref="J237:Y237" si="217">J217 * J224 * hours_in_year</f>
        <v>3.8863580709008065</v>
      </c>
      <c r="K237" s="216">
        <f t="shared" si="217"/>
        <v>3.8863580709008065</v>
      </c>
      <c r="L237" s="216">
        <f t="shared" si="217"/>
        <v>3.8863580709008065</v>
      </c>
      <c r="M237" s="216">
        <f t="shared" si="217"/>
        <v>3.8863580709008065</v>
      </c>
      <c r="N237" s="216">
        <f t="shared" si="217"/>
        <v>3.8863580709008065</v>
      </c>
      <c r="O237" s="216">
        <f t="shared" si="217"/>
        <v>3.8863580709008065</v>
      </c>
      <c r="P237" s="216">
        <f t="shared" si="217"/>
        <v>3.8863580709008065</v>
      </c>
      <c r="Q237" s="216">
        <f t="shared" si="217"/>
        <v>10.695937243873137</v>
      </c>
      <c r="R237" s="216">
        <f t="shared" si="217"/>
        <v>3.8863580709008065</v>
      </c>
      <c r="S237" s="216">
        <f t="shared" si="217"/>
        <v>3.8863580709008065</v>
      </c>
      <c r="T237" s="216">
        <f t="shared" si="217"/>
        <v>3.8863580709008065</v>
      </c>
      <c r="U237" s="216">
        <f t="shared" si="217"/>
        <v>3.8863580709008065</v>
      </c>
      <c r="V237" s="216">
        <f t="shared" si="217"/>
        <v>3.8863580709008065</v>
      </c>
      <c r="W237" s="216">
        <f t="shared" si="217"/>
        <v>3.8863580709008065</v>
      </c>
      <c r="X237" s="216">
        <f t="shared" si="217"/>
        <v>3.8863580709008065</v>
      </c>
      <c r="Y237" s="216">
        <f t="shared" si="217"/>
        <v>3.8863580709008065</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156</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190</v>
      </c>
      <c r="G240" s="93" t="s">
        <v>282</v>
      </c>
      <c r="H240" s="90"/>
      <c r="I240" s="90"/>
      <c r="J240" s="216">
        <f t="shared" ref="J240:Y240" si="218">J178 * J225 * hours_in_year</f>
        <v>1.0209232045349479</v>
      </c>
      <c r="K240" s="216">
        <f t="shared" si="218"/>
        <v>1.0209232045349479</v>
      </c>
      <c r="L240" s="216">
        <f t="shared" si="218"/>
        <v>1.0209232045349479</v>
      </c>
      <c r="M240" s="216">
        <f t="shared" si="218"/>
        <v>1.0209232045349479</v>
      </c>
      <c r="N240" s="216">
        <f t="shared" si="218"/>
        <v>1.0209232045349479</v>
      </c>
      <c r="O240" s="216">
        <f t="shared" si="218"/>
        <v>1.0209232045349479</v>
      </c>
      <c r="P240" s="216">
        <f t="shared" si="218"/>
        <v>1.0209232045349479</v>
      </c>
      <c r="Q240" s="216">
        <f t="shared" si="218"/>
        <v>0.94624622901676514</v>
      </c>
      <c r="R240" s="216">
        <f t="shared" si="218"/>
        <v>1.0209232045349479</v>
      </c>
      <c r="S240" s="216">
        <f t="shared" si="218"/>
        <v>1.0209232045349479</v>
      </c>
      <c r="T240" s="216">
        <f t="shared" si="218"/>
        <v>1.0209232045349479</v>
      </c>
      <c r="U240" s="216">
        <f t="shared" si="218"/>
        <v>1.0209232045349479</v>
      </c>
      <c r="V240" s="216">
        <f t="shared" si="218"/>
        <v>1.0209232045349479</v>
      </c>
      <c r="W240" s="216">
        <f t="shared" si="218"/>
        <v>1.0209232045349479</v>
      </c>
      <c r="X240" s="216">
        <f t="shared" si="218"/>
        <v>1.0209232045349479</v>
      </c>
      <c r="Y240" s="216">
        <f t="shared" si="218"/>
        <v>1.0209232045349479</v>
      </c>
    </row>
    <row r="241" spans="5:25" x14ac:dyDescent="0.25">
      <c r="F241" s="89" t="s">
        <v>191</v>
      </c>
      <c r="G241" s="89" t="s">
        <v>282</v>
      </c>
      <c r="J241" s="216">
        <f t="shared" ref="J241:Y241" si="219">J183 * J225 * hours_in_year</f>
        <v>1.3453689448702415</v>
      </c>
      <c r="K241" s="216">
        <f t="shared" si="219"/>
        <v>1.3453689448702415</v>
      </c>
      <c r="L241" s="216">
        <f t="shared" si="219"/>
        <v>1.3453689448702415</v>
      </c>
      <c r="M241" s="216">
        <f t="shared" si="219"/>
        <v>1.3453689448702415</v>
      </c>
      <c r="N241" s="216">
        <f t="shared" si="219"/>
        <v>1.3453689448702415</v>
      </c>
      <c r="O241" s="216">
        <f t="shared" si="219"/>
        <v>1.3453689448702415</v>
      </c>
      <c r="P241" s="216">
        <f t="shared" si="219"/>
        <v>1.3453689448702415</v>
      </c>
      <c r="Q241" s="216">
        <f t="shared" si="219"/>
        <v>1.1648644157621204</v>
      </c>
      <c r="R241" s="216">
        <f t="shared" si="219"/>
        <v>1.3453689448702415</v>
      </c>
      <c r="S241" s="216">
        <f t="shared" si="219"/>
        <v>1.3453689448702415</v>
      </c>
      <c r="T241" s="216">
        <f t="shared" si="219"/>
        <v>1.3453689448702415</v>
      </c>
      <c r="U241" s="216">
        <f t="shared" si="219"/>
        <v>1.3453689448702415</v>
      </c>
      <c r="V241" s="216">
        <f t="shared" si="219"/>
        <v>1.3453689448702415</v>
      </c>
      <c r="W241" s="216">
        <f t="shared" si="219"/>
        <v>1.3453689448702415</v>
      </c>
      <c r="X241" s="216">
        <f t="shared" si="219"/>
        <v>1.3453689448702415</v>
      </c>
      <c r="Y241" s="216">
        <f t="shared" si="219"/>
        <v>1.3453689448702415</v>
      </c>
    </row>
    <row r="242" spans="5:25" x14ac:dyDescent="0.25">
      <c r="F242" s="89" t="s">
        <v>192</v>
      </c>
      <c r="G242" s="89" t="s">
        <v>282</v>
      </c>
      <c r="J242" s="216">
        <f t="shared" ref="J242:Y242" si="220">J188 * J225 * hours_in_year</f>
        <v>1.3453689448702415</v>
      </c>
      <c r="K242" s="216">
        <f t="shared" si="220"/>
        <v>1.3453689448702415</v>
      </c>
      <c r="L242" s="216">
        <f t="shared" si="220"/>
        <v>1.3453689448702415</v>
      </c>
      <c r="M242" s="216">
        <f t="shared" si="220"/>
        <v>1.3453689448702415</v>
      </c>
      <c r="N242" s="216">
        <f t="shared" si="220"/>
        <v>1.3453689448702415</v>
      </c>
      <c r="O242" s="216">
        <f t="shared" si="220"/>
        <v>1.3453689448702415</v>
      </c>
      <c r="P242" s="216">
        <f t="shared" si="220"/>
        <v>1.3453689448702415</v>
      </c>
      <c r="Q242" s="216">
        <f t="shared" si="220"/>
        <v>1.1648644157621204</v>
      </c>
      <c r="R242" s="216">
        <f t="shared" si="220"/>
        <v>1.3453689448702415</v>
      </c>
      <c r="S242" s="216">
        <f t="shared" si="220"/>
        <v>1.3453689448702415</v>
      </c>
      <c r="T242" s="216">
        <f t="shared" si="220"/>
        <v>1.3453689448702415</v>
      </c>
      <c r="U242" s="216">
        <f t="shared" si="220"/>
        <v>1.3453689448702415</v>
      </c>
      <c r="V242" s="216">
        <f t="shared" si="220"/>
        <v>1.3453689448702415</v>
      </c>
      <c r="W242" s="216">
        <f t="shared" si="220"/>
        <v>1.3453689448702415</v>
      </c>
      <c r="X242" s="216">
        <f t="shared" si="220"/>
        <v>1.3453689448702415</v>
      </c>
      <c r="Y242" s="216">
        <f t="shared" si="220"/>
        <v>1.3453689448702415</v>
      </c>
    </row>
    <row r="243" spans="5:25" x14ac:dyDescent="0.25">
      <c r="F243" s="89" t="s">
        <v>193</v>
      </c>
      <c r="G243" s="89" t="s">
        <v>282</v>
      </c>
      <c r="J243" s="216">
        <f t="shared" ref="J243:Y243" si="221">J193 * J225 * hours_in_year</f>
        <v>1.4518062726411332</v>
      </c>
      <c r="K243" s="216">
        <f t="shared" si="221"/>
        <v>1.4518062726411332</v>
      </c>
      <c r="L243" s="216">
        <f t="shared" si="221"/>
        <v>1.4518062726411332</v>
      </c>
      <c r="M243" s="216">
        <f t="shared" si="221"/>
        <v>1.4518062726411332</v>
      </c>
      <c r="N243" s="216">
        <f t="shared" si="221"/>
        <v>1.4518062726411332</v>
      </c>
      <c r="O243" s="216">
        <f t="shared" si="221"/>
        <v>1.4518062726411332</v>
      </c>
      <c r="P243" s="216">
        <f t="shared" si="221"/>
        <v>1.4518062726411332</v>
      </c>
      <c r="Q243" s="216">
        <f t="shared" si="221"/>
        <v>1.2950459877517217</v>
      </c>
      <c r="R243" s="216">
        <f t="shared" si="221"/>
        <v>1.4518062726411332</v>
      </c>
      <c r="S243" s="216">
        <f t="shared" si="221"/>
        <v>1.4518062726411332</v>
      </c>
      <c r="T243" s="216">
        <f t="shared" si="221"/>
        <v>1.4518062726411332</v>
      </c>
      <c r="U243" s="216">
        <f t="shared" si="221"/>
        <v>1.4518062726411332</v>
      </c>
      <c r="V243" s="216">
        <f t="shared" si="221"/>
        <v>1.4518062726411332</v>
      </c>
      <c r="W243" s="216">
        <f t="shared" si="221"/>
        <v>1.4518062726411332</v>
      </c>
      <c r="X243" s="216">
        <f t="shared" si="221"/>
        <v>1.4518062726411332</v>
      </c>
      <c r="Y243" s="216">
        <f t="shared" si="221"/>
        <v>1.4518062726411332</v>
      </c>
    </row>
    <row r="244" spans="5:25" x14ac:dyDescent="0.25">
      <c r="F244" s="89" t="s">
        <v>194</v>
      </c>
      <c r="G244" s="89" t="s">
        <v>282</v>
      </c>
      <c r="J244" s="216">
        <f t="shared" ref="J244:Y244" si="222">J198 * J225 * hours_in_year</f>
        <v>1.4518062726411332</v>
      </c>
      <c r="K244" s="216">
        <f t="shared" si="222"/>
        <v>1.4518062726411332</v>
      </c>
      <c r="L244" s="216">
        <f t="shared" si="222"/>
        <v>1.4518062726411332</v>
      </c>
      <c r="M244" s="216">
        <f t="shared" si="222"/>
        <v>1.4518062726411332</v>
      </c>
      <c r="N244" s="216">
        <f t="shared" si="222"/>
        <v>1.4518062726411332</v>
      </c>
      <c r="O244" s="216">
        <f t="shared" si="222"/>
        <v>1.4518062726411332</v>
      </c>
      <c r="P244" s="216">
        <f t="shared" si="222"/>
        <v>1.4518062726411332</v>
      </c>
      <c r="Q244" s="216">
        <f t="shared" si="222"/>
        <v>1.2950459877517217</v>
      </c>
      <c r="R244" s="216">
        <f t="shared" si="222"/>
        <v>1.4518062726411332</v>
      </c>
      <c r="S244" s="216">
        <f t="shared" si="222"/>
        <v>1.4518062726411332</v>
      </c>
      <c r="T244" s="216">
        <f t="shared" si="222"/>
        <v>1.4518062726411332</v>
      </c>
      <c r="U244" s="216">
        <f t="shared" si="222"/>
        <v>1.4518062726411332</v>
      </c>
      <c r="V244" s="216">
        <f t="shared" si="222"/>
        <v>1.4518062726411332</v>
      </c>
      <c r="W244" s="216">
        <f t="shared" si="222"/>
        <v>1.4518062726411332</v>
      </c>
      <c r="X244" s="216">
        <f t="shared" si="222"/>
        <v>1.4518062726411332</v>
      </c>
      <c r="Y244" s="216">
        <f t="shared" si="222"/>
        <v>1.4518062726411332</v>
      </c>
    </row>
    <row r="245" spans="5:25" x14ac:dyDescent="0.25">
      <c r="F245" s="89" t="s">
        <v>195</v>
      </c>
      <c r="G245" s="89" t="s">
        <v>282</v>
      </c>
      <c r="J245" s="216">
        <f t="shared" ref="J245:Y245" si="223">J203 * J225 * hours_in_year</f>
        <v>0</v>
      </c>
      <c r="K245" s="216">
        <f t="shared" si="223"/>
        <v>0</v>
      </c>
      <c r="L245" s="216">
        <f t="shared" si="223"/>
        <v>0</v>
      </c>
      <c r="M245" s="216">
        <f t="shared" si="223"/>
        <v>0</v>
      </c>
      <c r="N245" s="216">
        <f t="shared" si="223"/>
        <v>0</v>
      </c>
      <c r="O245" s="216">
        <f t="shared" si="223"/>
        <v>0</v>
      </c>
      <c r="P245" s="216">
        <f t="shared" si="223"/>
        <v>0</v>
      </c>
      <c r="Q245" s="216">
        <f t="shared" si="223"/>
        <v>0</v>
      </c>
      <c r="R245" s="216">
        <f t="shared" si="223"/>
        <v>0</v>
      </c>
      <c r="S245" s="216">
        <f t="shared" si="223"/>
        <v>0</v>
      </c>
      <c r="T245" s="216">
        <f t="shared" si="223"/>
        <v>0</v>
      </c>
      <c r="U245" s="216">
        <f t="shared" si="223"/>
        <v>0</v>
      </c>
      <c r="V245" s="216">
        <f t="shared" si="223"/>
        <v>0</v>
      </c>
      <c r="W245" s="216">
        <f t="shared" si="223"/>
        <v>0</v>
      </c>
      <c r="X245" s="216">
        <f t="shared" si="223"/>
        <v>0</v>
      </c>
      <c r="Y245" s="216">
        <f t="shared" si="223"/>
        <v>0</v>
      </c>
    </row>
    <row r="246" spans="5:25" x14ac:dyDescent="0.25">
      <c r="F246" s="89" t="s">
        <v>196</v>
      </c>
      <c r="G246" s="89" t="s">
        <v>282</v>
      </c>
      <c r="J246" s="216">
        <f t="shared" ref="J246:Y246" si="224">J208 * J225 * hours_in_year</f>
        <v>1.4518062726411332</v>
      </c>
      <c r="K246" s="216">
        <f t="shared" si="224"/>
        <v>1.4518062726411332</v>
      </c>
      <c r="L246" s="216">
        <f t="shared" si="224"/>
        <v>1.4518062726411332</v>
      </c>
      <c r="M246" s="216">
        <f t="shared" si="224"/>
        <v>1.4518062726411332</v>
      </c>
      <c r="N246" s="216">
        <f t="shared" si="224"/>
        <v>1.4518062726411332</v>
      </c>
      <c r="O246" s="216">
        <f t="shared" si="224"/>
        <v>1.4518062726411332</v>
      </c>
      <c r="P246" s="216">
        <f t="shared" si="224"/>
        <v>1.4518062726411332</v>
      </c>
      <c r="Q246" s="216">
        <f t="shared" si="224"/>
        <v>1.2950459877517217</v>
      </c>
      <c r="R246" s="216">
        <f t="shared" si="224"/>
        <v>1.4518062726411332</v>
      </c>
      <c r="S246" s="216">
        <f t="shared" si="224"/>
        <v>1.4518062726411332</v>
      </c>
      <c r="T246" s="216">
        <f t="shared" si="224"/>
        <v>1.4518062726411332</v>
      </c>
      <c r="U246" s="216">
        <f t="shared" si="224"/>
        <v>1.4518062726411332</v>
      </c>
      <c r="V246" s="216">
        <f t="shared" si="224"/>
        <v>1.4518062726411332</v>
      </c>
      <c r="W246" s="216">
        <f t="shared" si="224"/>
        <v>1.4518062726411332</v>
      </c>
      <c r="X246" s="216">
        <f t="shared" si="224"/>
        <v>1.4518062726411332</v>
      </c>
      <c r="Y246" s="216">
        <f t="shared" si="224"/>
        <v>1.4518062726411332</v>
      </c>
    </row>
    <row r="247" spans="5:25" x14ac:dyDescent="0.25">
      <c r="F247" s="89" t="s">
        <v>197</v>
      </c>
      <c r="G247" s="89" t="s">
        <v>282</v>
      </c>
      <c r="J247" s="216">
        <f t="shared" ref="J247:Y247" si="225">J213 * J225 * hours_in_year</f>
        <v>1.4518062726411332</v>
      </c>
      <c r="K247" s="216">
        <f t="shared" si="225"/>
        <v>1.4518062726411332</v>
      </c>
      <c r="L247" s="216">
        <f t="shared" si="225"/>
        <v>1.4518062726411332</v>
      </c>
      <c r="M247" s="216">
        <f t="shared" si="225"/>
        <v>1.4518062726411332</v>
      </c>
      <c r="N247" s="216">
        <f t="shared" si="225"/>
        <v>1.4518062726411332</v>
      </c>
      <c r="O247" s="216">
        <f t="shared" si="225"/>
        <v>1.4518062726411332</v>
      </c>
      <c r="P247" s="216">
        <f t="shared" si="225"/>
        <v>1.4518062726411332</v>
      </c>
      <c r="Q247" s="216">
        <f t="shared" si="225"/>
        <v>1.2950459877517217</v>
      </c>
      <c r="R247" s="216">
        <f t="shared" si="225"/>
        <v>1.4518062726411332</v>
      </c>
      <c r="S247" s="216">
        <f t="shared" si="225"/>
        <v>1.4518062726411332</v>
      </c>
      <c r="T247" s="216">
        <f t="shared" si="225"/>
        <v>1.4518062726411332</v>
      </c>
      <c r="U247" s="216">
        <f t="shared" si="225"/>
        <v>1.4518062726411332</v>
      </c>
      <c r="V247" s="216">
        <f t="shared" si="225"/>
        <v>1.4518062726411332</v>
      </c>
      <c r="W247" s="216">
        <f t="shared" si="225"/>
        <v>1.4518062726411332</v>
      </c>
      <c r="X247" s="216">
        <f t="shared" si="225"/>
        <v>1.4518062726411332</v>
      </c>
      <c r="Y247" s="216">
        <f t="shared" si="225"/>
        <v>1.4518062726411332</v>
      </c>
    </row>
    <row r="248" spans="5:25" x14ac:dyDescent="0.25">
      <c r="F248" s="96" t="s">
        <v>198</v>
      </c>
      <c r="G248" s="96" t="s">
        <v>282</v>
      </c>
      <c r="H248" s="91"/>
      <c r="I248" s="91"/>
      <c r="J248" s="216">
        <f t="shared" ref="J248:Y248" si="226">J218 * J225 * hours_in_year</f>
        <v>1.4518062726411332</v>
      </c>
      <c r="K248" s="216">
        <f t="shared" si="226"/>
        <v>1.4518062726411332</v>
      </c>
      <c r="L248" s="216">
        <f t="shared" si="226"/>
        <v>1.4518062726411332</v>
      </c>
      <c r="M248" s="216">
        <f t="shared" si="226"/>
        <v>1.4518062726411332</v>
      </c>
      <c r="N248" s="216">
        <f t="shared" si="226"/>
        <v>1.4518062726411332</v>
      </c>
      <c r="O248" s="216">
        <f t="shared" si="226"/>
        <v>1.4518062726411332</v>
      </c>
      <c r="P248" s="216">
        <f t="shared" si="226"/>
        <v>1.4518062726411332</v>
      </c>
      <c r="Q248" s="216">
        <f t="shared" si="226"/>
        <v>1.2950459877517217</v>
      </c>
      <c r="R248" s="216">
        <f t="shared" si="226"/>
        <v>1.4518062726411332</v>
      </c>
      <c r="S248" s="216">
        <f t="shared" si="226"/>
        <v>1.4518062726411332</v>
      </c>
      <c r="T248" s="216">
        <f t="shared" si="226"/>
        <v>1.4518062726411332</v>
      </c>
      <c r="U248" s="216">
        <f t="shared" si="226"/>
        <v>1.4518062726411332</v>
      </c>
      <c r="V248" s="216">
        <f t="shared" si="226"/>
        <v>1.4518062726411332</v>
      </c>
      <c r="W248" s="216">
        <f t="shared" si="226"/>
        <v>1.4518062726411332</v>
      </c>
      <c r="X248" s="216">
        <f t="shared" si="226"/>
        <v>1.4518062726411332</v>
      </c>
      <c r="Y248" s="216">
        <f t="shared" si="226"/>
        <v>1.4518062726411332</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157</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190</v>
      </c>
      <c r="G251" s="93" t="s">
        <v>282</v>
      </c>
      <c r="H251" s="90"/>
      <c r="I251" s="90"/>
      <c r="J251" s="216">
        <f t="shared" ref="J251:Y251" si="227">J179 * J226 * hours_in_year</f>
        <v>9.9561966444255925E-2</v>
      </c>
      <c r="K251" s="216">
        <f t="shared" si="227"/>
        <v>9.9561966444255925E-2</v>
      </c>
      <c r="L251" s="216">
        <f t="shared" si="227"/>
        <v>9.9561966444255925E-2</v>
      </c>
      <c r="M251" s="216">
        <f t="shared" si="227"/>
        <v>9.9561966444255925E-2</v>
      </c>
      <c r="N251" s="216">
        <f t="shared" si="227"/>
        <v>9.9561966444255925E-2</v>
      </c>
      <c r="O251" s="216">
        <f t="shared" si="227"/>
        <v>9.9561966444255925E-2</v>
      </c>
      <c r="P251" s="216">
        <f t="shared" si="227"/>
        <v>9.9561966444255925E-2</v>
      </c>
      <c r="Q251" s="216">
        <f t="shared" si="227"/>
        <v>9.9561966444255925E-2</v>
      </c>
      <c r="R251" s="216">
        <f t="shared" si="227"/>
        <v>9.9561966444255925E-2</v>
      </c>
      <c r="S251" s="216">
        <f t="shared" si="227"/>
        <v>9.9561966444255925E-2</v>
      </c>
      <c r="T251" s="216">
        <f t="shared" si="227"/>
        <v>9.9561966444255925E-2</v>
      </c>
      <c r="U251" s="216">
        <f t="shared" si="227"/>
        <v>9.9561966444255925E-2</v>
      </c>
      <c r="V251" s="216">
        <f t="shared" si="227"/>
        <v>9.9561966444255925E-2</v>
      </c>
      <c r="W251" s="216">
        <f t="shared" si="227"/>
        <v>9.9561966444255925E-2</v>
      </c>
      <c r="X251" s="216">
        <f t="shared" si="227"/>
        <v>9.9561966444255925E-2</v>
      </c>
      <c r="Y251" s="216">
        <f t="shared" si="227"/>
        <v>9.9561966444255925E-2</v>
      </c>
    </row>
    <row r="252" spans="5:25" x14ac:dyDescent="0.25">
      <c r="F252" s="89" t="s">
        <v>191</v>
      </c>
      <c r="G252" s="89" t="s">
        <v>282</v>
      </c>
      <c r="J252" s="216">
        <f t="shared" ref="J252:Y252" si="228">J184 * J226 * hours_in_year</f>
        <v>0.12551997764200157</v>
      </c>
      <c r="K252" s="216">
        <f t="shared" si="228"/>
        <v>0.12551997764200157</v>
      </c>
      <c r="L252" s="216">
        <f t="shared" si="228"/>
        <v>0.12551997764200157</v>
      </c>
      <c r="M252" s="216">
        <f t="shared" si="228"/>
        <v>0.12551997764200157</v>
      </c>
      <c r="N252" s="216">
        <f t="shared" si="228"/>
        <v>0.12551997764200157</v>
      </c>
      <c r="O252" s="216">
        <f t="shared" si="228"/>
        <v>0.12551997764200157</v>
      </c>
      <c r="P252" s="216">
        <f t="shared" si="228"/>
        <v>0.12551997764200157</v>
      </c>
      <c r="Q252" s="216">
        <f t="shared" si="228"/>
        <v>0.12551997764200157</v>
      </c>
      <c r="R252" s="216">
        <f t="shared" si="228"/>
        <v>0.12551997764200157</v>
      </c>
      <c r="S252" s="216">
        <f t="shared" si="228"/>
        <v>0.12551997764200157</v>
      </c>
      <c r="T252" s="216">
        <f t="shared" si="228"/>
        <v>0.12551997764200157</v>
      </c>
      <c r="U252" s="216">
        <f t="shared" si="228"/>
        <v>0.12551997764200157</v>
      </c>
      <c r="V252" s="216">
        <f t="shared" si="228"/>
        <v>0.12551997764200157</v>
      </c>
      <c r="W252" s="216">
        <f t="shared" si="228"/>
        <v>0.12551997764200157</v>
      </c>
      <c r="X252" s="216">
        <f t="shared" si="228"/>
        <v>0.12551997764200157</v>
      </c>
      <c r="Y252" s="216">
        <f t="shared" si="228"/>
        <v>0.12551997764200157</v>
      </c>
    </row>
    <row r="253" spans="5:25" x14ac:dyDescent="0.25">
      <c r="F253" s="89" t="s">
        <v>192</v>
      </c>
      <c r="G253" s="89" t="s">
        <v>282</v>
      </c>
      <c r="J253" s="216">
        <f t="shared" ref="J253:Y253" si="229">J189 * J226 * hours_in_year</f>
        <v>0.12551997764200157</v>
      </c>
      <c r="K253" s="216">
        <f t="shared" si="229"/>
        <v>0.12551997764200157</v>
      </c>
      <c r="L253" s="216">
        <f t="shared" si="229"/>
        <v>0.12551997764200157</v>
      </c>
      <c r="M253" s="216">
        <f t="shared" si="229"/>
        <v>0.12551997764200157</v>
      </c>
      <c r="N253" s="216">
        <f t="shared" si="229"/>
        <v>0.12551997764200157</v>
      </c>
      <c r="O253" s="216">
        <f t="shared" si="229"/>
        <v>0.12551997764200157</v>
      </c>
      <c r="P253" s="216">
        <f t="shared" si="229"/>
        <v>0.12551997764200157</v>
      </c>
      <c r="Q253" s="216">
        <f t="shared" si="229"/>
        <v>0.12551997764200157</v>
      </c>
      <c r="R253" s="216">
        <f t="shared" si="229"/>
        <v>0.12551997764200157</v>
      </c>
      <c r="S253" s="216">
        <f t="shared" si="229"/>
        <v>0.12551997764200157</v>
      </c>
      <c r="T253" s="216">
        <f t="shared" si="229"/>
        <v>0.12551997764200157</v>
      </c>
      <c r="U253" s="216">
        <f t="shared" si="229"/>
        <v>0.12551997764200157</v>
      </c>
      <c r="V253" s="216">
        <f t="shared" si="229"/>
        <v>0.12551997764200157</v>
      </c>
      <c r="W253" s="216">
        <f t="shared" si="229"/>
        <v>0.12551997764200157</v>
      </c>
      <c r="X253" s="216">
        <f t="shared" si="229"/>
        <v>0.12551997764200157</v>
      </c>
      <c r="Y253" s="216">
        <f t="shared" si="229"/>
        <v>0.12551997764200157</v>
      </c>
    </row>
    <row r="254" spans="5:25" x14ac:dyDescent="0.25">
      <c r="F254" s="89" t="s">
        <v>193</v>
      </c>
      <c r="G254" s="89" t="s">
        <v>282</v>
      </c>
      <c r="J254" s="216">
        <f t="shared" ref="J254:Y254" si="230">J194 * J226 * hours_in_year</f>
        <v>0.2411157093731077</v>
      </c>
      <c r="K254" s="216">
        <f t="shared" si="230"/>
        <v>0.2411157093731077</v>
      </c>
      <c r="L254" s="216">
        <f t="shared" si="230"/>
        <v>0.2411157093731077</v>
      </c>
      <c r="M254" s="216">
        <f t="shared" si="230"/>
        <v>0.2411157093731077</v>
      </c>
      <c r="N254" s="216">
        <f t="shared" si="230"/>
        <v>0.2411157093731077</v>
      </c>
      <c r="O254" s="216">
        <f t="shared" si="230"/>
        <v>0.2411157093731077</v>
      </c>
      <c r="P254" s="216">
        <f t="shared" si="230"/>
        <v>0.2411157093731077</v>
      </c>
      <c r="Q254" s="216">
        <f t="shared" si="230"/>
        <v>0.2411157093731077</v>
      </c>
      <c r="R254" s="216">
        <f t="shared" si="230"/>
        <v>0.2411157093731077</v>
      </c>
      <c r="S254" s="216">
        <f t="shared" si="230"/>
        <v>0.2411157093731077</v>
      </c>
      <c r="T254" s="216">
        <f t="shared" si="230"/>
        <v>0.2411157093731077</v>
      </c>
      <c r="U254" s="216">
        <f t="shared" si="230"/>
        <v>0.2411157093731077</v>
      </c>
      <c r="V254" s="216">
        <f t="shared" si="230"/>
        <v>0.2411157093731077</v>
      </c>
      <c r="W254" s="216">
        <f t="shared" si="230"/>
        <v>0.2411157093731077</v>
      </c>
      <c r="X254" s="216">
        <f t="shared" si="230"/>
        <v>0.2411157093731077</v>
      </c>
      <c r="Y254" s="216">
        <f t="shared" si="230"/>
        <v>0.2411157093731077</v>
      </c>
    </row>
    <row r="255" spans="5:25" x14ac:dyDescent="0.25">
      <c r="F255" s="89" t="s">
        <v>194</v>
      </c>
      <c r="G255" s="89" t="s">
        <v>282</v>
      </c>
      <c r="J255" s="216">
        <f t="shared" ref="J255:Y255" si="231">J199 * J226 * hours_in_year</f>
        <v>0.2411157093731077</v>
      </c>
      <c r="K255" s="216">
        <f t="shared" si="231"/>
        <v>0.2411157093731077</v>
      </c>
      <c r="L255" s="216">
        <f t="shared" si="231"/>
        <v>0.2411157093731077</v>
      </c>
      <c r="M255" s="216">
        <f t="shared" si="231"/>
        <v>0.2411157093731077</v>
      </c>
      <c r="N255" s="216">
        <f t="shared" si="231"/>
        <v>0.2411157093731077</v>
      </c>
      <c r="O255" s="216">
        <f t="shared" si="231"/>
        <v>0.2411157093731077</v>
      </c>
      <c r="P255" s="216">
        <f t="shared" si="231"/>
        <v>0.2411157093731077</v>
      </c>
      <c r="Q255" s="216">
        <f t="shared" si="231"/>
        <v>0.2411157093731077</v>
      </c>
      <c r="R255" s="216">
        <f t="shared" si="231"/>
        <v>0.2411157093731077</v>
      </c>
      <c r="S255" s="216">
        <f t="shared" si="231"/>
        <v>0.2411157093731077</v>
      </c>
      <c r="T255" s="216">
        <f t="shared" si="231"/>
        <v>0.2411157093731077</v>
      </c>
      <c r="U255" s="216">
        <f t="shared" si="231"/>
        <v>0.2411157093731077</v>
      </c>
      <c r="V255" s="216">
        <f t="shared" si="231"/>
        <v>0.2411157093731077</v>
      </c>
      <c r="W255" s="216">
        <f t="shared" si="231"/>
        <v>0.2411157093731077</v>
      </c>
      <c r="X255" s="216">
        <f t="shared" si="231"/>
        <v>0.2411157093731077</v>
      </c>
      <c r="Y255" s="216">
        <f t="shared" si="231"/>
        <v>0.2411157093731077</v>
      </c>
    </row>
    <row r="256" spans="5:25" x14ac:dyDescent="0.25">
      <c r="F256" s="89" t="s">
        <v>195</v>
      </c>
      <c r="G256" s="89" t="s">
        <v>282</v>
      </c>
      <c r="J256" s="216">
        <f t="shared" ref="J256:Y256" si="232">J204 * J226 * hours_in_year</f>
        <v>0</v>
      </c>
      <c r="K256" s="216">
        <f t="shared" si="232"/>
        <v>0</v>
      </c>
      <c r="L256" s="216">
        <f t="shared" si="232"/>
        <v>0</v>
      </c>
      <c r="M256" s="216">
        <f t="shared" si="232"/>
        <v>0</v>
      </c>
      <c r="N256" s="216">
        <f t="shared" si="232"/>
        <v>0</v>
      </c>
      <c r="O256" s="216">
        <f t="shared" si="232"/>
        <v>0</v>
      </c>
      <c r="P256" s="216">
        <f t="shared" si="232"/>
        <v>0</v>
      </c>
      <c r="Q256" s="216">
        <f t="shared" si="232"/>
        <v>0</v>
      </c>
      <c r="R256" s="216">
        <f t="shared" si="232"/>
        <v>0</v>
      </c>
      <c r="S256" s="216">
        <f t="shared" si="232"/>
        <v>0</v>
      </c>
      <c r="T256" s="216">
        <f t="shared" si="232"/>
        <v>0</v>
      </c>
      <c r="U256" s="216">
        <f t="shared" si="232"/>
        <v>0</v>
      </c>
      <c r="V256" s="216">
        <f t="shared" si="232"/>
        <v>0</v>
      </c>
      <c r="W256" s="216">
        <f t="shared" si="232"/>
        <v>0</v>
      </c>
      <c r="X256" s="216">
        <f t="shared" si="232"/>
        <v>0</v>
      </c>
      <c r="Y256" s="216">
        <f t="shared" si="232"/>
        <v>0</v>
      </c>
    </row>
    <row r="257" spans="2:27" x14ac:dyDescent="0.25">
      <c r="F257" s="89" t="s">
        <v>196</v>
      </c>
      <c r="G257" s="89" t="s">
        <v>282</v>
      </c>
      <c r="J257" s="216">
        <f t="shared" ref="J257:Y257" si="233">J209 * J226 * hours_in_year</f>
        <v>0.2411157093731077</v>
      </c>
      <c r="K257" s="216">
        <f t="shared" si="233"/>
        <v>0.2411157093731077</v>
      </c>
      <c r="L257" s="216">
        <f t="shared" si="233"/>
        <v>0.2411157093731077</v>
      </c>
      <c r="M257" s="216">
        <f t="shared" si="233"/>
        <v>0.2411157093731077</v>
      </c>
      <c r="N257" s="216">
        <f t="shared" si="233"/>
        <v>0.2411157093731077</v>
      </c>
      <c r="O257" s="216">
        <f t="shared" si="233"/>
        <v>0.2411157093731077</v>
      </c>
      <c r="P257" s="216">
        <f t="shared" si="233"/>
        <v>0.2411157093731077</v>
      </c>
      <c r="Q257" s="216">
        <f t="shared" si="233"/>
        <v>0.2411157093731077</v>
      </c>
      <c r="R257" s="216">
        <f t="shared" si="233"/>
        <v>0.2411157093731077</v>
      </c>
      <c r="S257" s="216">
        <f t="shared" si="233"/>
        <v>0.2411157093731077</v>
      </c>
      <c r="T257" s="216">
        <f t="shared" si="233"/>
        <v>0.2411157093731077</v>
      </c>
      <c r="U257" s="216">
        <f t="shared" si="233"/>
        <v>0.2411157093731077</v>
      </c>
      <c r="V257" s="216">
        <f t="shared" si="233"/>
        <v>0.2411157093731077</v>
      </c>
      <c r="W257" s="216">
        <f t="shared" si="233"/>
        <v>0.2411157093731077</v>
      </c>
      <c r="X257" s="216">
        <f t="shared" si="233"/>
        <v>0.2411157093731077</v>
      </c>
      <c r="Y257" s="216">
        <f t="shared" si="233"/>
        <v>0.2411157093731077</v>
      </c>
    </row>
    <row r="258" spans="2:27" x14ac:dyDescent="0.25">
      <c r="F258" s="89" t="s">
        <v>197</v>
      </c>
      <c r="G258" s="89" t="s">
        <v>282</v>
      </c>
      <c r="J258" s="216">
        <f t="shared" ref="J258:Y258" si="234">J214 * J226 * hours_in_year</f>
        <v>0.2411157093731077</v>
      </c>
      <c r="K258" s="216">
        <f t="shared" si="234"/>
        <v>0.2411157093731077</v>
      </c>
      <c r="L258" s="216">
        <f t="shared" si="234"/>
        <v>0.2411157093731077</v>
      </c>
      <c r="M258" s="216">
        <f t="shared" si="234"/>
        <v>0.2411157093731077</v>
      </c>
      <c r="N258" s="216">
        <f t="shared" si="234"/>
        <v>0.2411157093731077</v>
      </c>
      <c r="O258" s="216">
        <f t="shared" si="234"/>
        <v>0.2411157093731077</v>
      </c>
      <c r="P258" s="216">
        <f t="shared" si="234"/>
        <v>0.2411157093731077</v>
      </c>
      <c r="Q258" s="216">
        <f t="shared" si="234"/>
        <v>0.2411157093731077</v>
      </c>
      <c r="R258" s="216">
        <f t="shared" si="234"/>
        <v>0.2411157093731077</v>
      </c>
      <c r="S258" s="216">
        <f t="shared" si="234"/>
        <v>0.2411157093731077</v>
      </c>
      <c r="T258" s="216">
        <f t="shared" si="234"/>
        <v>0.2411157093731077</v>
      </c>
      <c r="U258" s="216">
        <f t="shared" si="234"/>
        <v>0.2411157093731077</v>
      </c>
      <c r="V258" s="216">
        <f t="shared" si="234"/>
        <v>0.2411157093731077</v>
      </c>
      <c r="W258" s="216">
        <f t="shared" si="234"/>
        <v>0.2411157093731077</v>
      </c>
      <c r="X258" s="216">
        <f t="shared" si="234"/>
        <v>0.2411157093731077</v>
      </c>
      <c r="Y258" s="216">
        <f t="shared" si="234"/>
        <v>0.2411157093731077</v>
      </c>
    </row>
    <row r="259" spans="2:27" x14ac:dyDescent="0.25">
      <c r="F259" s="96" t="s">
        <v>198</v>
      </c>
      <c r="G259" s="96" t="s">
        <v>282</v>
      </c>
      <c r="H259" s="91"/>
      <c r="I259" s="91"/>
      <c r="J259" s="216">
        <f t="shared" ref="J259:Y259" si="235">J219 * J226 * hours_in_year</f>
        <v>0.2411157093731077</v>
      </c>
      <c r="K259" s="216">
        <f t="shared" si="235"/>
        <v>0.2411157093731077</v>
      </c>
      <c r="L259" s="216">
        <f t="shared" si="235"/>
        <v>0.2411157093731077</v>
      </c>
      <c r="M259" s="216">
        <f t="shared" si="235"/>
        <v>0.2411157093731077</v>
      </c>
      <c r="N259" s="216">
        <f t="shared" si="235"/>
        <v>0.2411157093731077</v>
      </c>
      <c r="O259" s="216">
        <f t="shared" si="235"/>
        <v>0.2411157093731077</v>
      </c>
      <c r="P259" s="216">
        <f t="shared" si="235"/>
        <v>0.2411157093731077</v>
      </c>
      <c r="Q259" s="216">
        <f t="shared" si="235"/>
        <v>0.2411157093731077</v>
      </c>
      <c r="R259" s="216">
        <f t="shared" si="235"/>
        <v>0.2411157093731077</v>
      </c>
      <c r="S259" s="216">
        <f t="shared" si="235"/>
        <v>0.2411157093731077</v>
      </c>
      <c r="T259" s="216">
        <f t="shared" si="235"/>
        <v>0.2411157093731077</v>
      </c>
      <c r="U259" s="216">
        <f t="shared" si="235"/>
        <v>0.2411157093731077</v>
      </c>
      <c r="V259" s="216">
        <f t="shared" si="235"/>
        <v>0.2411157093731077</v>
      </c>
      <c r="W259" s="216">
        <f t="shared" si="235"/>
        <v>0.2411157093731077</v>
      </c>
      <c r="X259" s="216">
        <f t="shared" si="235"/>
        <v>0.2411157093731077</v>
      </c>
      <c r="Y259" s="216">
        <f t="shared" si="235"/>
        <v>0.2411157093731077</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839</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859</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469</v>
      </c>
      <c r="G267" s="89" t="s">
        <v>282</v>
      </c>
      <c r="J267" s="164">
        <f>J91</f>
        <v>1.8550828006069759</v>
      </c>
      <c r="K267" s="164">
        <f t="shared" ref="K267:Y267" si="236">K91</f>
        <v>1.8550828006069759</v>
      </c>
      <c r="L267" s="164">
        <f t="shared" si="236"/>
        <v>1.8081612716848356</v>
      </c>
      <c r="M267" s="164">
        <f t="shared" si="236"/>
        <v>1.8081612716848356</v>
      </c>
      <c r="N267" s="164">
        <f t="shared" si="236"/>
        <v>1.5369858040634288</v>
      </c>
      <c r="O267" s="164">
        <f t="shared" si="236"/>
        <v>1.3914329966592653</v>
      </c>
      <c r="P267" s="164">
        <f t="shared" si="236"/>
        <v>1.183688274276262</v>
      </c>
      <c r="Q267" s="164">
        <f t="shared" si="236"/>
        <v>1.8521271008785165</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155</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190</v>
      </c>
      <c r="G272" s="93" t="s">
        <v>282</v>
      </c>
      <c r="H272" s="90"/>
      <c r="I272" s="90"/>
      <c r="J272" s="145">
        <f>J229 * J$93</f>
        <v>8.0722742460400543</v>
      </c>
      <c r="K272" s="145">
        <f t="shared" ref="K272:Y272" si="237">K229 * K$93</f>
        <v>8.0722742460400543</v>
      </c>
      <c r="L272" s="145">
        <f t="shared" si="237"/>
        <v>9.7874228923847308</v>
      </c>
      <c r="M272" s="145">
        <f t="shared" si="237"/>
        <v>9.7874228923847308</v>
      </c>
      <c r="N272" s="145">
        <f t="shared" si="237"/>
        <v>8.1202876938077786</v>
      </c>
      <c r="O272" s="145">
        <f t="shared" si="237"/>
        <v>7.5761570544592383</v>
      </c>
      <c r="P272" s="145">
        <f t="shared" si="237"/>
        <v>6.6049243517181235</v>
      </c>
      <c r="Q272" s="145">
        <f t="shared" si="237"/>
        <v>19.918757551804365</v>
      </c>
      <c r="R272" s="145">
        <f t="shared" si="237"/>
        <v>5.9702206429202027</v>
      </c>
      <c r="S272" s="145">
        <f t="shared" si="237"/>
        <v>5.9702206429202027</v>
      </c>
      <c r="T272" s="145">
        <f t="shared" si="237"/>
        <v>5.9702206429202027</v>
      </c>
      <c r="U272" s="145">
        <f t="shared" si="237"/>
        <v>5.9702206429202027</v>
      </c>
      <c r="V272" s="145">
        <f t="shared" si="237"/>
        <v>5.9702206429202027</v>
      </c>
      <c r="W272" s="145">
        <f t="shared" si="237"/>
        <v>5.9702206429202027</v>
      </c>
      <c r="X272" s="145">
        <f t="shared" si="237"/>
        <v>5.9702206429202027</v>
      </c>
      <c r="Y272" s="145">
        <f t="shared" si="237"/>
        <v>5.9702206429202027</v>
      </c>
    </row>
    <row r="273" spans="5:25" x14ac:dyDescent="0.25">
      <c r="F273" s="89" t="s">
        <v>191</v>
      </c>
      <c r="G273" s="89" t="s">
        <v>282</v>
      </c>
      <c r="J273" s="164">
        <f t="shared" ref="J273:Y273" si="238">J230 * J$93</f>
        <v>6.5600574461950325</v>
      </c>
      <c r="K273" s="164">
        <f t="shared" si="238"/>
        <v>6.5600574461950325</v>
      </c>
      <c r="L273" s="164">
        <f t="shared" si="238"/>
        <v>7.9538992937145538</v>
      </c>
      <c r="M273" s="164">
        <f t="shared" si="238"/>
        <v>7.9538992937145538</v>
      </c>
      <c r="N273" s="164">
        <f t="shared" si="238"/>
        <v>6.5990763107610695</v>
      </c>
      <c r="O273" s="164">
        <f t="shared" si="238"/>
        <v>6.1568802030021788</v>
      </c>
      <c r="P273" s="164">
        <f t="shared" si="238"/>
        <v>5.3675930542497055</v>
      </c>
      <c r="Q273" s="164">
        <f t="shared" si="238"/>
        <v>16.518879691269746</v>
      </c>
      <c r="R273" s="164">
        <f t="shared" si="238"/>
        <v>4.8517913527564795</v>
      </c>
      <c r="S273" s="164">
        <f t="shared" si="238"/>
        <v>4.8517913527564795</v>
      </c>
      <c r="T273" s="164">
        <f t="shared" si="238"/>
        <v>4.8517913527564795</v>
      </c>
      <c r="U273" s="164">
        <f t="shared" si="238"/>
        <v>4.8517913527564795</v>
      </c>
      <c r="V273" s="164">
        <f t="shared" si="238"/>
        <v>4.8517913527564795</v>
      </c>
      <c r="W273" s="164">
        <f t="shared" si="238"/>
        <v>4.8517913527564795</v>
      </c>
      <c r="X273" s="164">
        <f t="shared" si="238"/>
        <v>4.8517913527564795</v>
      </c>
      <c r="Y273" s="164">
        <f t="shared" si="238"/>
        <v>4.8517913527564795</v>
      </c>
    </row>
    <row r="274" spans="5:25" x14ac:dyDescent="0.25">
      <c r="F274" s="89" t="s">
        <v>192</v>
      </c>
      <c r="G274" s="89" t="s">
        <v>282</v>
      </c>
      <c r="J274" s="164">
        <f t="shared" ref="J274:Y274" si="239">J231 * J$93</f>
        <v>6.5600574461950325</v>
      </c>
      <c r="K274" s="164">
        <f t="shared" si="239"/>
        <v>6.5600574461950325</v>
      </c>
      <c r="L274" s="164">
        <f t="shared" si="239"/>
        <v>7.9538992937145538</v>
      </c>
      <c r="M274" s="164">
        <f t="shared" si="239"/>
        <v>7.9538992937145538</v>
      </c>
      <c r="N274" s="164">
        <f t="shared" si="239"/>
        <v>6.5990763107610695</v>
      </c>
      <c r="O274" s="164">
        <f t="shared" si="239"/>
        <v>6.1568802030021788</v>
      </c>
      <c r="P274" s="164">
        <f t="shared" si="239"/>
        <v>5.3675930542497055</v>
      </c>
      <c r="Q274" s="164">
        <f t="shared" si="239"/>
        <v>16.518879691269746</v>
      </c>
      <c r="R274" s="164">
        <f t="shared" si="239"/>
        <v>4.8517913527564795</v>
      </c>
      <c r="S274" s="164">
        <f t="shared" si="239"/>
        <v>4.8517913527564795</v>
      </c>
      <c r="T274" s="164">
        <f t="shared" si="239"/>
        <v>4.8517913527564795</v>
      </c>
      <c r="U274" s="164">
        <f t="shared" si="239"/>
        <v>4.8517913527564795</v>
      </c>
      <c r="V274" s="164">
        <f t="shared" si="239"/>
        <v>4.8517913527564795</v>
      </c>
      <c r="W274" s="164">
        <f t="shared" si="239"/>
        <v>4.8517913527564795</v>
      </c>
      <c r="X274" s="164">
        <f t="shared" si="239"/>
        <v>4.8517913527564795</v>
      </c>
      <c r="Y274" s="164">
        <f t="shared" si="239"/>
        <v>4.8517913527564795</v>
      </c>
    </row>
    <row r="275" spans="5:25" x14ac:dyDescent="0.25">
      <c r="F275" s="89" t="s">
        <v>193</v>
      </c>
      <c r="G275" s="89" t="s">
        <v>282</v>
      </c>
      <c r="J275" s="164">
        <f t="shared" ref="J275:Y275" si="240">J232 * J$93</f>
        <v>5.2547049837805799</v>
      </c>
      <c r="K275" s="164">
        <f t="shared" si="240"/>
        <v>5.2547049837805799</v>
      </c>
      <c r="L275" s="164">
        <f t="shared" si="240"/>
        <v>6.3711933320664578</v>
      </c>
      <c r="M275" s="164">
        <f t="shared" si="240"/>
        <v>6.3711933320664578</v>
      </c>
      <c r="N275" s="164">
        <f t="shared" si="240"/>
        <v>5.2859596829624511</v>
      </c>
      <c r="O275" s="164">
        <f t="shared" si="240"/>
        <v>4.9317539293837589</v>
      </c>
      <c r="P275" s="164">
        <f t="shared" si="240"/>
        <v>4.2995230155235147</v>
      </c>
      <c r="Q275" s="164">
        <f t="shared" si="240"/>
        <v>12.487744335894034</v>
      </c>
      <c r="R275" s="164">
        <f t="shared" si="240"/>
        <v>3.8863580709008065</v>
      </c>
      <c r="S275" s="164">
        <f t="shared" si="240"/>
        <v>3.8863580709008065</v>
      </c>
      <c r="T275" s="164">
        <f t="shared" si="240"/>
        <v>3.8863580709008065</v>
      </c>
      <c r="U275" s="164">
        <f t="shared" si="240"/>
        <v>3.8863580709008065</v>
      </c>
      <c r="V275" s="164">
        <f t="shared" si="240"/>
        <v>3.8863580709008065</v>
      </c>
      <c r="W275" s="164">
        <f t="shared" si="240"/>
        <v>3.8863580709008065</v>
      </c>
      <c r="X275" s="164">
        <f t="shared" si="240"/>
        <v>3.8863580709008065</v>
      </c>
      <c r="Y275" s="164">
        <f t="shared" si="240"/>
        <v>3.8863580709008065</v>
      </c>
    </row>
    <row r="276" spans="5:25" x14ac:dyDescent="0.25">
      <c r="F276" s="89" t="s">
        <v>194</v>
      </c>
      <c r="G276" s="89" t="s">
        <v>282</v>
      </c>
      <c r="J276" s="164">
        <f t="shared" ref="J276:Y276" si="241">J233 * J$93</f>
        <v>5.2547049837805799</v>
      </c>
      <c r="K276" s="164">
        <f t="shared" si="241"/>
        <v>5.2547049837805799</v>
      </c>
      <c r="L276" s="164">
        <f t="shared" si="241"/>
        <v>6.3711933320664578</v>
      </c>
      <c r="M276" s="164">
        <f t="shared" si="241"/>
        <v>6.3711933320664578</v>
      </c>
      <c r="N276" s="164">
        <f t="shared" si="241"/>
        <v>5.2859596829624511</v>
      </c>
      <c r="O276" s="164">
        <f t="shared" si="241"/>
        <v>4.9317539293837589</v>
      </c>
      <c r="P276" s="164">
        <f t="shared" si="241"/>
        <v>4.2995230155235147</v>
      </c>
      <c r="Q276" s="164">
        <f t="shared" si="241"/>
        <v>12.487744335894034</v>
      </c>
      <c r="R276" s="164">
        <f t="shared" si="241"/>
        <v>3.8863580709008065</v>
      </c>
      <c r="S276" s="164">
        <f t="shared" si="241"/>
        <v>3.8863580709008065</v>
      </c>
      <c r="T276" s="164">
        <f t="shared" si="241"/>
        <v>3.8863580709008065</v>
      </c>
      <c r="U276" s="164">
        <f t="shared" si="241"/>
        <v>3.8863580709008065</v>
      </c>
      <c r="V276" s="164">
        <f t="shared" si="241"/>
        <v>3.8863580709008065</v>
      </c>
      <c r="W276" s="164">
        <f t="shared" si="241"/>
        <v>3.8863580709008065</v>
      </c>
      <c r="X276" s="164">
        <f t="shared" si="241"/>
        <v>3.8863580709008065</v>
      </c>
      <c r="Y276" s="164">
        <f t="shared" si="241"/>
        <v>3.8863580709008065</v>
      </c>
    </row>
    <row r="277" spans="5:25" x14ac:dyDescent="0.25">
      <c r="F277" s="89" t="s">
        <v>195</v>
      </c>
      <c r="G277" s="89" t="s">
        <v>282</v>
      </c>
      <c r="J277" s="164">
        <f t="shared" ref="J277:Y277" si="242">J234 * J$93</f>
        <v>0</v>
      </c>
      <c r="K277" s="164">
        <f t="shared" si="242"/>
        <v>0</v>
      </c>
      <c r="L277" s="164">
        <f t="shared" si="242"/>
        <v>0</v>
      </c>
      <c r="M277" s="164">
        <f t="shared" si="242"/>
        <v>0</v>
      </c>
      <c r="N277" s="164">
        <f t="shared" si="242"/>
        <v>0</v>
      </c>
      <c r="O277" s="164">
        <f t="shared" si="242"/>
        <v>0</v>
      </c>
      <c r="P277" s="164">
        <f t="shared" si="242"/>
        <v>0</v>
      </c>
      <c r="Q277" s="164">
        <f t="shared" si="242"/>
        <v>0</v>
      </c>
      <c r="R277" s="164">
        <f t="shared" si="242"/>
        <v>0</v>
      </c>
      <c r="S277" s="164">
        <f t="shared" si="242"/>
        <v>0</v>
      </c>
      <c r="T277" s="164">
        <f t="shared" si="242"/>
        <v>0</v>
      </c>
      <c r="U277" s="164">
        <f t="shared" si="242"/>
        <v>0</v>
      </c>
      <c r="V277" s="164">
        <f t="shared" si="242"/>
        <v>0</v>
      </c>
      <c r="W277" s="164">
        <f t="shared" si="242"/>
        <v>0</v>
      </c>
      <c r="X277" s="164">
        <f t="shared" si="242"/>
        <v>0</v>
      </c>
      <c r="Y277" s="164">
        <f t="shared" si="242"/>
        <v>0</v>
      </c>
    </row>
    <row r="278" spans="5:25" x14ac:dyDescent="0.25">
      <c r="F278" s="89" t="s">
        <v>196</v>
      </c>
      <c r="G278" s="89" t="s">
        <v>282</v>
      </c>
      <c r="J278" s="164">
        <f t="shared" ref="J278:Y278" si="243">J235 * J$93</f>
        <v>5.2547049837805799</v>
      </c>
      <c r="K278" s="164">
        <f t="shared" si="243"/>
        <v>5.2547049837805799</v>
      </c>
      <c r="L278" s="164">
        <f t="shared" si="243"/>
        <v>6.3711933320664578</v>
      </c>
      <c r="M278" s="164">
        <f t="shared" si="243"/>
        <v>6.3711933320664578</v>
      </c>
      <c r="N278" s="164">
        <f t="shared" si="243"/>
        <v>5.2859596829624511</v>
      </c>
      <c r="O278" s="164">
        <f t="shared" si="243"/>
        <v>4.9317539293837589</v>
      </c>
      <c r="P278" s="164">
        <f t="shared" si="243"/>
        <v>4.2995230155235147</v>
      </c>
      <c r="Q278" s="164">
        <f t="shared" si="243"/>
        <v>12.487744335894034</v>
      </c>
      <c r="R278" s="164">
        <f t="shared" si="243"/>
        <v>3.8863580709008065</v>
      </c>
      <c r="S278" s="164">
        <f t="shared" si="243"/>
        <v>3.8863580709008065</v>
      </c>
      <c r="T278" s="164">
        <f t="shared" si="243"/>
        <v>3.8863580709008065</v>
      </c>
      <c r="U278" s="164">
        <f t="shared" si="243"/>
        <v>3.8863580709008065</v>
      </c>
      <c r="V278" s="164">
        <f t="shared" si="243"/>
        <v>3.8863580709008065</v>
      </c>
      <c r="W278" s="164">
        <f t="shared" si="243"/>
        <v>3.8863580709008065</v>
      </c>
      <c r="X278" s="164">
        <f t="shared" si="243"/>
        <v>3.8863580709008065</v>
      </c>
      <c r="Y278" s="164">
        <f t="shared" si="243"/>
        <v>3.8863580709008065</v>
      </c>
    </row>
    <row r="279" spans="5:25" x14ac:dyDescent="0.25">
      <c r="F279" s="89" t="s">
        <v>197</v>
      </c>
      <c r="G279" s="89" t="s">
        <v>282</v>
      </c>
      <c r="J279" s="164">
        <f t="shared" ref="J279:Y279" si="244">J236 * J$93</f>
        <v>5.2547049837805799</v>
      </c>
      <c r="K279" s="164">
        <f t="shared" si="244"/>
        <v>5.2547049837805799</v>
      </c>
      <c r="L279" s="164">
        <f t="shared" si="244"/>
        <v>6.3711933320664578</v>
      </c>
      <c r="M279" s="164">
        <f t="shared" si="244"/>
        <v>6.3711933320664578</v>
      </c>
      <c r="N279" s="164">
        <f t="shared" si="244"/>
        <v>5.2859596829624511</v>
      </c>
      <c r="O279" s="164">
        <f t="shared" si="244"/>
        <v>4.9317539293837589</v>
      </c>
      <c r="P279" s="164">
        <f t="shared" si="244"/>
        <v>4.2995230155235147</v>
      </c>
      <c r="Q279" s="164">
        <f t="shared" si="244"/>
        <v>12.487744335894034</v>
      </c>
      <c r="R279" s="164">
        <f t="shared" si="244"/>
        <v>3.8863580709008065</v>
      </c>
      <c r="S279" s="164">
        <f t="shared" si="244"/>
        <v>3.8863580709008065</v>
      </c>
      <c r="T279" s="164">
        <f t="shared" si="244"/>
        <v>3.8863580709008065</v>
      </c>
      <c r="U279" s="164">
        <f t="shared" si="244"/>
        <v>3.8863580709008065</v>
      </c>
      <c r="V279" s="164">
        <f t="shared" si="244"/>
        <v>3.8863580709008065</v>
      </c>
      <c r="W279" s="164">
        <f t="shared" si="244"/>
        <v>3.8863580709008065</v>
      </c>
      <c r="X279" s="164">
        <f t="shared" si="244"/>
        <v>3.8863580709008065</v>
      </c>
      <c r="Y279" s="164">
        <f t="shared" si="244"/>
        <v>3.8863580709008065</v>
      </c>
    </row>
    <row r="280" spans="5:25" x14ac:dyDescent="0.25">
      <c r="F280" s="96" t="s">
        <v>198</v>
      </c>
      <c r="G280" s="96" t="s">
        <v>282</v>
      </c>
      <c r="H280" s="91"/>
      <c r="I280" s="91"/>
      <c r="J280" s="174">
        <f t="shared" ref="J280:Y280" si="245">J237 * J$93</f>
        <v>5.2547049837805799</v>
      </c>
      <c r="K280" s="174">
        <f t="shared" si="245"/>
        <v>5.2547049837805799</v>
      </c>
      <c r="L280" s="174">
        <f t="shared" si="245"/>
        <v>6.3711933320664578</v>
      </c>
      <c r="M280" s="174">
        <f t="shared" si="245"/>
        <v>6.3711933320664578</v>
      </c>
      <c r="N280" s="174">
        <f t="shared" si="245"/>
        <v>5.2859596829624511</v>
      </c>
      <c r="O280" s="174">
        <f t="shared" si="245"/>
        <v>4.9317539293837589</v>
      </c>
      <c r="P280" s="174">
        <f t="shared" si="245"/>
        <v>4.2995230155235147</v>
      </c>
      <c r="Q280" s="174">
        <f t="shared" si="245"/>
        <v>12.487744335894034</v>
      </c>
      <c r="R280" s="174">
        <f t="shared" si="245"/>
        <v>3.8863580709008065</v>
      </c>
      <c r="S280" s="174">
        <f t="shared" si="245"/>
        <v>3.8863580709008065</v>
      </c>
      <c r="T280" s="174">
        <f t="shared" si="245"/>
        <v>3.8863580709008065</v>
      </c>
      <c r="U280" s="174">
        <f t="shared" si="245"/>
        <v>3.8863580709008065</v>
      </c>
      <c r="V280" s="174">
        <f t="shared" si="245"/>
        <v>3.8863580709008065</v>
      </c>
      <c r="W280" s="174">
        <f t="shared" si="245"/>
        <v>3.8863580709008065</v>
      </c>
      <c r="X280" s="174">
        <f t="shared" si="245"/>
        <v>3.8863580709008065</v>
      </c>
      <c r="Y280" s="174">
        <f t="shared" si="245"/>
        <v>3.8863580709008065</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156</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190</v>
      </c>
      <c r="G283" s="93" t="s">
        <v>282</v>
      </c>
      <c r="H283" s="90"/>
      <c r="I283" s="90"/>
      <c r="J283" s="145">
        <f>J240 * J$93</f>
        <v>1.3803798191152201</v>
      </c>
      <c r="K283" s="145">
        <f t="shared" ref="K283:Y283" si="246">K240 * K$93</f>
        <v>1.3803798191152201</v>
      </c>
      <c r="L283" s="145">
        <f t="shared" si="246"/>
        <v>1.6736746832433078</v>
      </c>
      <c r="M283" s="145">
        <f t="shared" si="246"/>
        <v>1.6736746832433078</v>
      </c>
      <c r="N283" s="145">
        <f t="shared" si="246"/>
        <v>1.3885902431326178</v>
      </c>
      <c r="O283" s="145">
        <f t="shared" si="246"/>
        <v>1.2955424934371154</v>
      </c>
      <c r="P283" s="145">
        <f t="shared" si="246"/>
        <v>1.1294591838684089</v>
      </c>
      <c r="Q283" s="145">
        <f t="shared" si="246"/>
        <v>1.1047634926554877</v>
      </c>
      <c r="R283" s="145">
        <f t="shared" si="246"/>
        <v>1.0209232045349479</v>
      </c>
      <c r="S283" s="145">
        <f t="shared" si="246"/>
        <v>1.0209232045349479</v>
      </c>
      <c r="T283" s="145">
        <f t="shared" si="246"/>
        <v>1.0209232045349479</v>
      </c>
      <c r="U283" s="145">
        <f t="shared" si="246"/>
        <v>1.0209232045349479</v>
      </c>
      <c r="V283" s="145">
        <f t="shared" si="246"/>
        <v>1.0209232045349479</v>
      </c>
      <c r="W283" s="145">
        <f t="shared" si="246"/>
        <v>1.0209232045349479</v>
      </c>
      <c r="X283" s="145">
        <f t="shared" si="246"/>
        <v>1.0209232045349479</v>
      </c>
      <c r="Y283" s="145">
        <f t="shared" si="246"/>
        <v>1.0209232045349479</v>
      </c>
    </row>
    <row r="284" spans="5:25" x14ac:dyDescent="0.25">
      <c r="F284" s="89" t="s">
        <v>191</v>
      </c>
      <c r="G284" s="89" t="s">
        <v>282</v>
      </c>
      <c r="J284" s="164">
        <f t="shared" ref="J284:Y284" si="247">J241 * J$93</f>
        <v>1.8190595850049036</v>
      </c>
      <c r="K284" s="164">
        <f t="shared" si="247"/>
        <v>1.8190595850049036</v>
      </c>
      <c r="L284" s="164">
        <f t="shared" si="247"/>
        <v>2.2055625071983611</v>
      </c>
      <c r="M284" s="164">
        <f t="shared" si="247"/>
        <v>2.2055625071983611</v>
      </c>
      <c r="N284" s="164">
        <f t="shared" si="247"/>
        <v>1.8298792523884608</v>
      </c>
      <c r="O284" s="164">
        <f t="shared" si="247"/>
        <v>1.7072612608741899</v>
      </c>
      <c r="P284" s="164">
        <f t="shared" si="247"/>
        <v>1.4883972699662829</v>
      </c>
      <c r="Q284" s="164">
        <f t="shared" si="247"/>
        <v>1.3600050821493457</v>
      </c>
      <c r="R284" s="164">
        <f t="shared" si="247"/>
        <v>1.3453689448702415</v>
      </c>
      <c r="S284" s="164">
        <f t="shared" si="247"/>
        <v>1.3453689448702415</v>
      </c>
      <c r="T284" s="164">
        <f t="shared" si="247"/>
        <v>1.3453689448702415</v>
      </c>
      <c r="U284" s="164">
        <f t="shared" si="247"/>
        <v>1.3453689448702415</v>
      </c>
      <c r="V284" s="164">
        <f t="shared" si="247"/>
        <v>1.3453689448702415</v>
      </c>
      <c r="W284" s="164">
        <f t="shared" si="247"/>
        <v>1.3453689448702415</v>
      </c>
      <c r="X284" s="164">
        <f t="shared" si="247"/>
        <v>1.3453689448702415</v>
      </c>
      <c r="Y284" s="164">
        <f t="shared" si="247"/>
        <v>1.3453689448702415</v>
      </c>
    </row>
    <row r="285" spans="5:25" x14ac:dyDescent="0.25">
      <c r="F285" s="89" t="s">
        <v>192</v>
      </c>
      <c r="G285" s="89" t="s">
        <v>282</v>
      </c>
      <c r="J285" s="164">
        <f t="shared" ref="J285:Y285" si="248">J242 * J$93</f>
        <v>1.8190595850049036</v>
      </c>
      <c r="K285" s="164">
        <f t="shared" si="248"/>
        <v>1.8190595850049036</v>
      </c>
      <c r="L285" s="164">
        <f t="shared" si="248"/>
        <v>2.2055625071983611</v>
      </c>
      <c r="M285" s="164">
        <f t="shared" si="248"/>
        <v>2.2055625071983611</v>
      </c>
      <c r="N285" s="164">
        <f t="shared" si="248"/>
        <v>1.8298792523884608</v>
      </c>
      <c r="O285" s="164">
        <f t="shared" si="248"/>
        <v>1.7072612608741899</v>
      </c>
      <c r="P285" s="164">
        <f t="shared" si="248"/>
        <v>1.4883972699662829</v>
      </c>
      <c r="Q285" s="164">
        <f t="shared" si="248"/>
        <v>1.3600050821493457</v>
      </c>
      <c r="R285" s="164">
        <f t="shared" si="248"/>
        <v>1.3453689448702415</v>
      </c>
      <c r="S285" s="164">
        <f t="shared" si="248"/>
        <v>1.3453689448702415</v>
      </c>
      <c r="T285" s="164">
        <f t="shared" si="248"/>
        <v>1.3453689448702415</v>
      </c>
      <c r="U285" s="164">
        <f t="shared" si="248"/>
        <v>1.3453689448702415</v>
      </c>
      <c r="V285" s="164">
        <f t="shared" si="248"/>
        <v>1.3453689448702415</v>
      </c>
      <c r="W285" s="164">
        <f t="shared" si="248"/>
        <v>1.3453689448702415</v>
      </c>
      <c r="X285" s="164">
        <f t="shared" si="248"/>
        <v>1.3453689448702415</v>
      </c>
      <c r="Y285" s="164">
        <f t="shared" si="248"/>
        <v>1.3453689448702415</v>
      </c>
    </row>
    <row r="286" spans="5:25" x14ac:dyDescent="0.25">
      <c r="F286" s="89" t="s">
        <v>193</v>
      </c>
      <c r="G286" s="89" t="s">
        <v>282</v>
      </c>
      <c r="J286" s="164">
        <f t="shared" ref="J286:Y286" si="249">J243 * J$93</f>
        <v>1.9629724068536516</v>
      </c>
      <c r="K286" s="164">
        <f t="shared" si="249"/>
        <v>1.9629724068536516</v>
      </c>
      <c r="L286" s="164">
        <f t="shared" si="249"/>
        <v>2.3800530663813686</v>
      </c>
      <c r="M286" s="164">
        <f t="shared" si="249"/>
        <v>2.3800530663813686</v>
      </c>
      <c r="N286" s="164">
        <f t="shared" si="249"/>
        <v>1.9746480598670739</v>
      </c>
      <c r="O286" s="164">
        <f t="shared" si="249"/>
        <v>1.8423292859739802</v>
      </c>
      <c r="P286" s="164">
        <f t="shared" si="249"/>
        <v>1.6061501203503692</v>
      </c>
      <c r="Q286" s="164">
        <f t="shared" si="249"/>
        <v>1.5119949593508173</v>
      </c>
      <c r="R286" s="164">
        <f t="shared" si="249"/>
        <v>1.4518062726411332</v>
      </c>
      <c r="S286" s="164">
        <f t="shared" si="249"/>
        <v>1.4518062726411332</v>
      </c>
      <c r="T286" s="164">
        <f t="shared" si="249"/>
        <v>1.4518062726411332</v>
      </c>
      <c r="U286" s="164">
        <f t="shared" si="249"/>
        <v>1.4518062726411332</v>
      </c>
      <c r="V286" s="164">
        <f t="shared" si="249"/>
        <v>1.4518062726411332</v>
      </c>
      <c r="W286" s="164">
        <f t="shared" si="249"/>
        <v>1.4518062726411332</v>
      </c>
      <c r="X286" s="164">
        <f t="shared" si="249"/>
        <v>1.4518062726411332</v>
      </c>
      <c r="Y286" s="164">
        <f t="shared" si="249"/>
        <v>1.4518062726411332</v>
      </c>
    </row>
    <row r="287" spans="5:25" x14ac:dyDescent="0.25">
      <c r="F287" s="89" t="s">
        <v>194</v>
      </c>
      <c r="G287" s="89" t="s">
        <v>282</v>
      </c>
      <c r="J287" s="164">
        <f t="shared" ref="J287:Y287" si="250">J244 * J$93</f>
        <v>1.9629724068536516</v>
      </c>
      <c r="K287" s="164">
        <f t="shared" si="250"/>
        <v>1.9629724068536516</v>
      </c>
      <c r="L287" s="164">
        <f t="shared" si="250"/>
        <v>2.3800530663813686</v>
      </c>
      <c r="M287" s="164">
        <f t="shared" si="250"/>
        <v>2.3800530663813686</v>
      </c>
      <c r="N287" s="164">
        <f t="shared" si="250"/>
        <v>1.9746480598670739</v>
      </c>
      <c r="O287" s="164">
        <f t="shared" si="250"/>
        <v>1.8423292859739802</v>
      </c>
      <c r="P287" s="164">
        <f t="shared" si="250"/>
        <v>1.6061501203503692</v>
      </c>
      <c r="Q287" s="164">
        <f t="shared" si="250"/>
        <v>1.5119949593508173</v>
      </c>
      <c r="R287" s="164">
        <f t="shared" si="250"/>
        <v>1.4518062726411332</v>
      </c>
      <c r="S287" s="164">
        <f t="shared" si="250"/>
        <v>1.4518062726411332</v>
      </c>
      <c r="T287" s="164">
        <f t="shared" si="250"/>
        <v>1.4518062726411332</v>
      </c>
      <c r="U287" s="164">
        <f t="shared" si="250"/>
        <v>1.4518062726411332</v>
      </c>
      <c r="V287" s="164">
        <f t="shared" si="250"/>
        <v>1.4518062726411332</v>
      </c>
      <c r="W287" s="164">
        <f t="shared" si="250"/>
        <v>1.4518062726411332</v>
      </c>
      <c r="X287" s="164">
        <f t="shared" si="250"/>
        <v>1.4518062726411332</v>
      </c>
      <c r="Y287" s="164">
        <f t="shared" si="250"/>
        <v>1.4518062726411332</v>
      </c>
    </row>
    <row r="288" spans="5:25" x14ac:dyDescent="0.25">
      <c r="F288" s="89" t="s">
        <v>195</v>
      </c>
      <c r="G288" s="89" t="s">
        <v>282</v>
      </c>
      <c r="J288" s="164">
        <f t="shared" ref="J288:Y288" si="251">J245 * J$93</f>
        <v>0</v>
      </c>
      <c r="K288" s="164">
        <f t="shared" si="251"/>
        <v>0</v>
      </c>
      <c r="L288" s="164">
        <f t="shared" si="251"/>
        <v>0</v>
      </c>
      <c r="M288" s="164">
        <f t="shared" si="251"/>
        <v>0</v>
      </c>
      <c r="N288" s="164">
        <f t="shared" si="251"/>
        <v>0</v>
      </c>
      <c r="O288" s="164">
        <f t="shared" si="251"/>
        <v>0</v>
      </c>
      <c r="P288" s="164">
        <f t="shared" si="251"/>
        <v>0</v>
      </c>
      <c r="Q288" s="164">
        <f t="shared" si="251"/>
        <v>0</v>
      </c>
      <c r="R288" s="164">
        <f t="shared" si="251"/>
        <v>0</v>
      </c>
      <c r="S288" s="164">
        <f t="shared" si="251"/>
        <v>0</v>
      </c>
      <c r="T288" s="164">
        <f t="shared" si="251"/>
        <v>0</v>
      </c>
      <c r="U288" s="164">
        <f t="shared" si="251"/>
        <v>0</v>
      </c>
      <c r="V288" s="164">
        <f t="shared" si="251"/>
        <v>0</v>
      </c>
      <c r="W288" s="164">
        <f t="shared" si="251"/>
        <v>0</v>
      </c>
      <c r="X288" s="164">
        <f t="shared" si="251"/>
        <v>0</v>
      </c>
      <c r="Y288" s="164">
        <f t="shared" si="251"/>
        <v>0</v>
      </c>
    </row>
    <row r="289" spans="2:27" x14ac:dyDescent="0.25">
      <c r="F289" s="89" t="s">
        <v>196</v>
      </c>
      <c r="G289" s="89" t="s">
        <v>282</v>
      </c>
      <c r="J289" s="164">
        <f t="shared" ref="J289:Y289" si="252">J246 * J$93</f>
        <v>1.9629724068536516</v>
      </c>
      <c r="K289" s="164">
        <f t="shared" si="252"/>
        <v>1.9629724068536516</v>
      </c>
      <c r="L289" s="164">
        <f t="shared" si="252"/>
        <v>2.3800530663813686</v>
      </c>
      <c r="M289" s="164">
        <f t="shared" si="252"/>
        <v>2.3800530663813686</v>
      </c>
      <c r="N289" s="164">
        <f t="shared" si="252"/>
        <v>1.9746480598670739</v>
      </c>
      <c r="O289" s="164">
        <f t="shared" si="252"/>
        <v>1.8423292859739802</v>
      </c>
      <c r="P289" s="164">
        <f t="shared" si="252"/>
        <v>1.6061501203503692</v>
      </c>
      <c r="Q289" s="164">
        <f t="shared" si="252"/>
        <v>1.5119949593508173</v>
      </c>
      <c r="R289" s="164">
        <f t="shared" si="252"/>
        <v>1.4518062726411332</v>
      </c>
      <c r="S289" s="164">
        <f t="shared" si="252"/>
        <v>1.4518062726411332</v>
      </c>
      <c r="T289" s="164">
        <f t="shared" si="252"/>
        <v>1.4518062726411332</v>
      </c>
      <c r="U289" s="164">
        <f t="shared" si="252"/>
        <v>1.4518062726411332</v>
      </c>
      <c r="V289" s="164">
        <f t="shared" si="252"/>
        <v>1.4518062726411332</v>
      </c>
      <c r="W289" s="164">
        <f t="shared" si="252"/>
        <v>1.4518062726411332</v>
      </c>
      <c r="X289" s="164">
        <f t="shared" si="252"/>
        <v>1.4518062726411332</v>
      </c>
      <c r="Y289" s="164">
        <f t="shared" si="252"/>
        <v>1.4518062726411332</v>
      </c>
    </row>
    <row r="290" spans="2:27" x14ac:dyDescent="0.25">
      <c r="F290" s="89" t="s">
        <v>197</v>
      </c>
      <c r="G290" s="89" t="s">
        <v>282</v>
      </c>
      <c r="J290" s="164">
        <f t="shared" ref="J290:Y290" si="253">J247 * J$93</f>
        <v>1.9629724068536516</v>
      </c>
      <c r="K290" s="164">
        <f t="shared" si="253"/>
        <v>1.9629724068536516</v>
      </c>
      <c r="L290" s="164">
        <f t="shared" si="253"/>
        <v>2.3800530663813686</v>
      </c>
      <c r="M290" s="164">
        <f t="shared" si="253"/>
        <v>2.3800530663813686</v>
      </c>
      <c r="N290" s="164">
        <f t="shared" si="253"/>
        <v>1.9746480598670739</v>
      </c>
      <c r="O290" s="164">
        <f t="shared" si="253"/>
        <v>1.8423292859739802</v>
      </c>
      <c r="P290" s="164">
        <f t="shared" si="253"/>
        <v>1.6061501203503692</v>
      </c>
      <c r="Q290" s="164">
        <f t="shared" si="253"/>
        <v>1.5119949593508173</v>
      </c>
      <c r="R290" s="164">
        <f t="shared" si="253"/>
        <v>1.4518062726411332</v>
      </c>
      <c r="S290" s="164">
        <f t="shared" si="253"/>
        <v>1.4518062726411332</v>
      </c>
      <c r="T290" s="164">
        <f t="shared" si="253"/>
        <v>1.4518062726411332</v>
      </c>
      <c r="U290" s="164">
        <f t="shared" si="253"/>
        <v>1.4518062726411332</v>
      </c>
      <c r="V290" s="164">
        <f t="shared" si="253"/>
        <v>1.4518062726411332</v>
      </c>
      <c r="W290" s="164">
        <f t="shared" si="253"/>
        <v>1.4518062726411332</v>
      </c>
      <c r="X290" s="164">
        <f t="shared" si="253"/>
        <v>1.4518062726411332</v>
      </c>
      <c r="Y290" s="164">
        <f t="shared" si="253"/>
        <v>1.4518062726411332</v>
      </c>
    </row>
    <row r="291" spans="2:27" x14ac:dyDescent="0.25">
      <c r="F291" s="96" t="s">
        <v>198</v>
      </c>
      <c r="G291" s="96" t="s">
        <v>282</v>
      </c>
      <c r="H291" s="91"/>
      <c r="I291" s="91"/>
      <c r="J291" s="174">
        <f t="shared" ref="J291:Y291" si="254">J248 * J$93</f>
        <v>1.9629724068536516</v>
      </c>
      <c r="K291" s="174">
        <f t="shared" si="254"/>
        <v>1.9629724068536516</v>
      </c>
      <c r="L291" s="174">
        <f t="shared" si="254"/>
        <v>2.3800530663813686</v>
      </c>
      <c r="M291" s="174">
        <f t="shared" si="254"/>
        <v>2.3800530663813686</v>
      </c>
      <c r="N291" s="174">
        <f t="shared" si="254"/>
        <v>1.9746480598670739</v>
      </c>
      <c r="O291" s="174">
        <f t="shared" si="254"/>
        <v>1.8423292859739802</v>
      </c>
      <c r="P291" s="174">
        <f t="shared" si="254"/>
        <v>1.6061501203503692</v>
      </c>
      <c r="Q291" s="174">
        <f t="shared" si="254"/>
        <v>1.5119949593508173</v>
      </c>
      <c r="R291" s="174">
        <f t="shared" si="254"/>
        <v>1.4518062726411332</v>
      </c>
      <c r="S291" s="174">
        <f t="shared" si="254"/>
        <v>1.4518062726411332</v>
      </c>
      <c r="T291" s="174">
        <f t="shared" si="254"/>
        <v>1.4518062726411332</v>
      </c>
      <c r="U291" s="174">
        <f t="shared" si="254"/>
        <v>1.4518062726411332</v>
      </c>
      <c r="V291" s="174">
        <f t="shared" si="254"/>
        <v>1.4518062726411332</v>
      </c>
      <c r="W291" s="174">
        <f t="shared" si="254"/>
        <v>1.4518062726411332</v>
      </c>
      <c r="X291" s="174">
        <f t="shared" si="254"/>
        <v>1.4518062726411332</v>
      </c>
      <c r="Y291" s="174">
        <f t="shared" si="254"/>
        <v>1.4518062726411332</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157</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190</v>
      </c>
      <c r="G294" s="93" t="s">
        <v>282</v>
      </c>
      <c r="H294" s="90"/>
      <c r="I294" s="90"/>
      <c r="J294" s="145">
        <f>J251 * J$93</f>
        <v>0.13461671614534554</v>
      </c>
      <c r="K294" s="145">
        <f t="shared" ref="K294:Y294" si="255">K251 * K$93</f>
        <v>0.13461671614534554</v>
      </c>
      <c r="L294" s="145">
        <f t="shared" si="255"/>
        <v>0.16321927243056089</v>
      </c>
      <c r="M294" s="145">
        <f t="shared" si="255"/>
        <v>0.16321927243056089</v>
      </c>
      <c r="N294" s="145">
        <f t="shared" si="255"/>
        <v>0.13541740904455887</v>
      </c>
      <c r="O294" s="145">
        <f t="shared" si="255"/>
        <v>0.12634325254410289</v>
      </c>
      <c r="P294" s="145">
        <f t="shared" si="255"/>
        <v>0.1101465583943575</v>
      </c>
      <c r="Q294" s="145">
        <f t="shared" si="255"/>
        <v>0.11624080753156253</v>
      </c>
      <c r="R294" s="145">
        <f t="shared" si="255"/>
        <v>9.9561966444255925E-2</v>
      </c>
      <c r="S294" s="145">
        <f t="shared" si="255"/>
        <v>9.9561966444255925E-2</v>
      </c>
      <c r="T294" s="145">
        <f t="shared" si="255"/>
        <v>9.9561966444255925E-2</v>
      </c>
      <c r="U294" s="145">
        <f t="shared" si="255"/>
        <v>9.9561966444255925E-2</v>
      </c>
      <c r="V294" s="145">
        <f t="shared" si="255"/>
        <v>9.9561966444255925E-2</v>
      </c>
      <c r="W294" s="145">
        <f t="shared" si="255"/>
        <v>9.9561966444255925E-2</v>
      </c>
      <c r="X294" s="145">
        <f t="shared" si="255"/>
        <v>9.9561966444255925E-2</v>
      </c>
      <c r="Y294" s="145">
        <f t="shared" si="255"/>
        <v>9.9561966444255925E-2</v>
      </c>
    </row>
    <row r="295" spans="2:27" x14ac:dyDescent="0.25">
      <c r="F295" s="89" t="s">
        <v>191</v>
      </c>
      <c r="G295" s="89" t="s">
        <v>282</v>
      </c>
      <c r="J295" s="164">
        <f t="shared" ref="J295:Y295" si="256">J252 * J$93</f>
        <v>0.16971427749233947</v>
      </c>
      <c r="K295" s="164">
        <f t="shared" si="256"/>
        <v>0.16971427749233947</v>
      </c>
      <c r="L295" s="164">
        <f t="shared" si="256"/>
        <v>0.20577415410631181</v>
      </c>
      <c r="M295" s="164">
        <f t="shared" si="256"/>
        <v>0.20577415410631181</v>
      </c>
      <c r="N295" s="164">
        <f t="shared" si="256"/>
        <v>0.17072372877576344</v>
      </c>
      <c r="O295" s="164">
        <f t="shared" si="256"/>
        <v>0.1592837385693128</v>
      </c>
      <c r="P295" s="164">
        <f t="shared" si="256"/>
        <v>0.13886420729490143</v>
      </c>
      <c r="Q295" s="164">
        <f t="shared" si="256"/>
        <v>0.14654736224619552</v>
      </c>
      <c r="R295" s="164">
        <f t="shared" si="256"/>
        <v>0.12551997764200157</v>
      </c>
      <c r="S295" s="164">
        <f t="shared" si="256"/>
        <v>0.12551997764200157</v>
      </c>
      <c r="T295" s="164">
        <f t="shared" si="256"/>
        <v>0.12551997764200157</v>
      </c>
      <c r="U295" s="164">
        <f t="shared" si="256"/>
        <v>0.12551997764200157</v>
      </c>
      <c r="V295" s="164">
        <f t="shared" si="256"/>
        <v>0.12551997764200157</v>
      </c>
      <c r="W295" s="164">
        <f t="shared" si="256"/>
        <v>0.12551997764200157</v>
      </c>
      <c r="X295" s="164">
        <f t="shared" si="256"/>
        <v>0.12551997764200157</v>
      </c>
      <c r="Y295" s="164">
        <f t="shared" si="256"/>
        <v>0.12551997764200157</v>
      </c>
    </row>
    <row r="296" spans="2:27" x14ac:dyDescent="0.25">
      <c r="F296" s="89" t="s">
        <v>192</v>
      </c>
      <c r="G296" s="89" t="s">
        <v>282</v>
      </c>
      <c r="J296" s="164">
        <f t="shared" ref="J296:Y296" si="257">J253 * J$93</f>
        <v>0.16971427749233947</v>
      </c>
      <c r="K296" s="164">
        <f t="shared" si="257"/>
        <v>0.16971427749233947</v>
      </c>
      <c r="L296" s="164">
        <f t="shared" si="257"/>
        <v>0.20577415410631181</v>
      </c>
      <c r="M296" s="164">
        <f t="shared" si="257"/>
        <v>0.20577415410631181</v>
      </c>
      <c r="N296" s="164">
        <f t="shared" si="257"/>
        <v>0.17072372877576344</v>
      </c>
      <c r="O296" s="164">
        <f t="shared" si="257"/>
        <v>0.1592837385693128</v>
      </c>
      <c r="P296" s="164">
        <f t="shared" si="257"/>
        <v>0.13886420729490143</v>
      </c>
      <c r="Q296" s="164">
        <f t="shared" si="257"/>
        <v>0.14654736224619552</v>
      </c>
      <c r="R296" s="164">
        <f t="shared" si="257"/>
        <v>0.12551997764200157</v>
      </c>
      <c r="S296" s="164">
        <f t="shared" si="257"/>
        <v>0.12551997764200157</v>
      </c>
      <c r="T296" s="164">
        <f t="shared" si="257"/>
        <v>0.12551997764200157</v>
      </c>
      <c r="U296" s="164">
        <f t="shared" si="257"/>
        <v>0.12551997764200157</v>
      </c>
      <c r="V296" s="164">
        <f t="shared" si="257"/>
        <v>0.12551997764200157</v>
      </c>
      <c r="W296" s="164">
        <f t="shared" si="257"/>
        <v>0.12551997764200157</v>
      </c>
      <c r="X296" s="164">
        <f t="shared" si="257"/>
        <v>0.12551997764200157</v>
      </c>
      <c r="Y296" s="164">
        <f t="shared" si="257"/>
        <v>0.12551997764200157</v>
      </c>
    </row>
    <row r="297" spans="2:27" x14ac:dyDescent="0.25">
      <c r="F297" s="89" t="s">
        <v>193</v>
      </c>
      <c r="G297" s="89" t="s">
        <v>282</v>
      </c>
      <c r="J297" s="164">
        <f t="shared" ref="J297:Y297" si="258">J254 * J$93</f>
        <v>0.32601008363004158</v>
      </c>
      <c r="K297" s="164">
        <f t="shared" si="258"/>
        <v>0.32601008363004158</v>
      </c>
      <c r="L297" s="164">
        <f t="shared" si="258"/>
        <v>0.39527876016281432</v>
      </c>
      <c r="M297" s="164">
        <f t="shared" si="258"/>
        <v>0.39527876016281432</v>
      </c>
      <c r="N297" s="164">
        <f t="shared" si="258"/>
        <v>0.32794917385976224</v>
      </c>
      <c r="O297" s="164">
        <f t="shared" si="258"/>
        <v>0.30597369708173938</v>
      </c>
      <c r="P297" s="164">
        <f t="shared" si="258"/>
        <v>0.26674910621749942</v>
      </c>
      <c r="Q297" s="164">
        <f t="shared" si="258"/>
        <v>0.28150794693039716</v>
      </c>
      <c r="R297" s="164">
        <f t="shared" si="258"/>
        <v>0.2411157093731077</v>
      </c>
      <c r="S297" s="164">
        <f t="shared" si="258"/>
        <v>0.2411157093731077</v>
      </c>
      <c r="T297" s="164">
        <f t="shared" si="258"/>
        <v>0.2411157093731077</v>
      </c>
      <c r="U297" s="164">
        <f t="shared" si="258"/>
        <v>0.2411157093731077</v>
      </c>
      <c r="V297" s="164">
        <f t="shared" si="258"/>
        <v>0.2411157093731077</v>
      </c>
      <c r="W297" s="164">
        <f t="shared" si="258"/>
        <v>0.2411157093731077</v>
      </c>
      <c r="X297" s="164">
        <f t="shared" si="258"/>
        <v>0.2411157093731077</v>
      </c>
      <c r="Y297" s="164">
        <f t="shared" si="258"/>
        <v>0.2411157093731077</v>
      </c>
    </row>
    <row r="298" spans="2:27" x14ac:dyDescent="0.25">
      <c r="F298" s="89" t="s">
        <v>194</v>
      </c>
      <c r="G298" s="89" t="s">
        <v>282</v>
      </c>
      <c r="J298" s="164">
        <f t="shared" ref="J298:Y298" si="259">J255 * J$93</f>
        <v>0.32601008363004158</v>
      </c>
      <c r="K298" s="164">
        <f t="shared" si="259"/>
        <v>0.32601008363004158</v>
      </c>
      <c r="L298" s="164">
        <f t="shared" si="259"/>
        <v>0.39527876016281432</v>
      </c>
      <c r="M298" s="164">
        <f t="shared" si="259"/>
        <v>0.39527876016281432</v>
      </c>
      <c r="N298" s="164">
        <f t="shared" si="259"/>
        <v>0.32794917385976224</v>
      </c>
      <c r="O298" s="164">
        <f t="shared" si="259"/>
        <v>0.30597369708173938</v>
      </c>
      <c r="P298" s="164">
        <f t="shared" si="259"/>
        <v>0.26674910621749942</v>
      </c>
      <c r="Q298" s="164">
        <f t="shared" si="259"/>
        <v>0.28150794693039716</v>
      </c>
      <c r="R298" s="164">
        <f t="shared" si="259"/>
        <v>0.2411157093731077</v>
      </c>
      <c r="S298" s="164">
        <f t="shared" si="259"/>
        <v>0.2411157093731077</v>
      </c>
      <c r="T298" s="164">
        <f t="shared" si="259"/>
        <v>0.2411157093731077</v>
      </c>
      <c r="U298" s="164">
        <f t="shared" si="259"/>
        <v>0.2411157093731077</v>
      </c>
      <c r="V298" s="164">
        <f t="shared" si="259"/>
        <v>0.2411157093731077</v>
      </c>
      <c r="W298" s="164">
        <f t="shared" si="259"/>
        <v>0.2411157093731077</v>
      </c>
      <c r="X298" s="164">
        <f t="shared" si="259"/>
        <v>0.2411157093731077</v>
      </c>
      <c r="Y298" s="164">
        <f t="shared" si="259"/>
        <v>0.2411157093731077</v>
      </c>
    </row>
    <row r="299" spans="2:27" x14ac:dyDescent="0.25">
      <c r="F299" s="89" t="s">
        <v>195</v>
      </c>
      <c r="G299" s="89" t="s">
        <v>282</v>
      </c>
      <c r="J299" s="164">
        <f t="shared" ref="J299:Y299" si="260">J256 * J$93</f>
        <v>0</v>
      </c>
      <c r="K299" s="164">
        <f t="shared" si="260"/>
        <v>0</v>
      </c>
      <c r="L299" s="164">
        <f t="shared" si="260"/>
        <v>0</v>
      </c>
      <c r="M299" s="164">
        <f t="shared" si="260"/>
        <v>0</v>
      </c>
      <c r="N299" s="164">
        <f t="shared" si="260"/>
        <v>0</v>
      </c>
      <c r="O299" s="164">
        <f t="shared" si="260"/>
        <v>0</v>
      </c>
      <c r="P299" s="164">
        <f t="shared" si="260"/>
        <v>0</v>
      </c>
      <c r="Q299" s="164">
        <f t="shared" si="260"/>
        <v>0</v>
      </c>
      <c r="R299" s="164">
        <f t="shared" si="260"/>
        <v>0</v>
      </c>
      <c r="S299" s="164">
        <f t="shared" si="260"/>
        <v>0</v>
      </c>
      <c r="T299" s="164">
        <f t="shared" si="260"/>
        <v>0</v>
      </c>
      <c r="U299" s="164">
        <f t="shared" si="260"/>
        <v>0</v>
      </c>
      <c r="V299" s="164">
        <f t="shared" si="260"/>
        <v>0</v>
      </c>
      <c r="W299" s="164">
        <f t="shared" si="260"/>
        <v>0</v>
      </c>
      <c r="X299" s="164">
        <f t="shared" si="260"/>
        <v>0</v>
      </c>
      <c r="Y299" s="164">
        <f t="shared" si="260"/>
        <v>0</v>
      </c>
    </row>
    <row r="300" spans="2:27" x14ac:dyDescent="0.25">
      <c r="F300" s="89" t="s">
        <v>196</v>
      </c>
      <c r="G300" s="89" t="s">
        <v>282</v>
      </c>
      <c r="J300" s="164">
        <f t="shared" ref="J300:Y300" si="261">J257 * J$93</f>
        <v>0.32601008363004158</v>
      </c>
      <c r="K300" s="164">
        <f t="shared" si="261"/>
        <v>0.32601008363004158</v>
      </c>
      <c r="L300" s="164">
        <f t="shared" si="261"/>
        <v>0.39527876016281432</v>
      </c>
      <c r="M300" s="164">
        <f t="shared" si="261"/>
        <v>0.39527876016281432</v>
      </c>
      <c r="N300" s="164">
        <f t="shared" si="261"/>
        <v>0.32794917385976224</v>
      </c>
      <c r="O300" s="164">
        <f t="shared" si="261"/>
        <v>0.30597369708173938</v>
      </c>
      <c r="P300" s="164">
        <f t="shared" si="261"/>
        <v>0.26674910621749942</v>
      </c>
      <c r="Q300" s="164">
        <f t="shared" si="261"/>
        <v>0.28150794693039716</v>
      </c>
      <c r="R300" s="164">
        <f t="shared" si="261"/>
        <v>0.2411157093731077</v>
      </c>
      <c r="S300" s="164">
        <f t="shared" si="261"/>
        <v>0.2411157093731077</v>
      </c>
      <c r="T300" s="164">
        <f t="shared" si="261"/>
        <v>0.2411157093731077</v>
      </c>
      <c r="U300" s="164">
        <f t="shared" si="261"/>
        <v>0.2411157093731077</v>
      </c>
      <c r="V300" s="164">
        <f t="shared" si="261"/>
        <v>0.2411157093731077</v>
      </c>
      <c r="W300" s="164">
        <f t="shared" si="261"/>
        <v>0.2411157093731077</v>
      </c>
      <c r="X300" s="164">
        <f t="shared" si="261"/>
        <v>0.2411157093731077</v>
      </c>
      <c r="Y300" s="164">
        <f t="shared" si="261"/>
        <v>0.2411157093731077</v>
      </c>
    </row>
    <row r="301" spans="2:27" x14ac:dyDescent="0.25">
      <c r="F301" s="89" t="s">
        <v>197</v>
      </c>
      <c r="G301" s="89" t="s">
        <v>282</v>
      </c>
      <c r="J301" s="164">
        <f t="shared" ref="J301:Y301" si="262">J258 * J$93</f>
        <v>0.32601008363004158</v>
      </c>
      <c r="K301" s="164">
        <f t="shared" si="262"/>
        <v>0.32601008363004158</v>
      </c>
      <c r="L301" s="164">
        <f t="shared" si="262"/>
        <v>0.39527876016281432</v>
      </c>
      <c r="M301" s="164">
        <f t="shared" si="262"/>
        <v>0.39527876016281432</v>
      </c>
      <c r="N301" s="164">
        <f t="shared" si="262"/>
        <v>0.32794917385976224</v>
      </c>
      <c r="O301" s="164">
        <f t="shared" si="262"/>
        <v>0.30597369708173938</v>
      </c>
      <c r="P301" s="164">
        <f t="shared" si="262"/>
        <v>0.26674910621749942</v>
      </c>
      <c r="Q301" s="164">
        <f t="shared" si="262"/>
        <v>0.28150794693039716</v>
      </c>
      <c r="R301" s="164">
        <f t="shared" si="262"/>
        <v>0.2411157093731077</v>
      </c>
      <c r="S301" s="164">
        <f t="shared" si="262"/>
        <v>0.2411157093731077</v>
      </c>
      <c r="T301" s="164">
        <f t="shared" si="262"/>
        <v>0.2411157093731077</v>
      </c>
      <c r="U301" s="164">
        <f t="shared" si="262"/>
        <v>0.2411157093731077</v>
      </c>
      <c r="V301" s="164">
        <f t="shared" si="262"/>
        <v>0.2411157093731077</v>
      </c>
      <c r="W301" s="164">
        <f t="shared" si="262"/>
        <v>0.2411157093731077</v>
      </c>
      <c r="X301" s="164">
        <f t="shared" si="262"/>
        <v>0.2411157093731077</v>
      </c>
      <c r="Y301" s="164">
        <f t="shared" si="262"/>
        <v>0.2411157093731077</v>
      </c>
    </row>
    <row r="302" spans="2:27" x14ac:dyDescent="0.25">
      <c r="F302" s="96" t="s">
        <v>198</v>
      </c>
      <c r="G302" s="96" t="s">
        <v>282</v>
      </c>
      <c r="H302" s="91"/>
      <c r="I302" s="91"/>
      <c r="J302" s="174">
        <f t="shared" ref="J302:Y302" si="263">J259 * J$93</f>
        <v>0.32601008363004158</v>
      </c>
      <c r="K302" s="174">
        <f t="shared" si="263"/>
        <v>0.32601008363004158</v>
      </c>
      <c r="L302" s="174">
        <f t="shared" si="263"/>
        <v>0.39527876016281432</v>
      </c>
      <c r="M302" s="174">
        <f t="shared" si="263"/>
        <v>0.39527876016281432</v>
      </c>
      <c r="N302" s="174">
        <f t="shared" si="263"/>
        <v>0.32794917385976224</v>
      </c>
      <c r="O302" s="174">
        <f t="shared" si="263"/>
        <v>0.30597369708173938</v>
      </c>
      <c r="P302" s="174">
        <f t="shared" si="263"/>
        <v>0.26674910621749942</v>
      </c>
      <c r="Q302" s="174">
        <f t="shared" si="263"/>
        <v>0.28150794693039716</v>
      </c>
      <c r="R302" s="174">
        <f t="shared" si="263"/>
        <v>0.2411157093731077</v>
      </c>
      <c r="S302" s="174">
        <f t="shared" si="263"/>
        <v>0.2411157093731077</v>
      </c>
      <c r="T302" s="174">
        <f t="shared" si="263"/>
        <v>0.2411157093731077</v>
      </c>
      <c r="U302" s="174">
        <f t="shared" si="263"/>
        <v>0.2411157093731077</v>
      </c>
      <c r="V302" s="174">
        <f t="shared" si="263"/>
        <v>0.2411157093731077</v>
      </c>
      <c r="W302" s="174">
        <f t="shared" si="263"/>
        <v>0.2411157093731077</v>
      </c>
      <c r="X302" s="174">
        <f t="shared" si="263"/>
        <v>0.2411157093731077</v>
      </c>
      <c r="Y302" s="174">
        <f t="shared" si="263"/>
        <v>0.2411157093731077</v>
      </c>
    </row>
    <row r="304" spans="2:27" x14ac:dyDescent="0.25">
      <c r="B304" s="70" t="s">
        <v>230</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231</v>
      </c>
      <c r="G306" s="6" t="s">
        <v>54</v>
      </c>
      <c r="H306" s="108">
        <f t="array" ref="H306">SUM(IF(ISERROR(H20:Y302), 1))</f>
        <v>0</v>
      </c>
    </row>
    <row r="308" spans="2:27" x14ac:dyDescent="0.25">
      <c r="B308" s="70" t="s">
        <v>105</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487</v>
      </c>
      <c r="D9" s="71"/>
    </row>
    <row r="10" spans="1:43" x14ac:dyDescent="0.25">
      <c r="C10" s="71" t="s">
        <v>488</v>
      </c>
      <c r="D10" s="71"/>
    </row>
    <row r="11" spans="1:43" x14ac:dyDescent="0.25">
      <c r="C11" s="71" t="s">
        <v>489</v>
      </c>
      <c r="D11" s="71"/>
    </row>
    <row r="12" spans="1:43" x14ac:dyDescent="0.25">
      <c r="C12" s="71"/>
      <c r="D12" s="71" t="s">
        <v>490</v>
      </c>
    </row>
    <row r="13" spans="1:43" x14ac:dyDescent="0.25">
      <c r="C13" s="71"/>
      <c r="D13" s="71" t="s">
        <v>491</v>
      </c>
    </row>
    <row r="14" spans="1:43" x14ac:dyDescent="0.25">
      <c r="C14" s="71"/>
      <c r="D14" s="71" t="s">
        <v>492</v>
      </c>
    </row>
    <row r="16" spans="1:43" x14ac:dyDescent="0.25">
      <c r="B16" s="70" t="s">
        <v>493</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494</v>
      </c>
      <c r="AQ20" s="3"/>
    </row>
    <row r="21" spans="3:43" x14ac:dyDescent="0.25">
      <c r="C21" s="60"/>
      <c r="AQ21" s="3"/>
    </row>
    <row r="22" spans="3:43" x14ac:dyDescent="0.25">
      <c r="E22" s="60" t="s">
        <v>376</v>
      </c>
      <c r="H22" s="47"/>
      <c r="J22" s="92"/>
      <c r="L22" s="92"/>
      <c r="AQ22" s="3"/>
    </row>
    <row r="23" spans="3:43" x14ac:dyDescent="0.25">
      <c r="E23" s="60"/>
      <c r="F23" s="90" t="s">
        <v>190</v>
      </c>
      <c r="G23" s="90" t="s">
        <v>166</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191</v>
      </c>
      <c r="G24" t="s">
        <v>166</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192</v>
      </c>
      <c r="G25" t="s">
        <v>166</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193</v>
      </c>
      <c r="G26" t="s">
        <v>166</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194</v>
      </c>
      <c r="G27" t="s">
        <v>166</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195</v>
      </c>
      <c r="G28" t="s">
        <v>166</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196</v>
      </c>
      <c r="G29" t="s">
        <v>166</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197</v>
      </c>
      <c r="G30" t="s">
        <v>166</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198</v>
      </c>
      <c r="G31" s="91" t="s">
        <v>166</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495</v>
      </c>
      <c r="I33" t="s">
        <v>153</v>
      </c>
      <c r="J33" s="92"/>
      <c r="K33" s="92"/>
      <c r="L33" s="92"/>
      <c r="M33" s="92"/>
      <c r="N33" s="92"/>
      <c r="O33" s="92"/>
      <c r="P33" s="92"/>
      <c r="Q33" s="92"/>
      <c r="R33" s="92"/>
      <c r="S33" s="92"/>
      <c r="T33" s="92"/>
      <c r="U33" s="92"/>
      <c r="V33" s="92"/>
      <c r="W33" s="92"/>
      <c r="X33" s="92"/>
      <c r="Y33" s="92"/>
      <c r="AA33" t="s">
        <v>496</v>
      </c>
      <c r="AQ33" s="3"/>
    </row>
    <row r="34" spans="5:43" x14ac:dyDescent="0.25">
      <c r="E34" s="60"/>
      <c r="F34" s="90" t="s">
        <v>190</v>
      </c>
      <c r="G34" s="90" t="s">
        <v>282</v>
      </c>
      <c r="H34" s="222"/>
      <c r="I34" s="222"/>
      <c r="J34" s="167">
        <f t="array" ref="J34:Y42">TRANSPOSE('Load &amp; loss characteristics'!K145:S160)</f>
        <v>1.1379999999999999</v>
      </c>
      <c r="K34" s="167">
        <v>1.1379999999999999</v>
      </c>
      <c r="L34" s="167">
        <v>1.1379999999999999</v>
      </c>
      <c r="M34" s="167">
        <v>1.1379999999999999</v>
      </c>
      <c r="N34" s="167">
        <v>1.1379999999999999</v>
      </c>
      <c r="O34" s="167">
        <v>1.044</v>
      </c>
      <c r="P34" s="167">
        <v>1.0289999999999999</v>
      </c>
      <c r="Q34" s="167">
        <v>1.1379999999999999</v>
      </c>
      <c r="R34" s="167">
        <v>-1.1379999999999999</v>
      </c>
      <c r="S34" s="167">
        <v>-1.044</v>
      </c>
      <c r="T34" s="167">
        <v>-1.1379999999999999</v>
      </c>
      <c r="U34" s="167">
        <v>-1.1379999999999999</v>
      </c>
      <c r="V34" s="167">
        <v>-1.044</v>
      </c>
      <c r="W34" s="167">
        <v>-1.044</v>
      </c>
      <c r="X34" s="167">
        <v>-1.0289999999999999</v>
      </c>
      <c r="Y34" s="167">
        <v>-1.0289999999999999</v>
      </c>
      <c r="AQ34" s="3"/>
    </row>
    <row r="35" spans="5:43" x14ac:dyDescent="0.25">
      <c r="E35" s="60"/>
      <c r="F35" t="s">
        <v>191</v>
      </c>
      <c r="G35" t="s">
        <v>282</v>
      </c>
      <c r="H35" s="101"/>
      <c r="I35" s="101"/>
      <c r="J35" s="163">
        <v>1.1379999999999999</v>
      </c>
      <c r="K35" s="163">
        <v>1.1379999999999999</v>
      </c>
      <c r="L35" s="163">
        <v>1.1379999999999999</v>
      </c>
      <c r="M35" s="163">
        <v>1.1379999999999999</v>
      </c>
      <c r="N35" s="163">
        <v>1.1379999999999999</v>
      </c>
      <c r="O35" s="163">
        <v>1.044</v>
      </c>
      <c r="P35" s="163">
        <v>1.0289999999999999</v>
      </c>
      <c r="Q35" s="163">
        <v>1.1379999999999999</v>
      </c>
      <c r="R35" s="163">
        <v>-1.1379999999999999</v>
      </c>
      <c r="S35" s="163">
        <v>-1.044</v>
      </c>
      <c r="T35" s="163">
        <v>-1.1379999999999999</v>
      </c>
      <c r="U35" s="163">
        <v>-1.1379999999999999</v>
      </c>
      <c r="V35" s="163">
        <v>-1.044</v>
      </c>
      <c r="W35" s="163">
        <v>-1.044</v>
      </c>
      <c r="X35" s="163">
        <v>-1.0289999999999999</v>
      </c>
      <c r="Y35" s="163">
        <v>-1.0289999999999999</v>
      </c>
      <c r="AQ35" s="3"/>
    </row>
    <row r="36" spans="5:43" x14ac:dyDescent="0.25">
      <c r="E36" s="60"/>
      <c r="F36" t="s">
        <v>192</v>
      </c>
      <c r="G36" t="s">
        <v>282</v>
      </c>
      <c r="H36" s="101"/>
      <c r="I36" s="101"/>
      <c r="J36" s="163">
        <v>1.1379999999999999</v>
      </c>
      <c r="K36" s="163">
        <v>1.1379999999999999</v>
      </c>
      <c r="L36" s="163">
        <v>1.1379999999999999</v>
      </c>
      <c r="M36" s="163">
        <v>1.1379999999999999</v>
      </c>
      <c r="N36" s="163">
        <v>1.1379999999999999</v>
      </c>
      <c r="O36" s="163">
        <v>1.044</v>
      </c>
      <c r="P36" s="163">
        <v>1.0289999999999999</v>
      </c>
      <c r="Q36" s="163">
        <v>1.1379999999999999</v>
      </c>
      <c r="R36" s="163">
        <v>-1.1379999999999999</v>
      </c>
      <c r="S36" s="163">
        <v>-1.044</v>
      </c>
      <c r="T36" s="163">
        <v>-1.1379999999999999</v>
      </c>
      <c r="U36" s="163">
        <v>-1.1379999999999999</v>
      </c>
      <c r="V36" s="163">
        <v>-1.044</v>
      </c>
      <c r="W36" s="163">
        <v>-1.044</v>
      </c>
      <c r="X36" s="163">
        <v>-1.0289999999999999</v>
      </c>
      <c r="Y36" s="163">
        <v>-1.0289999999999999</v>
      </c>
      <c r="AQ36" s="3"/>
    </row>
    <row r="37" spans="5:43" x14ac:dyDescent="0.25">
      <c r="E37" s="60"/>
      <c r="F37" t="s">
        <v>193</v>
      </c>
      <c r="G37" t="s">
        <v>282</v>
      </c>
      <c r="H37" s="101"/>
      <c r="I37" s="101"/>
      <c r="J37" s="163">
        <v>1.1379999999999999</v>
      </c>
      <c r="K37" s="163">
        <v>1.1379999999999999</v>
      </c>
      <c r="L37" s="163">
        <v>1.1379999999999999</v>
      </c>
      <c r="M37" s="163">
        <v>1.1379999999999999</v>
      </c>
      <c r="N37" s="163">
        <v>1.1379999999999999</v>
      </c>
      <c r="O37" s="163">
        <v>1.044</v>
      </c>
      <c r="P37" s="163">
        <v>1.0289999999999999</v>
      </c>
      <c r="Q37" s="163">
        <v>1.1379999999999999</v>
      </c>
      <c r="R37" s="163">
        <v>-1.1379999999999999</v>
      </c>
      <c r="S37" s="163">
        <v>-1.044</v>
      </c>
      <c r="T37" s="163">
        <v>-1.1379999999999999</v>
      </c>
      <c r="U37" s="163">
        <v>-1.1379999999999999</v>
      </c>
      <c r="V37" s="163">
        <v>-1.044</v>
      </c>
      <c r="W37" s="163">
        <v>-1.044</v>
      </c>
      <c r="X37" s="163">
        <v>-1.0289999999999999</v>
      </c>
      <c r="Y37" s="163">
        <v>-1.0289999999999999</v>
      </c>
      <c r="AQ37" s="3"/>
    </row>
    <row r="38" spans="5:43" x14ac:dyDescent="0.25">
      <c r="E38" s="60"/>
      <c r="F38" t="s">
        <v>194</v>
      </c>
      <c r="G38" t="s">
        <v>282</v>
      </c>
      <c r="H38" s="101"/>
      <c r="I38" s="101"/>
      <c r="J38" s="163">
        <v>1.1379999999999999</v>
      </c>
      <c r="K38" s="163">
        <v>1.1379999999999999</v>
      </c>
      <c r="L38" s="163">
        <v>1.1379999999999999</v>
      </c>
      <c r="M38" s="163">
        <v>1.1379999999999999</v>
      </c>
      <c r="N38" s="163">
        <v>1.1379999999999999</v>
      </c>
      <c r="O38" s="163">
        <v>1.044</v>
      </c>
      <c r="P38" s="163">
        <v>1.0289999999999999</v>
      </c>
      <c r="Q38" s="163">
        <v>1.1379999999999999</v>
      </c>
      <c r="R38" s="163">
        <v>-1.1379999999999999</v>
      </c>
      <c r="S38" s="163">
        <v>-1.044</v>
      </c>
      <c r="T38" s="163">
        <v>-1.1379999999999999</v>
      </c>
      <c r="U38" s="163">
        <v>-1.1379999999999999</v>
      </c>
      <c r="V38" s="163">
        <v>-1.044</v>
      </c>
      <c r="W38" s="163">
        <v>-1.044</v>
      </c>
      <c r="X38" s="163">
        <v>-1.0289999999999999</v>
      </c>
      <c r="Y38" s="163">
        <v>-1.0289999999999999</v>
      </c>
      <c r="AQ38" s="3"/>
    </row>
    <row r="39" spans="5:43" x14ac:dyDescent="0.25">
      <c r="E39" s="60"/>
      <c r="F39" t="s">
        <v>195</v>
      </c>
      <c r="G39" t="s">
        <v>282</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25">
      <c r="E40" s="60"/>
      <c r="F40" t="s">
        <v>196</v>
      </c>
      <c r="G40" t="s">
        <v>282</v>
      </c>
      <c r="H40" s="101"/>
      <c r="I40" s="101"/>
      <c r="J40" s="163">
        <v>1.1379999999999999</v>
      </c>
      <c r="K40" s="163">
        <v>1.1379999999999999</v>
      </c>
      <c r="L40" s="163">
        <v>1.1379999999999999</v>
      </c>
      <c r="M40" s="163">
        <v>1.1379999999999999</v>
      </c>
      <c r="N40" s="163">
        <v>1.1379999999999999</v>
      </c>
      <c r="O40" s="163">
        <v>1.044</v>
      </c>
      <c r="P40" s="163">
        <v>1.0289999999999999</v>
      </c>
      <c r="Q40" s="163">
        <v>1.1379999999999999</v>
      </c>
      <c r="R40" s="163">
        <v>-1.1379999999999999</v>
      </c>
      <c r="S40" s="163">
        <v>-1.044</v>
      </c>
      <c r="T40" s="163">
        <v>-1.1379999999999999</v>
      </c>
      <c r="U40" s="163">
        <v>-1.1379999999999999</v>
      </c>
      <c r="V40" s="163">
        <v>-1.044</v>
      </c>
      <c r="W40" s="163">
        <v>-1.044</v>
      </c>
      <c r="X40" s="163">
        <v>0</v>
      </c>
      <c r="Y40" s="163">
        <v>0</v>
      </c>
      <c r="AQ40" s="3"/>
    </row>
    <row r="41" spans="5:43" x14ac:dyDescent="0.25">
      <c r="E41" s="60"/>
      <c r="F41" t="s">
        <v>197</v>
      </c>
      <c r="G41" t="s">
        <v>282</v>
      </c>
      <c r="H41" s="101"/>
      <c r="I41" s="101"/>
      <c r="J41" s="163">
        <v>1.1379999999999999</v>
      </c>
      <c r="K41" s="163">
        <v>1.1379999999999999</v>
      </c>
      <c r="L41" s="163">
        <v>1.1379999999999999</v>
      </c>
      <c r="M41" s="163">
        <v>1.1379999999999999</v>
      </c>
      <c r="N41" s="163">
        <v>1.1379999999999999</v>
      </c>
      <c r="O41" s="163">
        <v>1.044</v>
      </c>
      <c r="P41" s="163">
        <v>0</v>
      </c>
      <c r="Q41" s="163">
        <v>1.1379999999999999</v>
      </c>
      <c r="R41" s="163">
        <v>-1.1379999999999999</v>
      </c>
      <c r="S41" s="163">
        <v>0</v>
      </c>
      <c r="T41" s="163">
        <v>-1.1379999999999999</v>
      </c>
      <c r="U41" s="163">
        <v>-1.1379999999999999</v>
      </c>
      <c r="V41" s="163">
        <v>0</v>
      </c>
      <c r="W41" s="163">
        <v>0</v>
      </c>
      <c r="X41" s="163">
        <v>0</v>
      </c>
      <c r="Y41" s="163">
        <v>0</v>
      </c>
      <c r="AQ41" s="3"/>
    </row>
    <row r="42" spans="5:43" x14ac:dyDescent="0.25">
      <c r="E42" s="60"/>
      <c r="F42" s="91" t="s">
        <v>198</v>
      </c>
      <c r="G42" s="91" t="s">
        <v>282</v>
      </c>
      <c r="H42" s="193"/>
      <c r="I42" s="193"/>
      <c r="J42" s="168">
        <v>1.1379999999999999</v>
      </c>
      <c r="K42" s="168">
        <v>1.1379999999999999</v>
      </c>
      <c r="L42" s="168">
        <v>1.1379999999999999</v>
      </c>
      <c r="M42" s="168">
        <v>1.1379999999999999</v>
      </c>
      <c r="N42" s="168">
        <v>1.1379999999999999</v>
      </c>
      <c r="O42" s="168">
        <v>0</v>
      </c>
      <c r="P42" s="168">
        <v>0</v>
      </c>
      <c r="Q42" s="168">
        <v>1.1379999999999999</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497</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190</v>
      </c>
      <c r="G45" s="90" t="s">
        <v>282</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191</v>
      </c>
      <c r="G46" t="s">
        <v>282</v>
      </c>
      <c r="H46" s="163">
        <f>'Load &amp; loss characteristics'!L29</f>
        <v>1.0069999999999999</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192</v>
      </c>
      <c r="G47" t="s">
        <v>282</v>
      </c>
      <c r="H47" s="163">
        <f>'Load &amp; loss characteristics'!M29</f>
        <v>1.01</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193</v>
      </c>
      <c r="G48" t="s">
        <v>282</v>
      </c>
      <c r="H48" s="163">
        <f>'Load &amp; loss characteristics'!N29</f>
        <v>1.0129999999999999</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194</v>
      </c>
      <c r="G49" t="s">
        <v>282</v>
      </c>
      <c r="H49" s="163">
        <f>'Load &amp; loss characteristics'!O29</f>
        <v>1.0189999999999999</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195</v>
      </c>
      <c r="G50" t="s">
        <v>282</v>
      </c>
      <c r="H50" s="163">
        <f>'Load &amp; loss characteristics'!P29</f>
        <v>1.0189999999999999</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196</v>
      </c>
      <c r="G51" t="s">
        <v>282</v>
      </c>
      <c r="H51" s="163">
        <f>'Load &amp; loss characteristics'!Q29</f>
        <v>1.0289999999999999</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197</v>
      </c>
      <c r="G52" t="s">
        <v>282</v>
      </c>
      <c r="H52" s="163">
        <f>'Load &amp; loss characteristics'!R29</f>
        <v>1.044</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198</v>
      </c>
      <c r="G53" s="91" t="s">
        <v>282</v>
      </c>
      <c r="H53" s="168">
        <f>'Load &amp; loss characteristics'!S29</f>
        <v>1.1379999999999999</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498</v>
      </c>
      <c r="H55" s="101"/>
      <c r="I55" s="101" t="s">
        <v>153</v>
      </c>
      <c r="J55" s="101"/>
      <c r="K55" s="101"/>
      <c r="L55" s="101"/>
      <c r="M55" s="101"/>
      <c r="N55" s="101"/>
      <c r="O55" s="101"/>
      <c r="P55" s="101"/>
      <c r="Q55" s="101"/>
      <c r="R55" s="101"/>
      <c r="S55" s="101"/>
      <c r="T55" s="101"/>
      <c r="U55" s="101"/>
      <c r="V55" s="101"/>
      <c r="W55" s="101"/>
      <c r="X55" s="101"/>
      <c r="Y55" s="101"/>
      <c r="AA55" t="s">
        <v>499</v>
      </c>
    </row>
    <row r="56" spans="2:43" x14ac:dyDescent="0.25">
      <c r="E56" s="60"/>
      <c r="F56" s="90" t="s">
        <v>155</v>
      </c>
      <c r="G56" s="90" t="s">
        <v>206</v>
      </c>
      <c r="H56" s="222"/>
      <c r="I56" s="222"/>
      <c r="J56" s="167">
        <f>'Volume adjustments'!J238</f>
        <v>913454.1735418035</v>
      </c>
      <c r="K56" s="167">
        <f>'Volume adjustments'!K238</f>
        <v>268.80327538247229</v>
      </c>
      <c r="L56" s="167">
        <f>'Volume adjustments'!L238</f>
        <v>234812.50418576779</v>
      </c>
      <c r="M56" s="167">
        <f>'Volume adjustments'!M238</f>
        <v>523.63909182228326</v>
      </c>
      <c r="N56" s="167">
        <f>'Volume adjustments'!N238</f>
        <v>295924.51806394401</v>
      </c>
      <c r="O56" s="167">
        <f>'Volume adjustments'!O238</f>
        <v>56022.266892157502</v>
      </c>
      <c r="P56" s="167">
        <f>'Volume adjustments'!P238</f>
        <v>499707.76575794787</v>
      </c>
      <c r="Q56" s="167">
        <f>'Volume adjustments'!Q238</f>
        <v>7388.2340001917337</v>
      </c>
      <c r="R56" s="167">
        <f>'Volume adjustments'!R238</f>
        <v>20847.328278374502</v>
      </c>
      <c r="S56" s="167">
        <f>'Volume adjustments'!S238</f>
        <v>8.0310000000000006</v>
      </c>
      <c r="T56" s="167">
        <f>'Volume adjustments'!T238</f>
        <v>5924.0747999999994</v>
      </c>
      <c r="U56" s="167">
        <f>'Volume adjustments'!U238</f>
        <v>0</v>
      </c>
      <c r="V56" s="167">
        <f>'Volume adjustments'!V238</f>
        <v>1042.9018999999998</v>
      </c>
      <c r="W56" s="167">
        <f>'Volume adjustments'!W238</f>
        <v>0</v>
      </c>
      <c r="X56" s="167">
        <f>'Volume adjustments'!X238</f>
        <v>116165.3422</v>
      </c>
      <c r="Y56" s="167">
        <f>'Volume adjustments'!Y238</f>
        <v>0</v>
      </c>
      <c r="AQ56" s="3"/>
    </row>
    <row r="57" spans="2:43" x14ac:dyDescent="0.25">
      <c r="E57" s="60"/>
      <c r="F57" t="s">
        <v>156</v>
      </c>
      <c r="G57" t="s">
        <v>206</v>
      </c>
      <c r="H57" s="101"/>
      <c r="I57" s="101"/>
      <c r="J57" s="163">
        <f>'Volume adjustments'!J249</f>
        <v>2205334.3086330174</v>
      </c>
      <c r="K57" s="163">
        <f>'Volume adjustments'!K249</f>
        <v>3024.6701201283286</v>
      </c>
      <c r="L57" s="163">
        <f>'Volume adjustments'!L249</f>
        <v>843284.94774204772</v>
      </c>
      <c r="M57" s="163">
        <f>'Volume adjustments'!M249</f>
        <v>2996.7048058884111</v>
      </c>
      <c r="N57" s="163">
        <f>'Volume adjustments'!N249</f>
        <v>1058497.0242129595</v>
      </c>
      <c r="O57" s="163">
        <f>'Volume adjustments'!O249</f>
        <v>197577.11425691497</v>
      </c>
      <c r="P57" s="163">
        <f>'Volume adjustments'!P249</f>
        <v>1656173.2796076136</v>
      </c>
      <c r="Q57" s="163">
        <f>'Volume adjustments'!Q249</f>
        <v>30003.16690372517</v>
      </c>
      <c r="R57" s="163">
        <f>'Volume adjustments'!R249</f>
        <v>101581.4545087218</v>
      </c>
      <c r="S57" s="163">
        <f>'Volume adjustments'!S249</f>
        <v>28.257000000000001</v>
      </c>
      <c r="T57" s="163">
        <f>'Volume adjustments'!T249</f>
        <v>23928.992700000006</v>
      </c>
      <c r="U57" s="163">
        <f>'Volume adjustments'!U249</f>
        <v>0</v>
      </c>
      <c r="V57" s="163">
        <f>'Volume adjustments'!V249</f>
        <v>3317.8217</v>
      </c>
      <c r="W57" s="163">
        <f>'Volume adjustments'!W249</f>
        <v>0</v>
      </c>
      <c r="X57" s="163">
        <f>'Volume adjustments'!X249</f>
        <v>309734.76939999999</v>
      </c>
      <c r="Y57" s="163">
        <f>'Volume adjustments'!Y249</f>
        <v>0</v>
      </c>
      <c r="AQ57" s="3"/>
    </row>
    <row r="58" spans="2:43" x14ac:dyDescent="0.25">
      <c r="E58" s="60"/>
      <c r="F58" s="91" t="s">
        <v>157</v>
      </c>
      <c r="G58" s="91" t="s">
        <v>206</v>
      </c>
      <c r="H58" s="193"/>
      <c r="I58" s="193"/>
      <c r="J58" s="168">
        <f>'Volume adjustments'!J260</f>
        <v>3256274.7370705893</v>
      </c>
      <c r="K58" s="168">
        <f>'Volume adjustments'!K260</f>
        <v>7987.5995677611181</v>
      </c>
      <c r="L58" s="168">
        <f>'Volume adjustments'!L260</f>
        <v>955571.80550490611</v>
      </c>
      <c r="M58" s="168">
        <f>'Volume adjustments'!M260</f>
        <v>8901.6348585294018</v>
      </c>
      <c r="N58" s="168">
        <f>'Volume adjustments'!N260</f>
        <v>1156815.3423758852</v>
      </c>
      <c r="O58" s="168">
        <f>'Volume adjustments'!O260</f>
        <v>236351.47612877822</v>
      </c>
      <c r="P58" s="168">
        <f>'Volume adjustments'!P260</f>
        <v>2322816.9029806675</v>
      </c>
      <c r="Q58" s="168">
        <f>'Volume adjustments'!Q260</f>
        <v>99744.809527368328</v>
      </c>
      <c r="R58" s="168">
        <f>'Volume adjustments'!R260</f>
        <v>58048.115445790958</v>
      </c>
      <c r="S58" s="168">
        <f>'Volume adjustments'!S260</f>
        <v>18.324999999999999</v>
      </c>
      <c r="T58" s="168">
        <f>'Volume adjustments'!T260</f>
        <v>26057.122299999999</v>
      </c>
      <c r="U58" s="168">
        <f>'Volume adjustments'!U260</f>
        <v>0</v>
      </c>
      <c r="V58" s="168">
        <f>'Volume adjustments'!V260</f>
        <v>5561.4861000000001</v>
      </c>
      <c r="W58" s="168">
        <f>'Volume adjustments'!W260</f>
        <v>0</v>
      </c>
      <c r="X58" s="168">
        <f>'Volume adjustments'!X260</f>
        <v>382550.29730000003</v>
      </c>
      <c r="Y58" s="168">
        <f>'Volume adjustments'!Y260</f>
        <v>0</v>
      </c>
      <c r="AQ58" s="3"/>
    </row>
    <row r="59" spans="2:43" x14ac:dyDescent="0.25">
      <c r="E59" s="60"/>
      <c r="F59" s="151" t="s">
        <v>500</v>
      </c>
      <c r="G59" s="151" t="s">
        <v>206</v>
      </c>
      <c r="H59" s="227"/>
      <c r="I59" s="227"/>
      <c r="J59" s="227">
        <f t="shared" ref="J59:Y59" si="0">SUM(J56:J58)</f>
        <v>6375063.2192454096</v>
      </c>
      <c r="K59" s="227">
        <f t="shared" si="0"/>
        <v>11281.072963271919</v>
      </c>
      <c r="L59" s="227">
        <f t="shared" si="0"/>
        <v>2033669.2574327216</v>
      </c>
      <c r="M59" s="227">
        <f t="shared" si="0"/>
        <v>12421.978756240096</v>
      </c>
      <c r="N59" s="227">
        <f t="shared" si="0"/>
        <v>2511236.8846527888</v>
      </c>
      <c r="O59" s="227">
        <f t="shared" si="0"/>
        <v>489950.85727785068</v>
      </c>
      <c r="P59" s="227">
        <f t="shared" si="0"/>
        <v>4478697.9483462293</v>
      </c>
      <c r="Q59" s="227">
        <f t="shared" si="0"/>
        <v>137136.21043128523</v>
      </c>
      <c r="R59" s="227">
        <f t="shared" si="0"/>
        <v>180476.89823288727</v>
      </c>
      <c r="S59" s="227">
        <f t="shared" si="0"/>
        <v>54.613</v>
      </c>
      <c r="T59" s="227">
        <f t="shared" si="0"/>
        <v>55910.189800000007</v>
      </c>
      <c r="U59" s="227">
        <f t="shared" si="0"/>
        <v>0</v>
      </c>
      <c r="V59" s="227">
        <f t="shared" si="0"/>
        <v>9922.2096999999994</v>
      </c>
      <c r="W59" s="227">
        <f t="shared" si="0"/>
        <v>0</v>
      </c>
      <c r="X59" s="227">
        <f t="shared" si="0"/>
        <v>808450.40890000004</v>
      </c>
      <c r="Y59" s="227">
        <f t="shared" si="0"/>
        <v>0</v>
      </c>
      <c r="AQ59" s="3"/>
    </row>
    <row r="60" spans="2:43" x14ac:dyDescent="0.25">
      <c r="D60" s="60"/>
      <c r="J60" s="92"/>
      <c r="L60" s="92"/>
      <c r="AQ60" s="3"/>
    </row>
    <row r="61" spans="2:43" x14ac:dyDescent="0.25">
      <c r="C61" s="60"/>
      <c r="E61" s="89" t="s">
        <v>240</v>
      </c>
      <c r="F61" s="89"/>
      <c r="G61" s="89" t="s">
        <v>166</v>
      </c>
      <c r="I61" t="s">
        <v>153</v>
      </c>
      <c r="J61" s="150">
        <f>'Inputs by customer type'!J15</f>
        <v>0.44180020285437083</v>
      </c>
      <c r="K61" s="150">
        <f>'Inputs by customer type'!K15</f>
        <v>0.24867302833153104</v>
      </c>
      <c r="L61" s="150">
        <f>'Inputs by customer type'!L15</f>
        <v>0.43243566659353516</v>
      </c>
      <c r="M61" s="150">
        <f>'Inputs by customer type'!M15</f>
        <v>0.33384136002534986</v>
      </c>
      <c r="N61" s="150">
        <f>'Inputs by customer type'!N15</f>
        <v>0.51508595276019253</v>
      </c>
      <c r="O61" s="150">
        <f>'Inputs by customer type'!O15</f>
        <v>0.56960100717297635</v>
      </c>
      <c r="P61" s="150">
        <f>'Inputs by customer type'!P15</f>
        <v>0.71494018227343137</v>
      </c>
      <c r="Q61" s="150">
        <f>'Inputs by customer type'!Q15</f>
        <v>0.50202494227628447</v>
      </c>
      <c r="R61" s="98"/>
      <c r="S61" s="98"/>
      <c r="T61" s="98"/>
      <c r="U61" s="98"/>
      <c r="V61" s="98"/>
      <c r="W61" s="98"/>
      <c r="X61" s="98"/>
      <c r="Y61" s="98"/>
      <c r="AA61" t="s">
        <v>501</v>
      </c>
      <c r="AQ61" s="3"/>
    </row>
    <row r="63" spans="2:43" x14ac:dyDescent="0.25">
      <c r="B63" s="70" t="s">
        <v>502</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503</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504</v>
      </c>
      <c r="J69" s="92"/>
      <c r="L69" s="92"/>
      <c r="AQ69" s="3"/>
    </row>
    <row r="70" spans="3:43" x14ac:dyDescent="0.25">
      <c r="E70" s="60"/>
      <c r="F70" s="90" t="s">
        <v>190</v>
      </c>
      <c r="G70" s="90" t="s">
        <v>282</v>
      </c>
      <c r="H70" s="90"/>
      <c r="I70" s="90"/>
      <c r="J70" s="167">
        <f>'Pseudo-load coefficients'!J272</f>
        <v>8.0722742460400543</v>
      </c>
      <c r="K70" s="167">
        <f>'Pseudo-load coefficients'!K272</f>
        <v>8.0722742460400543</v>
      </c>
      <c r="L70" s="167">
        <f>'Pseudo-load coefficients'!L272</f>
        <v>9.7874228923847308</v>
      </c>
      <c r="M70" s="167">
        <f>'Pseudo-load coefficients'!M272</f>
        <v>9.7874228923847308</v>
      </c>
      <c r="N70" s="167">
        <f>'Pseudo-load coefficients'!N272</f>
        <v>8.1202876938077786</v>
      </c>
      <c r="O70" s="167">
        <f>'Pseudo-load coefficients'!O272</f>
        <v>7.5761570544592383</v>
      </c>
      <c r="P70" s="167">
        <f>'Pseudo-load coefficients'!P272</f>
        <v>6.6049243517181235</v>
      </c>
      <c r="Q70" s="167">
        <f>'Pseudo-load coefficients'!Q272</f>
        <v>19.918757551804365</v>
      </c>
      <c r="R70" s="167">
        <f>'Pseudo-load coefficients'!R272</f>
        <v>5.9702206429202027</v>
      </c>
      <c r="S70" s="167">
        <f>'Pseudo-load coefficients'!S272</f>
        <v>5.9702206429202027</v>
      </c>
      <c r="T70" s="167">
        <f>'Pseudo-load coefficients'!T272</f>
        <v>5.9702206429202027</v>
      </c>
      <c r="U70" s="167">
        <f>'Pseudo-load coefficients'!U272</f>
        <v>5.9702206429202027</v>
      </c>
      <c r="V70" s="167">
        <f>'Pseudo-load coefficients'!V272</f>
        <v>5.9702206429202027</v>
      </c>
      <c r="W70" s="167">
        <f>'Pseudo-load coefficients'!W272</f>
        <v>5.9702206429202027</v>
      </c>
      <c r="X70" s="167">
        <f>'Pseudo-load coefficients'!X272</f>
        <v>5.9702206429202027</v>
      </c>
      <c r="Y70" s="167">
        <f>'Pseudo-load coefficients'!Y272</f>
        <v>5.9702206429202027</v>
      </c>
      <c r="AQ70" s="3"/>
    </row>
    <row r="71" spans="3:43" x14ac:dyDescent="0.25">
      <c r="E71" s="60"/>
      <c r="F71" t="s">
        <v>191</v>
      </c>
      <c r="G71" t="s">
        <v>282</v>
      </c>
      <c r="J71" s="163">
        <f>'Pseudo-load coefficients'!J273</f>
        <v>6.5600574461950325</v>
      </c>
      <c r="K71" s="163">
        <f>'Pseudo-load coefficients'!K273</f>
        <v>6.5600574461950325</v>
      </c>
      <c r="L71" s="163">
        <f>'Pseudo-load coefficients'!L273</f>
        <v>7.9538992937145538</v>
      </c>
      <c r="M71" s="163">
        <f>'Pseudo-load coefficients'!M273</f>
        <v>7.9538992937145538</v>
      </c>
      <c r="N71" s="163">
        <f>'Pseudo-load coefficients'!N273</f>
        <v>6.5990763107610695</v>
      </c>
      <c r="O71" s="163">
        <f>'Pseudo-load coefficients'!O273</f>
        <v>6.1568802030021788</v>
      </c>
      <c r="P71" s="163">
        <f>'Pseudo-load coefficients'!P273</f>
        <v>5.3675930542497055</v>
      </c>
      <c r="Q71" s="163">
        <f>'Pseudo-load coefficients'!Q273</f>
        <v>16.518879691269746</v>
      </c>
      <c r="R71" s="163">
        <f>'Pseudo-load coefficients'!R273</f>
        <v>4.8517913527564795</v>
      </c>
      <c r="S71" s="163">
        <f>'Pseudo-load coefficients'!S273</f>
        <v>4.8517913527564795</v>
      </c>
      <c r="T71" s="163">
        <f>'Pseudo-load coefficients'!T273</f>
        <v>4.8517913527564795</v>
      </c>
      <c r="U71" s="163">
        <f>'Pseudo-load coefficients'!U273</f>
        <v>4.8517913527564795</v>
      </c>
      <c r="V71" s="163">
        <f>'Pseudo-load coefficients'!V273</f>
        <v>4.8517913527564795</v>
      </c>
      <c r="W71" s="163">
        <f>'Pseudo-load coefficients'!W273</f>
        <v>4.8517913527564795</v>
      </c>
      <c r="X71" s="163">
        <f>'Pseudo-load coefficients'!X273</f>
        <v>4.8517913527564795</v>
      </c>
      <c r="Y71" s="163">
        <f>'Pseudo-load coefficients'!Y273</f>
        <v>4.8517913527564795</v>
      </c>
      <c r="AQ71" s="3"/>
    </row>
    <row r="72" spans="3:43" x14ac:dyDescent="0.25">
      <c r="E72" s="60"/>
      <c r="F72" t="s">
        <v>192</v>
      </c>
      <c r="G72" t="s">
        <v>282</v>
      </c>
      <c r="J72" s="163">
        <f>'Pseudo-load coefficients'!J274</f>
        <v>6.5600574461950325</v>
      </c>
      <c r="K72" s="163">
        <f>'Pseudo-load coefficients'!K274</f>
        <v>6.5600574461950325</v>
      </c>
      <c r="L72" s="163">
        <f>'Pseudo-load coefficients'!L274</f>
        <v>7.9538992937145538</v>
      </c>
      <c r="M72" s="163">
        <f>'Pseudo-load coefficients'!M274</f>
        <v>7.9538992937145538</v>
      </c>
      <c r="N72" s="163">
        <f>'Pseudo-load coefficients'!N274</f>
        <v>6.5990763107610695</v>
      </c>
      <c r="O72" s="163">
        <f>'Pseudo-load coefficients'!O274</f>
        <v>6.1568802030021788</v>
      </c>
      <c r="P72" s="163">
        <f>'Pseudo-load coefficients'!P274</f>
        <v>5.3675930542497055</v>
      </c>
      <c r="Q72" s="163">
        <f>'Pseudo-load coefficients'!Q274</f>
        <v>16.518879691269746</v>
      </c>
      <c r="R72" s="163">
        <f>'Pseudo-load coefficients'!R274</f>
        <v>4.8517913527564795</v>
      </c>
      <c r="S72" s="163">
        <f>'Pseudo-load coefficients'!S274</f>
        <v>4.8517913527564795</v>
      </c>
      <c r="T72" s="163">
        <f>'Pseudo-load coefficients'!T274</f>
        <v>4.8517913527564795</v>
      </c>
      <c r="U72" s="163">
        <f>'Pseudo-load coefficients'!U274</f>
        <v>4.8517913527564795</v>
      </c>
      <c r="V72" s="163">
        <f>'Pseudo-load coefficients'!V274</f>
        <v>4.8517913527564795</v>
      </c>
      <c r="W72" s="163">
        <f>'Pseudo-load coefficients'!W274</f>
        <v>4.8517913527564795</v>
      </c>
      <c r="X72" s="163">
        <f>'Pseudo-load coefficients'!X274</f>
        <v>4.8517913527564795</v>
      </c>
      <c r="Y72" s="163">
        <f>'Pseudo-load coefficients'!Y274</f>
        <v>4.8517913527564795</v>
      </c>
      <c r="AQ72" s="3"/>
    </row>
    <row r="73" spans="3:43" x14ac:dyDescent="0.25">
      <c r="E73" s="60"/>
      <c r="F73" t="s">
        <v>193</v>
      </c>
      <c r="G73" t="s">
        <v>282</v>
      </c>
      <c r="J73" s="163">
        <f>'Pseudo-load coefficients'!J275</f>
        <v>5.2547049837805799</v>
      </c>
      <c r="K73" s="163">
        <f>'Pseudo-load coefficients'!K275</f>
        <v>5.2547049837805799</v>
      </c>
      <c r="L73" s="163">
        <f>'Pseudo-load coefficients'!L275</f>
        <v>6.3711933320664578</v>
      </c>
      <c r="M73" s="163">
        <f>'Pseudo-load coefficients'!M275</f>
        <v>6.3711933320664578</v>
      </c>
      <c r="N73" s="163">
        <f>'Pseudo-load coefficients'!N275</f>
        <v>5.2859596829624511</v>
      </c>
      <c r="O73" s="163">
        <f>'Pseudo-load coefficients'!O275</f>
        <v>4.9317539293837589</v>
      </c>
      <c r="P73" s="163">
        <f>'Pseudo-load coefficients'!P275</f>
        <v>4.2995230155235147</v>
      </c>
      <c r="Q73" s="163">
        <f>'Pseudo-load coefficients'!Q275</f>
        <v>12.487744335894034</v>
      </c>
      <c r="R73" s="163">
        <f>'Pseudo-load coefficients'!R275</f>
        <v>3.8863580709008065</v>
      </c>
      <c r="S73" s="163">
        <f>'Pseudo-load coefficients'!S275</f>
        <v>3.8863580709008065</v>
      </c>
      <c r="T73" s="163">
        <f>'Pseudo-load coefficients'!T275</f>
        <v>3.8863580709008065</v>
      </c>
      <c r="U73" s="163">
        <f>'Pseudo-load coefficients'!U275</f>
        <v>3.8863580709008065</v>
      </c>
      <c r="V73" s="163">
        <f>'Pseudo-load coefficients'!V275</f>
        <v>3.8863580709008065</v>
      </c>
      <c r="W73" s="163">
        <f>'Pseudo-load coefficients'!W275</f>
        <v>3.8863580709008065</v>
      </c>
      <c r="X73" s="163">
        <f>'Pseudo-load coefficients'!X275</f>
        <v>3.8863580709008065</v>
      </c>
      <c r="Y73" s="163">
        <f>'Pseudo-load coefficients'!Y275</f>
        <v>3.8863580709008065</v>
      </c>
      <c r="AQ73" s="3"/>
    </row>
    <row r="74" spans="3:43" x14ac:dyDescent="0.25">
      <c r="E74" s="60"/>
      <c r="F74" t="s">
        <v>194</v>
      </c>
      <c r="G74" t="s">
        <v>282</v>
      </c>
      <c r="J74" s="163">
        <f>'Pseudo-load coefficients'!J276</f>
        <v>5.2547049837805799</v>
      </c>
      <c r="K74" s="163">
        <f>'Pseudo-load coefficients'!K276</f>
        <v>5.2547049837805799</v>
      </c>
      <c r="L74" s="163">
        <f>'Pseudo-load coefficients'!L276</f>
        <v>6.3711933320664578</v>
      </c>
      <c r="M74" s="163">
        <f>'Pseudo-load coefficients'!M276</f>
        <v>6.3711933320664578</v>
      </c>
      <c r="N74" s="163">
        <f>'Pseudo-load coefficients'!N276</f>
        <v>5.2859596829624511</v>
      </c>
      <c r="O74" s="163">
        <f>'Pseudo-load coefficients'!O276</f>
        <v>4.9317539293837589</v>
      </c>
      <c r="P74" s="163">
        <f>'Pseudo-load coefficients'!P276</f>
        <v>4.2995230155235147</v>
      </c>
      <c r="Q74" s="163">
        <f>'Pseudo-load coefficients'!Q276</f>
        <v>12.487744335894034</v>
      </c>
      <c r="R74" s="163">
        <f>'Pseudo-load coefficients'!R276</f>
        <v>3.8863580709008065</v>
      </c>
      <c r="S74" s="163">
        <f>'Pseudo-load coefficients'!S276</f>
        <v>3.8863580709008065</v>
      </c>
      <c r="T74" s="163">
        <f>'Pseudo-load coefficients'!T276</f>
        <v>3.8863580709008065</v>
      </c>
      <c r="U74" s="163">
        <f>'Pseudo-load coefficients'!U276</f>
        <v>3.8863580709008065</v>
      </c>
      <c r="V74" s="163">
        <f>'Pseudo-load coefficients'!V276</f>
        <v>3.8863580709008065</v>
      </c>
      <c r="W74" s="163">
        <f>'Pseudo-load coefficients'!W276</f>
        <v>3.8863580709008065</v>
      </c>
      <c r="X74" s="163">
        <f>'Pseudo-load coefficients'!X276</f>
        <v>3.8863580709008065</v>
      </c>
      <c r="Y74" s="163">
        <f>'Pseudo-load coefficients'!Y276</f>
        <v>3.8863580709008065</v>
      </c>
      <c r="AQ74" s="3"/>
    </row>
    <row r="75" spans="3:43" x14ac:dyDescent="0.25">
      <c r="E75" s="60"/>
      <c r="F75" t="s">
        <v>195</v>
      </c>
      <c r="G75" t="s">
        <v>282</v>
      </c>
      <c r="J75" s="163">
        <f>'Pseudo-load coefficients'!J277</f>
        <v>0</v>
      </c>
      <c r="K75" s="163">
        <f>'Pseudo-load coefficients'!K277</f>
        <v>0</v>
      </c>
      <c r="L75" s="163">
        <f>'Pseudo-load coefficients'!L277</f>
        <v>0</v>
      </c>
      <c r="M75" s="163">
        <f>'Pseudo-load coefficients'!M277</f>
        <v>0</v>
      </c>
      <c r="N75" s="163">
        <f>'Pseudo-load coefficients'!N277</f>
        <v>0</v>
      </c>
      <c r="O75" s="163">
        <f>'Pseudo-load coefficients'!O277</f>
        <v>0</v>
      </c>
      <c r="P75" s="163">
        <f>'Pseudo-load coefficients'!P277</f>
        <v>0</v>
      </c>
      <c r="Q75" s="163">
        <f>'Pseudo-load coefficients'!Q277</f>
        <v>0</v>
      </c>
      <c r="R75" s="163">
        <f>'Pseudo-load coefficients'!R277</f>
        <v>0</v>
      </c>
      <c r="S75" s="163">
        <f>'Pseudo-load coefficients'!S277</f>
        <v>0</v>
      </c>
      <c r="T75" s="163">
        <f>'Pseudo-load coefficients'!T277</f>
        <v>0</v>
      </c>
      <c r="U75" s="163">
        <f>'Pseudo-load coefficients'!U277</f>
        <v>0</v>
      </c>
      <c r="V75" s="163">
        <f>'Pseudo-load coefficients'!V277</f>
        <v>0</v>
      </c>
      <c r="W75" s="163">
        <f>'Pseudo-load coefficients'!W277</f>
        <v>0</v>
      </c>
      <c r="X75" s="163">
        <f>'Pseudo-load coefficients'!X277</f>
        <v>0</v>
      </c>
      <c r="Y75" s="163">
        <f>'Pseudo-load coefficients'!Y277</f>
        <v>0</v>
      </c>
      <c r="AQ75" s="3"/>
    </row>
    <row r="76" spans="3:43" x14ac:dyDescent="0.25">
      <c r="E76" s="60"/>
      <c r="F76" t="s">
        <v>196</v>
      </c>
      <c r="G76" t="s">
        <v>282</v>
      </c>
      <c r="J76" s="163">
        <f>'Pseudo-load coefficients'!J278</f>
        <v>5.2547049837805799</v>
      </c>
      <c r="K76" s="163">
        <f>'Pseudo-load coefficients'!K278</f>
        <v>5.2547049837805799</v>
      </c>
      <c r="L76" s="163">
        <f>'Pseudo-load coefficients'!L278</f>
        <v>6.3711933320664578</v>
      </c>
      <c r="M76" s="163">
        <f>'Pseudo-load coefficients'!M278</f>
        <v>6.3711933320664578</v>
      </c>
      <c r="N76" s="163">
        <f>'Pseudo-load coefficients'!N278</f>
        <v>5.2859596829624511</v>
      </c>
      <c r="O76" s="163">
        <f>'Pseudo-load coefficients'!O278</f>
        <v>4.9317539293837589</v>
      </c>
      <c r="P76" s="163">
        <f>'Pseudo-load coefficients'!P278</f>
        <v>4.2995230155235147</v>
      </c>
      <c r="Q76" s="163">
        <f>'Pseudo-load coefficients'!Q278</f>
        <v>12.487744335894034</v>
      </c>
      <c r="R76" s="163">
        <f>'Pseudo-load coefficients'!R278</f>
        <v>3.8863580709008065</v>
      </c>
      <c r="S76" s="163">
        <f>'Pseudo-load coefficients'!S278</f>
        <v>3.8863580709008065</v>
      </c>
      <c r="T76" s="163">
        <f>'Pseudo-load coefficients'!T278</f>
        <v>3.8863580709008065</v>
      </c>
      <c r="U76" s="163">
        <f>'Pseudo-load coefficients'!U278</f>
        <v>3.8863580709008065</v>
      </c>
      <c r="V76" s="163">
        <f>'Pseudo-load coefficients'!V278</f>
        <v>3.8863580709008065</v>
      </c>
      <c r="W76" s="163">
        <f>'Pseudo-load coefficients'!W278</f>
        <v>3.8863580709008065</v>
      </c>
      <c r="X76" s="163">
        <f>'Pseudo-load coefficients'!X278</f>
        <v>3.8863580709008065</v>
      </c>
      <c r="Y76" s="163">
        <f>'Pseudo-load coefficients'!Y278</f>
        <v>3.8863580709008065</v>
      </c>
      <c r="AQ76" s="3"/>
    </row>
    <row r="77" spans="3:43" x14ac:dyDescent="0.25">
      <c r="E77" s="60"/>
      <c r="F77" t="s">
        <v>197</v>
      </c>
      <c r="G77" t="s">
        <v>282</v>
      </c>
      <c r="J77" s="163">
        <f>'Pseudo-load coefficients'!J279</f>
        <v>5.2547049837805799</v>
      </c>
      <c r="K77" s="163">
        <f>'Pseudo-load coefficients'!K279</f>
        <v>5.2547049837805799</v>
      </c>
      <c r="L77" s="163">
        <f>'Pseudo-load coefficients'!L279</f>
        <v>6.3711933320664578</v>
      </c>
      <c r="M77" s="163">
        <f>'Pseudo-load coefficients'!M279</f>
        <v>6.3711933320664578</v>
      </c>
      <c r="N77" s="163">
        <f>'Pseudo-load coefficients'!N279</f>
        <v>5.2859596829624511</v>
      </c>
      <c r="O77" s="163">
        <f>'Pseudo-load coefficients'!O279</f>
        <v>4.9317539293837589</v>
      </c>
      <c r="P77" s="163">
        <f>'Pseudo-load coefficients'!P279</f>
        <v>4.2995230155235147</v>
      </c>
      <c r="Q77" s="163">
        <f>'Pseudo-load coefficients'!Q279</f>
        <v>12.487744335894034</v>
      </c>
      <c r="R77" s="163">
        <f>'Pseudo-load coefficients'!R279</f>
        <v>3.8863580709008065</v>
      </c>
      <c r="S77" s="163">
        <f>'Pseudo-load coefficients'!S279</f>
        <v>3.8863580709008065</v>
      </c>
      <c r="T77" s="163">
        <f>'Pseudo-load coefficients'!T279</f>
        <v>3.8863580709008065</v>
      </c>
      <c r="U77" s="163">
        <f>'Pseudo-load coefficients'!U279</f>
        <v>3.8863580709008065</v>
      </c>
      <c r="V77" s="163">
        <f>'Pseudo-load coefficients'!V279</f>
        <v>3.8863580709008065</v>
      </c>
      <c r="W77" s="163">
        <f>'Pseudo-load coefficients'!W279</f>
        <v>3.8863580709008065</v>
      </c>
      <c r="X77" s="163">
        <f>'Pseudo-load coefficients'!X279</f>
        <v>3.8863580709008065</v>
      </c>
      <c r="Y77" s="163">
        <f>'Pseudo-load coefficients'!Y279</f>
        <v>3.8863580709008065</v>
      </c>
      <c r="AQ77" s="3"/>
    </row>
    <row r="78" spans="3:43" x14ac:dyDescent="0.25">
      <c r="E78" s="60"/>
      <c r="F78" s="91" t="s">
        <v>198</v>
      </c>
      <c r="G78" s="91" t="s">
        <v>282</v>
      </c>
      <c r="H78" s="91"/>
      <c r="I78" s="91"/>
      <c r="J78" s="168">
        <f>'Pseudo-load coefficients'!J280</f>
        <v>5.2547049837805799</v>
      </c>
      <c r="K78" s="168">
        <f>'Pseudo-load coefficients'!K280</f>
        <v>5.2547049837805799</v>
      </c>
      <c r="L78" s="168">
        <f>'Pseudo-load coefficients'!L280</f>
        <v>6.3711933320664578</v>
      </c>
      <c r="M78" s="168">
        <f>'Pseudo-load coefficients'!M280</f>
        <v>6.3711933320664578</v>
      </c>
      <c r="N78" s="168">
        <f>'Pseudo-load coefficients'!N280</f>
        <v>5.2859596829624511</v>
      </c>
      <c r="O78" s="168">
        <f>'Pseudo-load coefficients'!O280</f>
        <v>4.9317539293837589</v>
      </c>
      <c r="P78" s="168">
        <f>'Pseudo-load coefficients'!P280</f>
        <v>4.2995230155235147</v>
      </c>
      <c r="Q78" s="168">
        <f>'Pseudo-load coefficients'!Q280</f>
        <v>12.487744335894034</v>
      </c>
      <c r="R78" s="168">
        <f>'Pseudo-load coefficients'!R280</f>
        <v>3.8863580709008065</v>
      </c>
      <c r="S78" s="168">
        <f>'Pseudo-load coefficients'!S280</f>
        <v>3.8863580709008065</v>
      </c>
      <c r="T78" s="168">
        <f>'Pseudo-load coefficients'!T280</f>
        <v>3.8863580709008065</v>
      </c>
      <c r="U78" s="168">
        <f>'Pseudo-load coefficients'!U280</f>
        <v>3.8863580709008065</v>
      </c>
      <c r="V78" s="168">
        <f>'Pseudo-load coefficients'!V280</f>
        <v>3.8863580709008065</v>
      </c>
      <c r="W78" s="168">
        <f>'Pseudo-load coefficients'!W280</f>
        <v>3.8863580709008065</v>
      </c>
      <c r="X78" s="168">
        <f>'Pseudo-load coefficients'!X280</f>
        <v>3.8863580709008065</v>
      </c>
      <c r="Y78" s="168">
        <f>'Pseudo-load coefficients'!Y280</f>
        <v>3.8863580709008065</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505</v>
      </c>
      <c r="J80" s="101"/>
      <c r="K80" s="101"/>
      <c r="L80" s="101"/>
      <c r="M80" s="101"/>
      <c r="N80" s="101"/>
      <c r="O80" s="101"/>
      <c r="P80" s="101"/>
      <c r="Q80" s="101"/>
      <c r="R80" s="101"/>
      <c r="S80" s="101"/>
      <c r="T80" s="101"/>
      <c r="U80" s="101"/>
      <c r="V80" s="101"/>
      <c r="W80" s="101"/>
      <c r="X80" s="101"/>
      <c r="Y80" s="101"/>
      <c r="AQ80" s="3"/>
    </row>
    <row r="81" spans="5:43" x14ac:dyDescent="0.25">
      <c r="E81" s="71" t="s">
        <v>506</v>
      </c>
      <c r="J81" s="101"/>
      <c r="K81" s="101"/>
      <c r="L81" s="101"/>
      <c r="M81" s="101"/>
      <c r="N81" s="101"/>
      <c r="O81" s="101"/>
      <c r="P81" s="101"/>
      <c r="Q81" s="101"/>
      <c r="R81" s="101"/>
      <c r="S81" s="101"/>
      <c r="T81" s="101"/>
      <c r="U81" s="101"/>
      <c r="V81" s="101"/>
      <c r="W81" s="101"/>
      <c r="X81" s="101"/>
      <c r="Y81" s="101"/>
      <c r="AQ81" s="3"/>
    </row>
    <row r="82" spans="5:43" x14ac:dyDescent="0.25">
      <c r="E82" s="60"/>
      <c r="F82" s="90" t="s">
        <v>190</v>
      </c>
      <c r="G82" s="90" t="s">
        <v>171</v>
      </c>
      <c r="H82" s="90"/>
      <c r="I82" s="90"/>
      <c r="J82" s="222">
        <f t="shared" ref="J82:Y82" si="1">J$56 * J34 * J70 / hours_in_year / $H45</f>
        <v>957.90144507100058</v>
      </c>
      <c r="K82" s="222">
        <f t="shared" si="1"/>
        <v>0.28188282826528094</v>
      </c>
      <c r="L82" s="222">
        <f t="shared" si="1"/>
        <v>298.55732412925033</v>
      </c>
      <c r="M82" s="222">
        <f t="shared" si="1"/>
        <v>0.66579199692129254</v>
      </c>
      <c r="N82" s="222">
        <f t="shared" si="1"/>
        <v>312.16953755847834</v>
      </c>
      <c r="O82" s="222">
        <f t="shared" si="1"/>
        <v>50.583169656709728</v>
      </c>
      <c r="P82" s="222">
        <f t="shared" si="1"/>
        <v>387.69947700119269</v>
      </c>
      <c r="Q82" s="222">
        <f t="shared" si="1"/>
        <v>19.117937757107256</v>
      </c>
      <c r="R82" s="222">
        <f t="shared" si="1"/>
        <v>-16.168842955163349</v>
      </c>
      <c r="S82" s="222">
        <f t="shared" si="1"/>
        <v>-5.7142126747211199E-3</v>
      </c>
      <c r="T82" s="222">
        <f t="shared" si="1"/>
        <v>-4.5946144185392583</v>
      </c>
      <c r="U82" s="222">
        <f t="shared" si="1"/>
        <v>0</v>
      </c>
      <c r="V82" s="222">
        <f t="shared" si="1"/>
        <v>-0.74204498262616558</v>
      </c>
      <c r="W82" s="222">
        <f t="shared" si="1"/>
        <v>0</v>
      </c>
      <c r="X82" s="222">
        <f t="shared" si="1"/>
        <v>-81.466343948648955</v>
      </c>
      <c r="Y82" s="222">
        <f t="shared" si="1"/>
        <v>0</v>
      </c>
      <c r="AQ82" s="3"/>
    </row>
    <row r="83" spans="5:43" x14ac:dyDescent="0.25">
      <c r="E83" s="60"/>
      <c r="F83" t="s">
        <v>191</v>
      </c>
      <c r="G83" t="s">
        <v>171</v>
      </c>
      <c r="J83" s="101">
        <f t="shared" ref="J83:Y83" si="2">J$56 * J35 * J71 / hours_in_year / $H46</f>
        <v>773.04200375920527</v>
      </c>
      <c r="K83" s="101">
        <f t="shared" si="2"/>
        <v>0.22748401467475937</v>
      </c>
      <c r="L83" s="101">
        <f t="shared" si="2"/>
        <v>240.94060330471183</v>
      </c>
      <c r="M83" s="101">
        <f t="shared" si="2"/>
        <v>0.53730494095739634</v>
      </c>
      <c r="N83" s="101">
        <f t="shared" si="2"/>
        <v>251.9258803382468</v>
      </c>
      <c r="O83" s="101">
        <f t="shared" si="2"/>
        <v>40.821438394443987</v>
      </c>
      <c r="P83" s="101">
        <f t="shared" si="2"/>
        <v>312.87976659768299</v>
      </c>
      <c r="Q83" s="101">
        <f t="shared" si="2"/>
        <v>15.744537856485406</v>
      </c>
      <c r="R83" s="101">
        <f t="shared" si="2"/>
        <v>-13.048518530631229</v>
      </c>
      <c r="S83" s="101">
        <f t="shared" si="2"/>
        <v>-4.6114623155675957E-3</v>
      </c>
      <c r="T83" s="101">
        <f t="shared" si="2"/>
        <v>-3.707928362447829</v>
      </c>
      <c r="U83" s="101">
        <f t="shared" si="2"/>
        <v>0</v>
      </c>
      <c r="V83" s="101">
        <f t="shared" si="2"/>
        <v>-0.59884233727852598</v>
      </c>
      <c r="W83" s="101">
        <f t="shared" si="2"/>
        <v>0</v>
      </c>
      <c r="X83" s="101">
        <f t="shared" si="2"/>
        <v>-65.744660986843257</v>
      </c>
      <c r="Y83" s="101">
        <f t="shared" si="2"/>
        <v>0</v>
      </c>
      <c r="AQ83" s="3"/>
    </row>
    <row r="84" spans="5:43" x14ac:dyDescent="0.25">
      <c r="E84" s="60"/>
      <c r="F84" t="s">
        <v>192</v>
      </c>
      <c r="G84" t="s">
        <v>171</v>
      </c>
      <c r="J84" s="101">
        <f t="shared" ref="J84:Y84" si="3">J$56 * J36 * J72 / hours_in_year / $H47</f>
        <v>770.74583939160368</v>
      </c>
      <c r="K84" s="101">
        <f t="shared" si="3"/>
        <v>0.226808319581666</v>
      </c>
      <c r="L84" s="101">
        <f t="shared" si="3"/>
        <v>240.22493814638099</v>
      </c>
      <c r="M84" s="101">
        <f t="shared" si="3"/>
        <v>0.5357089856872258</v>
      </c>
      <c r="N84" s="101">
        <f t="shared" si="3"/>
        <v>251.17758564417278</v>
      </c>
      <c r="O84" s="101">
        <f t="shared" si="3"/>
        <v>40.700186597232765</v>
      </c>
      <c r="P84" s="101">
        <f t="shared" si="3"/>
        <v>311.95042075630369</v>
      </c>
      <c r="Q84" s="101">
        <f t="shared" si="3"/>
        <v>15.697771902456241</v>
      </c>
      <c r="R84" s="101">
        <f t="shared" si="3"/>
        <v>-13.009760554797669</v>
      </c>
      <c r="S84" s="101">
        <f t="shared" si="3"/>
        <v>-4.5977649027490776E-3</v>
      </c>
      <c r="T84" s="101">
        <f t="shared" si="3"/>
        <v>-3.6969147138464984</v>
      </c>
      <c r="U84" s="101">
        <f t="shared" si="3"/>
        <v>0</v>
      </c>
      <c r="V84" s="101">
        <f t="shared" si="3"/>
        <v>-0.59706359766284711</v>
      </c>
      <c r="W84" s="101">
        <f t="shared" si="3"/>
        <v>0</v>
      </c>
      <c r="X84" s="101">
        <f t="shared" si="3"/>
        <v>-65.549379815595188</v>
      </c>
      <c r="Y84" s="101">
        <f t="shared" si="3"/>
        <v>0</v>
      </c>
      <c r="AQ84" s="3"/>
    </row>
    <row r="85" spans="5:43" x14ac:dyDescent="0.25">
      <c r="E85" s="60"/>
      <c r="F85" t="s">
        <v>193</v>
      </c>
      <c r="G85" t="s">
        <v>171</v>
      </c>
      <c r="J85" s="101">
        <f t="shared" ref="J85:Y85" si="4">J$56 * J37 * J73 / hours_in_year / $H48</f>
        <v>615.55067698820528</v>
      </c>
      <c r="K85" s="101">
        <f t="shared" si="4"/>
        <v>0.1811388495788131</v>
      </c>
      <c r="L85" s="101">
        <f t="shared" si="4"/>
        <v>191.85393647039058</v>
      </c>
      <c r="M85" s="101">
        <f t="shared" si="4"/>
        <v>0.42784016721872026</v>
      </c>
      <c r="N85" s="101">
        <f t="shared" si="4"/>
        <v>200.60119041262485</v>
      </c>
      <c r="O85" s="101">
        <f t="shared" si="4"/>
        <v>32.504914244167416</v>
      </c>
      <c r="P85" s="101">
        <f t="shared" si="4"/>
        <v>249.13698247774164</v>
      </c>
      <c r="Q85" s="101">
        <f t="shared" si="4"/>
        <v>11.831868963060046</v>
      </c>
      <c r="R85" s="101">
        <f t="shared" si="4"/>
        <v>-10.390152638749871</v>
      </c>
      <c r="S85" s="101">
        <f t="shared" si="4"/>
        <v>-3.6719722039029348E-3</v>
      </c>
      <c r="T85" s="101">
        <f t="shared" si="4"/>
        <v>-2.9525146145091985</v>
      </c>
      <c r="U85" s="101">
        <f t="shared" si="4"/>
        <v>0</v>
      </c>
      <c r="V85" s="101">
        <f t="shared" si="4"/>
        <v>-0.47684059123366418</v>
      </c>
      <c r="W85" s="101">
        <f t="shared" si="4"/>
        <v>0</v>
      </c>
      <c r="X85" s="101">
        <f t="shared" si="4"/>
        <v>-52.350545483964602</v>
      </c>
      <c r="Y85" s="101">
        <f t="shared" si="4"/>
        <v>0</v>
      </c>
      <c r="AQ85" s="3"/>
    </row>
    <row r="86" spans="5:43" x14ac:dyDescent="0.25">
      <c r="E86" s="60"/>
      <c r="F86" t="s">
        <v>194</v>
      </c>
      <c r="G86" t="s">
        <v>171</v>
      </c>
      <c r="J86" s="101">
        <f t="shared" ref="J86:Y86" si="5">J$56 * J38 * J74 / hours_in_year / $H49</f>
        <v>611.92623728071828</v>
      </c>
      <c r="K86" s="101">
        <f t="shared" si="5"/>
        <v>0.18007228127903596</v>
      </c>
      <c r="L86" s="101">
        <f t="shared" si="5"/>
        <v>190.72427639303794</v>
      </c>
      <c r="M86" s="101">
        <f t="shared" si="5"/>
        <v>0.42532099057170131</v>
      </c>
      <c r="N86" s="101">
        <f t="shared" si="5"/>
        <v>199.4200254052885</v>
      </c>
      <c r="O86" s="101">
        <f t="shared" si="5"/>
        <v>32.313521226046703</v>
      </c>
      <c r="P86" s="101">
        <f t="shared" si="5"/>
        <v>247.67003262998261</v>
      </c>
      <c r="Q86" s="101">
        <f t="shared" si="5"/>
        <v>11.762201432364893</v>
      </c>
      <c r="R86" s="101">
        <f t="shared" si="5"/>
        <v>-10.32897411487107</v>
      </c>
      <c r="S86" s="101">
        <f t="shared" si="5"/>
        <v>-3.6503511703176381E-3</v>
      </c>
      <c r="T86" s="101">
        <f t="shared" si="5"/>
        <v>-2.9351298375837276</v>
      </c>
      <c r="U86" s="101">
        <f t="shared" si="5"/>
        <v>0</v>
      </c>
      <c r="V86" s="101">
        <f t="shared" si="5"/>
        <v>-0.47403289393493797</v>
      </c>
      <c r="W86" s="101">
        <f t="shared" si="5"/>
        <v>0</v>
      </c>
      <c r="X86" s="101">
        <f t="shared" si="5"/>
        <v>-52.042298896227813</v>
      </c>
      <c r="Y86" s="101">
        <f t="shared" si="5"/>
        <v>0</v>
      </c>
      <c r="AQ86" s="3"/>
    </row>
    <row r="87" spans="5:43" x14ac:dyDescent="0.25">
      <c r="E87" s="60"/>
      <c r="F87" t="s">
        <v>195</v>
      </c>
      <c r="G87" t="s">
        <v>171</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25">
      <c r="E88" s="60"/>
      <c r="F88" t="s">
        <v>196</v>
      </c>
      <c r="G88" t="s">
        <v>171</v>
      </c>
      <c r="J88" s="101">
        <f t="shared" ref="J88:Y88" si="7">J$56 * J40 * J76 / hours_in_year / $H51</f>
        <v>605.97943225369477</v>
      </c>
      <c r="K88" s="101">
        <f t="shared" si="7"/>
        <v>0.1783223077000366</v>
      </c>
      <c r="L88" s="101">
        <f t="shared" si="7"/>
        <v>188.87078488290152</v>
      </c>
      <c r="M88" s="101">
        <f t="shared" si="7"/>
        <v>0.42118764761182081</v>
      </c>
      <c r="N88" s="101">
        <f>N$56 * N40 * N76 / hours_in_year / $H51</f>
        <v>197.48202710203009</v>
      </c>
      <c r="O88" s="101">
        <f t="shared" si="7"/>
        <v>31.999492837066658</v>
      </c>
      <c r="P88" s="101">
        <f t="shared" si="7"/>
        <v>245.26313241006054</v>
      </c>
      <c r="Q88" s="101">
        <f t="shared" si="7"/>
        <v>11.647894324178646</v>
      </c>
      <c r="R88" s="101">
        <f t="shared" si="7"/>
        <v>-10.228595357680874</v>
      </c>
      <c r="S88" s="101">
        <f t="shared" si="7"/>
        <v>-3.6148764261940457E-3</v>
      </c>
      <c r="T88" s="101">
        <f t="shared" si="7"/>
        <v>-2.9066057380931176</v>
      </c>
      <c r="U88" s="101">
        <f t="shared" si="7"/>
        <v>0</v>
      </c>
      <c r="V88" s="101">
        <f t="shared" si="7"/>
        <v>-0.46942616027181905</v>
      </c>
      <c r="W88" s="101">
        <f t="shared" si="7"/>
        <v>0</v>
      </c>
      <c r="X88" s="101">
        <f t="shared" si="7"/>
        <v>0</v>
      </c>
      <c r="Y88" s="101">
        <f t="shared" si="7"/>
        <v>0</v>
      </c>
      <c r="AQ88" s="3"/>
    </row>
    <row r="89" spans="5:43" x14ac:dyDescent="0.25">
      <c r="E89" s="60"/>
      <c r="F89" t="s">
        <v>197</v>
      </c>
      <c r="G89" t="s">
        <v>171</v>
      </c>
      <c r="J89" s="101">
        <f t="shared" ref="J89:Y89" si="8">J$56 * J41 * J77 / hours_in_year / $H52</f>
        <v>597.27283121556695</v>
      </c>
      <c r="K89" s="101">
        <f t="shared" si="8"/>
        <v>0.17576020557790961</v>
      </c>
      <c r="L89" s="101">
        <f t="shared" si="8"/>
        <v>186.15712418056094</v>
      </c>
      <c r="M89" s="101">
        <f t="shared" si="8"/>
        <v>0.41513610095073139</v>
      </c>
      <c r="N89" s="101">
        <f t="shared" si="8"/>
        <v>194.64464165516182</v>
      </c>
      <c r="O89" s="101">
        <f t="shared" si="8"/>
        <v>31.539730008947878</v>
      </c>
      <c r="P89" s="101">
        <f t="shared" si="8"/>
        <v>0</v>
      </c>
      <c r="Q89" s="101">
        <f t="shared" si="8"/>
        <v>11.48053952067033</v>
      </c>
      <c r="R89" s="101">
        <f t="shared" si="8"/>
        <v>-10.0816327807027</v>
      </c>
      <c r="S89" s="101">
        <f t="shared" si="8"/>
        <v>0</v>
      </c>
      <c r="T89" s="101">
        <f t="shared" si="8"/>
        <v>-2.8648441613963773</v>
      </c>
      <c r="U89" s="101">
        <f t="shared" si="8"/>
        <v>0</v>
      </c>
      <c r="V89" s="101">
        <f t="shared" si="8"/>
        <v>0</v>
      </c>
      <c r="W89" s="101">
        <f t="shared" si="8"/>
        <v>0</v>
      </c>
      <c r="X89" s="101">
        <f t="shared" si="8"/>
        <v>0</v>
      </c>
      <c r="Y89" s="101">
        <f t="shared" si="8"/>
        <v>0</v>
      </c>
      <c r="AQ89" s="3"/>
    </row>
    <row r="90" spans="5:43" x14ac:dyDescent="0.25">
      <c r="E90" s="60"/>
      <c r="F90" s="91" t="s">
        <v>198</v>
      </c>
      <c r="G90" s="91" t="s">
        <v>171</v>
      </c>
      <c r="H90" s="91"/>
      <c r="I90" s="91"/>
      <c r="J90" s="193">
        <f t="shared" ref="J90:Y90" si="9">J$56 * J42 * J78 / hours_in_year / $H53</f>
        <v>547.9374655439824</v>
      </c>
      <c r="K90" s="193">
        <f t="shared" si="9"/>
        <v>0.1612422272612809</v>
      </c>
      <c r="L90" s="193">
        <f t="shared" si="9"/>
        <v>170.78034942399444</v>
      </c>
      <c r="M90" s="193">
        <f t="shared" si="9"/>
        <v>0.38084542125884324</v>
      </c>
      <c r="N90" s="193">
        <f t="shared" si="9"/>
        <v>178.56678900526271</v>
      </c>
      <c r="O90" s="193">
        <f t="shared" si="9"/>
        <v>0</v>
      </c>
      <c r="P90" s="193">
        <f t="shared" si="9"/>
        <v>0</v>
      </c>
      <c r="Q90" s="193">
        <f t="shared" si="9"/>
        <v>10.532234850245894</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507</v>
      </c>
      <c r="J92" s="101"/>
      <c r="K92" s="101"/>
      <c r="L92" s="101"/>
      <c r="M92" s="101"/>
      <c r="N92" s="101"/>
      <c r="O92" s="101"/>
      <c r="P92" s="101"/>
      <c r="Q92" s="101"/>
      <c r="R92" s="101"/>
      <c r="S92" s="101"/>
      <c r="T92" s="101"/>
      <c r="U92" s="101"/>
      <c r="V92" s="101"/>
      <c r="W92" s="101"/>
      <c r="X92" s="101"/>
      <c r="Y92" s="101"/>
      <c r="AQ92" s="3"/>
    </row>
    <row r="93" spans="5:43" x14ac:dyDescent="0.25">
      <c r="E93" s="60"/>
      <c r="F93" s="90" t="s">
        <v>190</v>
      </c>
      <c r="G93" s="90" t="s">
        <v>282</v>
      </c>
      <c r="H93" s="90"/>
      <c r="I93" s="90"/>
      <c r="J93" s="167">
        <f>'Pseudo-load coefficients'!J283</f>
        <v>1.3803798191152201</v>
      </c>
      <c r="K93" s="167">
        <f>'Pseudo-load coefficients'!K283</f>
        <v>1.3803798191152201</v>
      </c>
      <c r="L93" s="167">
        <f>'Pseudo-load coefficients'!L283</f>
        <v>1.6736746832433078</v>
      </c>
      <c r="M93" s="167">
        <f>'Pseudo-load coefficients'!M283</f>
        <v>1.6736746832433078</v>
      </c>
      <c r="N93" s="167">
        <f>'Pseudo-load coefficients'!N283</f>
        <v>1.3885902431326178</v>
      </c>
      <c r="O93" s="167">
        <f>'Pseudo-load coefficients'!O283</f>
        <v>1.2955424934371154</v>
      </c>
      <c r="P93" s="167">
        <f>'Pseudo-load coefficients'!P283</f>
        <v>1.1294591838684089</v>
      </c>
      <c r="Q93" s="167">
        <f>'Pseudo-load coefficients'!Q283</f>
        <v>1.1047634926554877</v>
      </c>
      <c r="R93" s="167">
        <f>'Pseudo-load coefficients'!R283</f>
        <v>1.0209232045349479</v>
      </c>
      <c r="S93" s="167">
        <f>'Pseudo-load coefficients'!S283</f>
        <v>1.0209232045349479</v>
      </c>
      <c r="T93" s="167">
        <f>'Pseudo-load coefficients'!T283</f>
        <v>1.0209232045349479</v>
      </c>
      <c r="U93" s="167">
        <f>'Pseudo-load coefficients'!U283</f>
        <v>1.0209232045349479</v>
      </c>
      <c r="V93" s="167">
        <f>'Pseudo-load coefficients'!V283</f>
        <v>1.0209232045349479</v>
      </c>
      <c r="W93" s="167">
        <f>'Pseudo-load coefficients'!W283</f>
        <v>1.0209232045349479</v>
      </c>
      <c r="X93" s="167">
        <f>'Pseudo-load coefficients'!X283</f>
        <v>1.0209232045349479</v>
      </c>
      <c r="Y93" s="167">
        <f>'Pseudo-load coefficients'!Y283</f>
        <v>1.0209232045349479</v>
      </c>
      <c r="AQ93" s="3"/>
    </row>
    <row r="94" spans="5:43" x14ac:dyDescent="0.25">
      <c r="E94" s="60"/>
      <c r="F94" t="s">
        <v>191</v>
      </c>
      <c r="G94" t="s">
        <v>282</v>
      </c>
      <c r="J94" s="163">
        <f>'Pseudo-load coefficients'!J284</f>
        <v>1.8190595850049036</v>
      </c>
      <c r="K94" s="163">
        <f>'Pseudo-load coefficients'!K284</f>
        <v>1.8190595850049036</v>
      </c>
      <c r="L94" s="163">
        <f>'Pseudo-load coefficients'!L284</f>
        <v>2.2055625071983611</v>
      </c>
      <c r="M94" s="163">
        <f>'Pseudo-load coefficients'!M284</f>
        <v>2.2055625071983611</v>
      </c>
      <c r="N94" s="163">
        <f>'Pseudo-load coefficients'!N284</f>
        <v>1.8298792523884608</v>
      </c>
      <c r="O94" s="163">
        <f>'Pseudo-load coefficients'!O284</f>
        <v>1.7072612608741899</v>
      </c>
      <c r="P94" s="163">
        <f>'Pseudo-load coefficients'!P284</f>
        <v>1.4883972699662829</v>
      </c>
      <c r="Q94" s="163">
        <f>'Pseudo-load coefficients'!Q284</f>
        <v>1.3600050821493457</v>
      </c>
      <c r="R94" s="163">
        <f>'Pseudo-load coefficients'!R284</f>
        <v>1.3453689448702415</v>
      </c>
      <c r="S94" s="163">
        <f>'Pseudo-load coefficients'!S284</f>
        <v>1.3453689448702415</v>
      </c>
      <c r="T94" s="163">
        <f>'Pseudo-load coefficients'!T284</f>
        <v>1.3453689448702415</v>
      </c>
      <c r="U94" s="163">
        <f>'Pseudo-load coefficients'!U284</f>
        <v>1.3453689448702415</v>
      </c>
      <c r="V94" s="163">
        <f>'Pseudo-load coefficients'!V284</f>
        <v>1.3453689448702415</v>
      </c>
      <c r="W94" s="163">
        <f>'Pseudo-load coefficients'!W284</f>
        <v>1.3453689448702415</v>
      </c>
      <c r="X94" s="163">
        <f>'Pseudo-load coefficients'!X284</f>
        <v>1.3453689448702415</v>
      </c>
      <c r="Y94" s="163">
        <f>'Pseudo-load coefficients'!Y284</f>
        <v>1.3453689448702415</v>
      </c>
      <c r="AQ94" s="3"/>
    </row>
    <row r="95" spans="5:43" x14ac:dyDescent="0.25">
      <c r="E95" s="60"/>
      <c r="F95" t="s">
        <v>192</v>
      </c>
      <c r="G95" t="s">
        <v>282</v>
      </c>
      <c r="J95" s="163">
        <f>'Pseudo-load coefficients'!J285</f>
        <v>1.8190595850049036</v>
      </c>
      <c r="K95" s="163">
        <f>'Pseudo-load coefficients'!K285</f>
        <v>1.8190595850049036</v>
      </c>
      <c r="L95" s="163">
        <f>'Pseudo-load coefficients'!L285</f>
        <v>2.2055625071983611</v>
      </c>
      <c r="M95" s="163">
        <f>'Pseudo-load coefficients'!M285</f>
        <v>2.2055625071983611</v>
      </c>
      <c r="N95" s="163">
        <f>'Pseudo-load coefficients'!N285</f>
        <v>1.8298792523884608</v>
      </c>
      <c r="O95" s="163">
        <f>'Pseudo-load coefficients'!O285</f>
        <v>1.7072612608741899</v>
      </c>
      <c r="P95" s="163">
        <f>'Pseudo-load coefficients'!P285</f>
        <v>1.4883972699662829</v>
      </c>
      <c r="Q95" s="163">
        <f>'Pseudo-load coefficients'!Q285</f>
        <v>1.3600050821493457</v>
      </c>
      <c r="R95" s="163">
        <f>'Pseudo-load coefficients'!R285</f>
        <v>1.3453689448702415</v>
      </c>
      <c r="S95" s="163">
        <f>'Pseudo-load coefficients'!S285</f>
        <v>1.3453689448702415</v>
      </c>
      <c r="T95" s="163">
        <f>'Pseudo-load coefficients'!T285</f>
        <v>1.3453689448702415</v>
      </c>
      <c r="U95" s="163">
        <f>'Pseudo-load coefficients'!U285</f>
        <v>1.3453689448702415</v>
      </c>
      <c r="V95" s="163">
        <f>'Pseudo-load coefficients'!V285</f>
        <v>1.3453689448702415</v>
      </c>
      <c r="W95" s="163">
        <f>'Pseudo-load coefficients'!W285</f>
        <v>1.3453689448702415</v>
      </c>
      <c r="X95" s="163">
        <f>'Pseudo-load coefficients'!X285</f>
        <v>1.3453689448702415</v>
      </c>
      <c r="Y95" s="163">
        <f>'Pseudo-load coefficients'!Y285</f>
        <v>1.3453689448702415</v>
      </c>
      <c r="AQ95" s="3"/>
    </row>
    <row r="96" spans="5:43" x14ac:dyDescent="0.25">
      <c r="E96" s="60"/>
      <c r="F96" t="s">
        <v>193</v>
      </c>
      <c r="G96" t="s">
        <v>282</v>
      </c>
      <c r="J96" s="163">
        <f>'Pseudo-load coefficients'!J286</f>
        <v>1.9629724068536516</v>
      </c>
      <c r="K96" s="163">
        <f>'Pseudo-load coefficients'!K286</f>
        <v>1.9629724068536516</v>
      </c>
      <c r="L96" s="163">
        <f>'Pseudo-load coefficients'!L286</f>
        <v>2.3800530663813686</v>
      </c>
      <c r="M96" s="163">
        <f>'Pseudo-load coefficients'!M286</f>
        <v>2.3800530663813686</v>
      </c>
      <c r="N96" s="163">
        <f>'Pseudo-load coefficients'!N286</f>
        <v>1.9746480598670739</v>
      </c>
      <c r="O96" s="163">
        <f>'Pseudo-load coefficients'!O286</f>
        <v>1.8423292859739802</v>
      </c>
      <c r="P96" s="163">
        <f>'Pseudo-load coefficients'!P286</f>
        <v>1.6061501203503692</v>
      </c>
      <c r="Q96" s="163">
        <f>'Pseudo-load coefficients'!Q286</f>
        <v>1.5119949593508173</v>
      </c>
      <c r="R96" s="163">
        <f>'Pseudo-load coefficients'!R286</f>
        <v>1.4518062726411332</v>
      </c>
      <c r="S96" s="163">
        <f>'Pseudo-load coefficients'!S286</f>
        <v>1.4518062726411332</v>
      </c>
      <c r="T96" s="163">
        <f>'Pseudo-load coefficients'!T286</f>
        <v>1.4518062726411332</v>
      </c>
      <c r="U96" s="163">
        <f>'Pseudo-load coefficients'!U286</f>
        <v>1.4518062726411332</v>
      </c>
      <c r="V96" s="163">
        <f>'Pseudo-load coefficients'!V286</f>
        <v>1.4518062726411332</v>
      </c>
      <c r="W96" s="163">
        <f>'Pseudo-load coefficients'!W286</f>
        <v>1.4518062726411332</v>
      </c>
      <c r="X96" s="163">
        <f>'Pseudo-load coefficients'!X286</f>
        <v>1.4518062726411332</v>
      </c>
      <c r="Y96" s="163">
        <f>'Pseudo-load coefficients'!Y286</f>
        <v>1.4518062726411332</v>
      </c>
      <c r="AQ96" s="3"/>
    </row>
    <row r="97" spans="5:43" x14ac:dyDescent="0.25">
      <c r="E97" s="60"/>
      <c r="F97" t="s">
        <v>194</v>
      </c>
      <c r="G97" t="s">
        <v>282</v>
      </c>
      <c r="J97" s="163">
        <f>'Pseudo-load coefficients'!J287</f>
        <v>1.9629724068536516</v>
      </c>
      <c r="K97" s="163">
        <f>'Pseudo-load coefficients'!K287</f>
        <v>1.9629724068536516</v>
      </c>
      <c r="L97" s="163">
        <f>'Pseudo-load coefficients'!L287</f>
        <v>2.3800530663813686</v>
      </c>
      <c r="M97" s="163">
        <f>'Pseudo-load coefficients'!M287</f>
        <v>2.3800530663813686</v>
      </c>
      <c r="N97" s="163">
        <f>'Pseudo-load coefficients'!N287</f>
        <v>1.9746480598670739</v>
      </c>
      <c r="O97" s="163">
        <f>'Pseudo-load coefficients'!O287</f>
        <v>1.8423292859739802</v>
      </c>
      <c r="P97" s="163">
        <f>'Pseudo-load coefficients'!P287</f>
        <v>1.6061501203503692</v>
      </c>
      <c r="Q97" s="163">
        <f>'Pseudo-load coefficients'!Q287</f>
        <v>1.5119949593508173</v>
      </c>
      <c r="R97" s="163">
        <f>'Pseudo-load coefficients'!R287</f>
        <v>1.4518062726411332</v>
      </c>
      <c r="S97" s="163">
        <f>'Pseudo-load coefficients'!S287</f>
        <v>1.4518062726411332</v>
      </c>
      <c r="T97" s="163">
        <f>'Pseudo-load coefficients'!T287</f>
        <v>1.4518062726411332</v>
      </c>
      <c r="U97" s="163">
        <f>'Pseudo-load coefficients'!U287</f>
        <v>1.4518062726411332</v>
      </c>
      <c r="V97" s="163">
        <f>'Pseudo-load coefficients'!V287</f>
        <v>1.4518062726411332</v>
      </c>
      <c r="W97" s="163">
        <f>'Pseudo-load coefficients'!W287</f>
        <v>1.4518062726411332</v>
      </c>
      <c r="X97" s="163">
        <f>'Pseudo-load coefficients'!X287</f>
        <v>1.4518062726411332</v>
      </c>
      <c r="Y97" s="163">
        <f>'Pseudo-load coefficients'!Y287</f>
        <v>1.4518062726411332</v>
      </c>
      <c r="AQ97" s="3"/>
    </row>
    <row r="98" spans="5:43" x14ac:dyDescent="0.25">
      <c r="E98" s="60"/>
      <c r="F98" t="s">
        <v>195</v>
      </c>
      <c r="G98" t="s">
        <v>282</v>
      </c>
      <c r="J98" s="163">
        <f>'Pseudo-load coefficients'!J288</f>
        <v>0</v>
      </c>
      <c r="K98" s="163">
        <f>'Pseudo-load coefficients'!K288</f>
        <v>0</v>
      </c>
      <c r="L98" s="163">
        <f>'Pseudo-load coefficients'!L288</f>
        <v>0</v>
      </c>
      <c r="M98" s="163">
        <f>'Pseudo-load coefficients'!M288</f>
        <v>0</v>
      </c>
      <c r="N98" s="163">
        <f>'Pseudo-load coefficients'!N288</f>
        <v>0</v>
      </c>
      <c r="O98" s="163">
        <f>'Pseudo-load coefficients'!O288</f>
        <v>0</v>
      </c>
      <c r="P98" s="163">
        <f>'Pseudo-load coefficients'!P288</f>
        <v>0</v>
      </c>
      <c r="Q98" s="163">
        <f>'Pseudo-load coefficients'!Q288</f>
        <v>0</v>
      </c>
      <c r="R98" s="163">
        <f>'Pseudo-load coefficients'!R288</f>
        <v>0</v>
      </c>
      <c r="S98" s="163">
        <f>'Pseudo-load coefficients'!S288</f>
        <v>0</v>
      </c>
      <c r="T98" s="163">
        <f>'Pseudo-load coefficients'!T288</f>
        <v>0</v>
      </c>
      <c r="U98" s="163">
        <f>'Pseudo-load coefficients'!U288</f>
        <v>0</v>
      </c>
      <c r="V98" s="163">
        <f>'Pseudo-load coefficients'!V288</f>
        <v>0</v>
      </c>
      <c r="W98" s="163">
        <f>'Pseudo-load coefficients'!W288</f>
        <v>0</v>
      </c>
      <c r="X98" s="163">
        <f>'Pseudo-load coefficients'!X288</f>
        <v>0</v>
      </c>
      <c r="Y98" s="163">
        <f>'Pseudo-load coefficients'!Y288</f>
        <v>0</v>
      </c>
      <c r="AQ98" s="3"/>
    </row>
    <row r="99" spans="5:43" x14ac:dyDescent="0.25">
      <c r="E99" s="60"/>
      <c r="F99" t="s">
        <v>196</v>
      </c>
      <c r="G99" t="s">
        <v>282</v>
      </c>
      <c r="J99" s="163">
        <f>'Pseudo-load coefficients'!J289</f>
        <v>1.9629724068536516</v>
      </c>
      <c r="K99" s="163">
        <f>'Pseudo-load coefficients'!K289</f>
        <v>1.9629724068536516</v>
      </c>
      <c r="L99" s="163">
        <f>'Pseudo-load coefficients'!L289</f>
        <v>2.3800530663813686</v>
      </c>
      <c r="M99" s="163">
        <f>'Pseudo-load coefficients'!M289</f>
        <v>2.3800530663813686</v>
      </c>
      <c r="N99" s="163">
        <f>'Pseudo-load coefficients'!N289</f>
        <v>1.9746480598670739</v>
      </c>
      <c r="O99" s="163">
        <f>'Pseudo-load coefficients'!O289</f>
        <v>1.8423292859739802</v>
      </c>
      <c r="P99" s="163">
        <f>'Pseudo-load coefficients'!P289</f>
        <v>1.6061501203503692</v>
      </c>
      <c r="Q99" s="163">
        <f>'Pseudo-load coefficients'!Q289</f>
        <v>1.5119949593508173</v>
      </c>
      <c r="R99" s="163">
        <f>'Pseudo-load coefficients'!R289</f>
        <v>1.4518062726411332</v>
      </c>
      <c r="S99" s="163">
        <f>'Pseudo-load coefficients'!S289</f>
        <v>1.4518062726411332</v>
      </c>
      <c r="T99" s="163">
        <f>'Pseudo-load coefficients'!T289</f>
        <v>1.4518062726411332</v>
      </c>
      <c r="U99" s="163">
        <f>'Pseudo-load coefficients'!U289</f>
        <v>1.4518062726411332</v>
      </c>
      <c r="V99" s="163">
        <f>'Pseudo-load coefficients'!V289</f>
        <v>1.4518062726411332</v>
      </c>
      <c r="W99" s="163">
        <f>'Pseudo-load coefficients'!W289</f>
        <v>1.4518062726411332</v>
      </c>
      <c r="X99" s="163">
        <f>'Pseudo-load coefficients'!X289</f>
        <v>1.4518062726411332</v>
      </c>
      <c r="Y99" s="163">
        <f>'Pseudo-load coefficients'!Y289</f>
        <v>1.4518062726411332</v>
      </c>
      <c r="AQ99" s="3"/>
    </row>
    <row r="100" spans="5:43" x14ac:dyDescent="0.25">
      <c r="E100" s="60"/>
      <c r="F100" t="s">
        <v>197</v>
      </c>
      <c r="G100" t="s">
        <v>282</v>
      </c>
      <c r="J100" s="163">
        <f>'Pseudo-load coefficients'!J290</f>
        <v>1.9629724068536516</v>
      </c>
      <c r="K100" s="163">
        <f>'Pseudo-load coefficients'!K290</f>
        <v>1.9629724068536516</v>
      </c>
      <c r="L100" s="163">
        <f>'Pseudo-load coefficients'!L290</f>
        <v>2.3800530663813686</v>
      </c>
      <c r="M100" s="163">
        <f>'Pseudo-load coefficients'!M290</f>
        <v>2.3800530663813686</v>
      </c>
      <c r="N100" s="163">
        <f>'Pseudo-load coefficients'!N290</f>
        <v>1.9746480598670739</v>
      </c>
      <c r="O100" s="163">
        <f>'Pseudo-load coefficients'!O290</f>
        <v>1.8423292859739802</v>
      </c>
      <c r="P100" s="163">
        <f>'Pseudo-load coefficients'!P290</f>
        <v>1.6061501203503692</v>
      </c>
      <c r="Q100" s="163">
        <f>'Pseudo-load coefficients'!Q290</f>
        <v>1.5119949593508173</v>
      </c>
      <c r="R100" s="163">
        <f>'Pseudo-load coefficients'!R290</f>
        <v>1.4518062726411332</v>
      </c>
      <c r="S100" s="163">
        <f>'Pseudo-load coefficients'!S290</f>
        <v>1.4518062726411332</v>
      </c>
      <c r="T100" s="163">
        <f>'Pseudo-load coefficients'!T290</f>
        <v>1.4518062726411332</v>
      </c>
      <c r="U100" s="163">
        <f>'Pseudo-load coefficients'!U290</f>
        <v>1.4518062726411332</v>
      </c>
      <c r="V100" s="163">
        <f>'Pseudo-load coefficients'!V290</f>
        <v>1.4518062726411332</v>
      </c>
      <c r="W100" s="163">
        <f>'Pseudo-load coefficients'!W290</f>
        <v>1.4518062726411332</v>
      </c>
      <c r="X100" s="163">
        <f>'Pseudo-load coefficients'!X290</f>
        <v>1.4518062726411332</v>
      </c>
      <c r="Y100" s="163">
        <f>'Pseudo-load coefficients'!Y290</f>
        <v>1.4518062726411332</v>
      </c>
      <c r="AQ100" s="3"/>
    </row>
    <row r="101" spans="5:43" x14ac:dyDescent="0.25">
      <c r="E101" s="60"/>
      <c r="F101" s="91" t="s">
        <v>198</v>
      </c>
      <c r="G101" s="91" t="s">
        <v>282</v>
      </c>
      <c r="H101" s="91"/>
      <c r="I101" s="91"/>
      <c r="J101" s="168">
        <f>'Pseudo-load coefficients'!J291</f>
        <v>1.9629724068536516</v>
      </c>
      <c r="K101" s="168">
        <f>'Pseudo-load coefficients'!K291</f>
        <v>1.9629724068536516</v>
      </c>
      <c r="L101" s="168">
        <f>'Pseudo-load coefficients'!L291</f>
        <v>2.3800530663813686</v>
      </c>
      <c r="M101" s="168">
        <f>'Pseudo-load coefficients'!M291</f>
        <v>2.3800530663813686</v>
      </c>
      <c r="N101" s="168">
        <f>'Pseudo-load coefficients'!N291</f>
        <v>1.9746480598670739</v>
      </c>
      <c r="O101" s="168">
        <f>'Pseudo-load coefficients'!O291</f>
        <v>1.8423292859739802</v>
      </c>
      <c r="P101" s="168">
        <f>'Pseudo-load coefficients'!P291</f>
        <v>1.6061501203503692</v>
      </c>
      <c r="Q101" s="168">
        <f>'Pseudo-load coefficients'!Q291</f>
        <v>1.5119949593508173</v>
      </c>
      <c r="R101" s="168">
        <f>'Pseudo-load coefficients'!R291</f>
        <v>1.4518062726411332</v>
      </c>
      <c r="S101" s="168">
        <f>'Pseudo-load coefficients'!S291</f>
        <v>1.4518062726411332</v>
      </c>
      <c r="T101" s="168">
        <f>'Pseudo-load coefficients'!T291</f>
        <v>1.4518062726411332</v>
      </c>
      <c r="U101" s="168">
        <f>'Pseudo-load coefficients'!U291</f>
        <v>1.4518062726411332</v>
      </c>
      <c r="V101" s="168">
        <f>'Pseudo-load coefficients'!V291</f>
        <v>1.4518062726411332</v>
      </c>
      <c r="W101" s="168">
        <f>'Pseudo-load coefficients'!W291</f>
        <v>1.4518062726411332</v>
      </c>
      <c r="X101" s="168">
        <f>'Pseudo-load coefficients'!X291</f>
        <v>1.4518062726411332</v>
      </c>
      <c r="Y101" s="168">
        <f>'Pseudo-load coefficients'!Y291</f>
        <v>1.4518062726411332</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508</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509</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190</v>
      </c>
      <c r="G105" s="90" t="s">
        <v>171</v>
      </c>
      <c r="H105" s="90"/>
      <c r="I105" s="90"/>
      <c r="J105" s="222">
        <f t="shared" ref="J105:Y105" si="10">J$57 * J34 * J93 / hours_in_year / $H45</f>
        <v>395.46785758640129</v>
      </c>
      <c r="K105" s="222">
        <f t="shared" si="10"/>
        <v>0.54239387091120717</v>
      </c>
      <c r="L105" s="222">
        <f t="shared" si="10"/>
        <v>183.35111323651506</v>
      </c>
      <c r="M105" s="222">
        <f t="shared" si="10"/>
        <v>0.65155812833140447</v>
      </c>
      <c r="N105" s="222">
        <f t="shared" si="10"/>
        <v>190.94219321410907</v>
      </c>
      <c r="O105" s="222">
        <f t="shared" si="10"/>
        <v>30.505959740814614</v>
      </c>
      <c r="P105" s="222">
        <f t="shared" si="10"/>
        <v>219.72910322276937</v>
      </c>
      <c r="Q105" s="222">
        <f t="shared" si="10"/>
        <v>4.3060053808979761</v>
      </c>
      <c r="R105" s="222">
        <f t="shared" si="10"/>
        <v>-13.472421381098137</v>
      </c>
      <c r="S105" s="222">
        <f t="shared" si="10"/>
        <v>-3.438076367366206E-3</v>
      </c>
      <c r="T105" s="222">
        <f t="shared" si="10"/>
        <v>-3.1736252885800296</v>
      </c>
      <c r="U105" s="222">
        <f t="shared" si="10"/>
        <v>0</v>
      </c>
      <c r="V105" s="222">
        <f t="shared" si="10"/>
        <v>-0.40368490561293724</v>
      </c>
      <c r="W105" s="222">
        <f t="shared" si="10"/>
        <v>0</v>
      </c>
      <c r="X105" s="222">
        <f t="shared" si="10"/>
        <v>-37.144481771502456</v>
      </c>
      <c r="Y105" s="222">
        <f t="shared" si="10"/>
        <v>0</v>
      </c>
      <c r="AQ105" s="3"/>
    </row>
    <row r="106" spans="5:43" x14ac:dyDescent="0.25">
      <c r="E106" s="60"/>
      <c r="F106" t="s">
        <v>191</v>
      </c>
      <c r="G106" t="s">
        <v>171</v>
      </c>
      <c r="J106" s="101">
        <f t="shared" ref="J106:Y106" si="11">J$57 * J35 * J94 / hours_in_year / $H46</f>
        <v>517.52346303623528</v>
      </c>
      <c r="K106" s="101">
        <f t="shared" si="11"/>
        <v>0.70979612886053411</v>
      </c>
      <c r="L106" s="101">
        <f t="shared" si="11"/>
        <v>239.93986174458959</v>
      </c>
      <c r="M106" s="101">
        <f t="shared" si="11"/>
        <v>0.85265240265400322</v>
      </c>
      <c r="N106" s="101">
        <f t="shared" si="11"/>
        <v>249.87382204711849</v>
      </c>
      <c r="O106" s="101">
        <f t="shared" si="11"/>
        <v>39.921196186876223</v>
      </c>
      <c r="P106" s="101">
        <f t="shared" si="11"/>
        <v>287.54540792193126</v>
      </c>
      <c r="Q106" s="101">
        <f t="shared" si="11"/>
        <v>5.2640052595815341</v>
      </c>
      <c r="R106" s="101">
        <f t="shared" si="11"/>
        <v>-17.630495209350936</v>
      </c>
      <c r="S106" s="101">
        <f t="shared" si="11"/>
        <v>-4.4991903986372952E-3</v>
      </c>
      <c r="T106" s="101">
        <f t="shared" si="11"/>
        <v>-4.1531202048866209</v>
      </c>
      <c r="U106" s="101">
        <f t="shared" si="11"/>
        <v>0</v>
      </c>
      <c r="V106" s="101">
        <f t="shared" si="11"/>
        <v>-0.52827658764307861</v>
      </c>
      <c r="W106" s="101">
        <f t="shared" si="11"/>
        <v>0</v>
      </c>
      <c r="X106" s="101">
        <f t="shared" si="11"/>
        <v>-48.608604897490103</v>
      </c>
      <c r="Y106" s="101">
        <f t="shared" si="11"/>
        <v>0</v>
      </c>
      <c r="AQ106" s="3"/>
    </row>
    <row r="107" spans="5:43" x14ac:dyDescent="0.25">
      <c r="E107" s="60"/>
      <c r="F107" t="s">
        <v>192</v>
      </c>
      <c r="G107" t="s">
        <v>171</v>
      </c>
      <c r="J107" s="101">
        <f t="shared" ref="J107:Y107" si="12">J$57 * J36 * J95 / hours_in_year / $H47</f>
        <v>515.98626463117705</v>
      </c>
      <c r="K107" s="101">
        <f t="shared" si="12"/>
        <v>0.70768782352728499</v>
      </c>
      <c r="L107" s="101">
        <f t="shared" si="12"/>
        <v>239.22716908594228</v>
      </c>
      <c r="M107" s="101">
        <f t="shared" si="12"/>
        <v>0.85011977175503084</v>
      </c>
      <c r="N107" s="101">
        <f t="shared" si="12"/>
        <v>249.13162257569138</v>
      </c>
      <c r="O107" s="101">
        <f t="shared" si="12"/>
        <v>39.802618376420149</v>
      </c>
      <c r="P107" s="101">
        <f t="shared" si="12"/>
        <v>286.691312650876</v>
      </c>
      <c r="Q107" s="101">
        <f t="shared" si="12"/>
        <v>5.2483696003946578</v>
      </c>
      <c r="R107" s="101">
        <f t="shared" si="12"/>
        <v>-17.578127401798405</v>
      </c>
      <c r="S107" s="101">
        <f t="shared" si="12"/>
        <v>-4.4858264667601549E-3</v>
      </c>
      <c r="T107" s="101">
        <f t="shared" si="12"/>
        <v>-4.1407842042780461</v>
      </c>
      <c r="U107" s="101">
        <f t="shared" si="12"/>
        <v>0</v>
      </c>
      <c r="V107" s="101">
        <f t="shared" si="12"/>
        <v>-0.52670744926394064</v>
      </c>
      <c r="W107" s="101">
        <f t="shared" si="12"/>
        <v>0</v>
      </c>
      <c r="X107" s="101">
        <f t="shared" si="12"/>
        <v>-48.464222902745078</v>
      </c>
      <c r="Y107" s="101">
        <f t="shared" si="12"/>
        <v>0</v>
      </c>
      <c r="AQ107" s="3"/>
    </row>
    <row r="108" spans="5:43" x14ac:dyDescent="0.25">
      <c r="E108" s="60"/>
      <c r="F108" t="s">
        <v>193</v>
      </c>
      <c r="G108" t="s">
        <v>171</v>
      </c>
      <c r="J108" s="101">
        <f t="shared" ref="J108:Y108" si="13">J$57 * J37 * J96 / hours_in_year / $H48</f>
        <v>555.1589417870897</v>
      </c>
      <c r="K108" s="101">
        <f t="shared" si="13"/>
        <v>0.76141411148965987</v>
      </c>
      <c r="L108" s="101">
        <f t="shared" si="13"/>
        <v>257.38883210661396</v>
      </c>
      <c r="M108" s="101">
        <f t="shared" si="13"/>
        <v>0.91465921717345022</v>
      </c>
      <c r="N108" s="101">
        <f t="shared" si="13"/>
        <v>268.04521250906299</v>
      </c>
      <c r="O108" s="101">
        <f t="shared" si="13"/>
        <v>42.824356020413433</v>
      </c>
      <c r="P108" s="101">
        <f t="shared" si="13"/>
        <v>308.45636145872567</v>
      </c>
      <c r="Q108" s="101">
        <f t="shared" si="13"/>
        <v>5.817630737170985</v>
      </c>
      <c r="R108" s="101">
        <f t="shared" si="13"/>
        <v>-18.912624765227928</v>
      </c>
      <c r="S108" s="101">
        <f t="shared" si="13"/>
        <v>-4.8263817179458601E-3</v>
      </c>
      <c r="T108" s="101">
        <f t="shared" si="13"/>
        <v>-4.4551445156371674</v>
      </c>
      <c r="U108" s="101">
        <f t="shared" si="13"/>
        <v>0</v>
      </c>
      <c r="V108" s="101">
        <f t="shared" si="13"/>
        <v>-0.56669405797798955</v>
      </c>
      <c r="W108" s="101">
        <f t="shared" si="13"/>
        <v>0</v>
      </c>
      <c r="X108" s="101">
        <f t="shared" si="13"/>
        <v>-52.143532774953471</v>
      </c>
      <c r="Y108" s="101">
        <f t="shared" si="13"/>
        <v>0</v>
      </c>
      <c r="AQ108" s="3"/>
    </row>
    <row r="109" spans="5:43" x14ac:dyDescent="0.25">
      <c r="E109" s="60"/>
      <c r="F109" t="s">
        <v>194</v>
      </c>
      <c r="G109" t="s">
        <v>171</v>
      </c>
      <c r="J109" s="101">
        <f t="shared" ref="J109:Y109" si="14">J$57 * J38 * J97 / hours_in_year / $H49</f>
        <v>551.89009620247487</v>
      </c>
      <c r="K109" s="101">
        <f t="shared" si="14"/>
        <v>0.7569308095574343</v>
      </c>
      <c r="L109" s="101">
        <f t="shared" si="14"/>
        <v>255.87329433169768</v>
      </c>
      <c r="M109" s="101">
        <f t="shared" si="14"/>
        <v>0.90927358880932785</v>
      </c>
      <c r="N109" s="101">
        <f t="shared" si="14"/>
        <v>266.46692862775353</v>
      </c>
      <c r="O109" s="101">
        <f t="shared" si="14"/>
        <v>42.57220083285457</v>
      </c>
      <c r="P109" s="101">
        <f t="shared" si="14"/>
        <v>306.64013165622089</v>
      </c>
      <c r="Q109" s="101">
        <f t="shared" si="14"/>
        <v>5.7833757966184569</v>
      </c>
      <c r="R109" s="101">
        <f t="shared" si="14"/>
        <v>-18.801264854932178</v>
      </c>
      <c r="S109" s="101">
        <f t="shared" si="14"/>
        <v>-4.797963376132636E-3</v>
      </c>
      <c r="T109" s="101">
        <f t="shared" si="14"/>
        <v>-4.4289120651034848</v>
      </c>
      <c r="U109" s="101">
        <f t="shared" si="14"/>
        <v>0</v>
      </c>
      <c r="V109" s="101">
        <f t="shared" si="14"/>
        <v>-0.56335729218027808</v>
      </c>
      <c r="W109" s="101">
        <f t="shared" si="14"/>
        <v>0</v>
      </c>
      <c r="X109" s="101">
        <f t="shared" si="14"/>
        <v>-51.8365051040509</v>
      </c>
      <c r="Y109" s="101">
        <f t="shared" si="14"/>
        <v>0</v>
      </c>
      <c r="AQ109" s="3"/>
    </row>
    <row r="110" spans="5:43" x14ac:dyDescent="0.25">
      <c r="E110" s="60"/>
      <c r="F110" t="s">
        <v>195</v>
      </c>
      <c r="G110" t="s">
        <v>171</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25">
      <c r="E111" s="60"/>
      <c r="F111" t="s">
        <v>196</v>
      </c>
      <c r="G111" t="s">
        <v>171</v>
      </c>
      <c r="J111" s="101">
        <f t="shared" ref="J111:Y111" si="16">J$57 * J40 * J99 / hours_in_year / $H51</f>
        <v>546.5267327797103</v>
      </c>
      <c r="K111" s="101">
        <f t="shared" si="16"/>
        <v>0.74957482501363026</v>
      </c>
      <c r="L111" s="101">
        <f t="shared" si="16"/>
        <v>253.38667339552958</v>
      </c>
      <c r="M111" s="101">
        <f t="shared" si="16"/>
        <v>0.90043711078396993</v>
      </c>
      <c r="N111" s="101">
        <f t="shared" si="16"/>
        <v>263.8773569209726</v>
      </c>
      <c r="O111" s="101">
        <f t="shared" si="16"/>
        <v>42.158476820873474</v>
      </c>
      <c r="P111" s="101">
        <f t="shared" si="16"/>
        <v>303.66014981310894</v>
      </c>
      <c r="Q111" s="101">
        <f t="shared" si="16"/>
        <v>5.7271719501984526</v>
      </c>
      <c r="R111" s="101">
        <f t="shared" si="16"/>
        <v>-18.618550910763741</v>
      </c>
      <c r="S111" s="101">
        <f t="shared" si="16"/>
        <v>-4.751335938074982E-3</v>
      </c>
      <c r="T111" s="101">
        <f t="shared" si="16"/>
        <v>-4.3858711315261916</v>
      </c>
      <c r="U111" s="101">
        <f t="shared" si="16"/>
        <v>0</v>
      </c>
      <c r="V111" s="101">
        <f t="shared" si="16"/>
        <v>-0.55788248856336575</v>
      </c>
      <c r="W111" s="101">
        <f t="shared" si="16"/>
        <v>0</v>
      </c>
      <c r="X111" s="101">
        <f t="shared" si="16"/>
        <v>0</v>
      </c>
      <c r="Y111" s="101">
        <f t="shared" si="16"/>
        <v>0</v>
      </c>
      <c r="AQ111" s="3"/>
    </row>
    <row r="112" spans="5:43" x14ac:dyDescent="0.25">
      <c r="E112" s="60"/>
      <c r="F112" t="s">
        <v>197</v>
      </c>
      <c r="G112" t="s">
        <v>171</v>
      </c>
      <c r="J112" s="101">
        <f t="shared" ref="J112:Y112" si="17">J$57 * J41 * J100 / hours_in_year / $H52</f>
        <v>538.67433719379483</v>
      </c>
      <c r="K112" s="101">
        <f t="shared" si="17"/>
        <v>0.73880507178067567</v>
      </c>
      <c r="L112" s="101">
        <f t="shared" si="17"/>
        <v>249.74606027203055</v>
      </c>
      <c r="M112" s="101">
        <f t="shared" si="17"/>
        <v>0.88749979597385531</v>
      </c>
      <c r="N112" s="101">
        <f t="shared" si="17"/>
        <v>260.08601558590118</v>
      </c>
      <c r="O112" s="101">
        <f t="shared" si="17"/>
        <v>41.552751579194251</v>
      </c>
      <c r="P112" s="101">
        <f t="shared" si="17"/>
        <v>0</v>
      </c>
      <c r="Q112" s="101">
        <f t="shared" si="17"/>
        <v>5.6448849968910029</v>
      </c>
      <c r="R112" s="101">
        <f t="shared" si="17"/>
        <v>-18.351042995379203</v>
      </c>
      <c r="S112" s="101">
        <f t="shared" si="17"/>
        <v>0</v>
      </c>
      <c r="T112" s="101">
        <f t="shared" si="17"/>
        <v>-4.3228557417054123</v>
      </c>
      <c r="U112" s="101">
        <f t="shared" si="17"/>
        <v>0</v>
      </c>
      <c r="V112" s="101">
        <f t="shared" si="17"/>
        <v>0</v>
      </c>
      <c r="W112" s="101">
        <f t="shared" si="17"/>
        <v>0</v>
      </c>
      <c r="X112" s="101">
        <f t="shared" si="17"/>
        <v>0</v>
      </c>
      <c r="Y112" s="101">
        <f t="shared" si="17"/>
        <v>0</v>
      </c>
      <c r="AQ112" s="3"/>
    </row>
    <row r="113" spans="5:43" x14ac:dyDescent="0.25">
      <c r="E113" s="60"/>
      <c r="F113" s="91" t="s">
        <v>198</v>
      </c>
      <c r="G113" s="91" t="s">
        <v>171</v>
      </c>
      <c r="H113" s="91"/>
      <c r="I113" s="91"/>
      <c r="J113" s="193">
        <f t="shared" ref="J113:Y113" si="18">J$57 * J42 * J101 / hours_in_year / $H53</f>
        <v>494.17926891943927</v>
      </c>
      <c r="K113" s="193">
        <f t="shared" si="18"/>
        <v>0.67777899379527728</v>
      </c>
      <c r="L113" s="193">
        <f t="shared" si="18"/>
        <v>229.11677234094898</v>
      </c>
      <c r="M113" s="193">
        <f t="shared" si="18"/>
        <v>0.81419137697425747</v>
      </c>
      <c r="N113" s="193">
        <f t="shared" si="18"/>
        <v>238.60263644260178</v>
      </c>
      <c r="O113" s="193">
        <f t="shared" si="18"/>
        <v>0</v>
      </c>
      <c r="P113" s="193">
        <f t="shared" si="18"/>
        <v>0</v>
      </c>
      <c r="Q113" s="193">
        <f t="shared" si="18"/>
        <v>5.1786115437207449</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510</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190</v>
      </c>
      <c r="G116" s="90" t="s">
        <v>282</v>
      </c>
      <c r="H116" s="90"/>
      <c r="I116" s="90"/>
      <c r="J116" s="167">
        <f>'Pseudo-load coefficients'!J294</f>
        <v>0.13461671614534554</v>
      </c>
      <c r="K116" s="167">
        <f>'Pseudo-load coefficients'!K294</f>
        <v>0.13461671614534554</v>
      </c>
      <c r="L116" s="167">
        <f>'Pseudo-load coefficients'!L294</f>
        <v>0.16321927243056089</v>
      </c>
      <c r="M116" s="167">
        <f>'Pseudo-load coefficients'!M294</f>
        <v>0.16321927243056089</v>
      </c>
      <c r="N116" s="167">
        <f>'Pseudo-load coefficients'!N294</f>
        <v>0.13541740904455887</v>
      </c>
      <c r="O116" s="167">
        <f>'Pseudo-load coefficients'!O294</f>
        <v>0.12634325254410289</v>
      </c>
      <c r="P116" s="167">
        <f>'Pseudo-load coefficients'!P294</f>
        <v>0.1101465583943575</v>
      </c>
      <c r="Q116" s="167">
        <f>'Pseudo-load coefficients'!Q294</f>
        <v>0.11624080753156253</v>
      </c>
      <c r="R116" s="167">
        <f>'Pseudo-load coefficients'!R294</f>
        <v>9.9561966444255925E-2</v>
      </c>
      <c r="S116" s="167">
        <f>'Pseudo-load coefficients'!S294</f>
        <v>9.9561966444255925E-2</v>
      </c>
      <c r="T116" s="167">
        <f>'Pseudo-load coefficients'!T294</f>
        <v>9.9561966444255925E-2</v>
      </c>
      <c r="U116" s="167">
        <f>'Pseudo-load coefficients'!U294</f>
        <v>9.9561966444255925E-2</v>
      </c>
      <c r="V116" s="167">
        <f>'Pseudo-load coefficients'!V294</f>
        <v>9.9561966444255925E-2</v>
      </c>
      <c r="W116" s="167">
        <f>'Pseudo-load coefficients'!W294</f>
        <v>9.9561966444255925E-2</v>
      </c>
      <c r="X116" s="167">
        <f>'Pseudo-load coefficients'!X294</f>
        <v>9.9561966444255925E-2</v>
      </c>
      <c r="Y116" s="167">
        <f>'Pseudo-load coefficients'!Y294</f>
        <v>9.9561966444255925E-2</v>
      </c>
      <c r="AQ116" s="3"/>
    </row>
    <row r="117" spans="5:43" x14ac:dyDescent="0.25">
      <c r="E117" s="60"/>
      <c r="F117" t="s">
        <v>191</v>
      </c>
      <c r="G117" t="s">
        <v>282</v>
      </c>
      <c r="J117" s="163">
        <f>'Pseudo-load coefficients'!J295</f>
        <v>0.16971427749233947</v>
      </c>
      <c r="K117" s="163">
        <f>'Pseudo-load coefficients'!K295</f>
        <v>0.16971427749233947</v>
      </c>
      <c r="L117" s="163">
        <f>'Pseudo-load coefficients'!L295</f>
        <v>0.20577415410631181</v>
      </c>
      <c r="M117" s="163">
        <f>'Pseudo-load coefficients'!M295</f>
        <v>0.20577415410631181</v>
      </c>
      <c r="N117" s="163">
        <f>'Pseudo-load coefficients'!N295</f>
        <v>0.17072372877576344</v>
      </c>
      <c r="O117" s="163">
        <f>'Pseudo-load coefficients'!O295</f>
        <v>0.1592837385693128</v>
      </c>
      <c r="P117" s="163">
        <f>'Pseudo-load coefficients'!P295</f>
        <v>0.13886420729490143</v>
      </c>
      <c r="Q117" s="163">
        <f>'Pseudo-load coefficients'!Q295</f>
        <v>0.14654736224619552</v>
      </c>
      <c r="R117" s="163">
        <f>'Pseudo-load coefficients'!R295</f>
        <v>0.12551997764200157</v>
      </c>
      <c r="S117" s="163">
        <f>'Pseudo-load coefficients'!S295</f>
        <v>0.12551997764200157</v>
      </c>
      <c r="T117" s="163">
        <f>'Pseudo-load coefficients'!T295</f>
        <v>0.12551997764200157</v>
      </c>
      <c r="U117" s="163">
        <f>'Pseudo-load coefficients'!U295</f>
        <v>0.12551997764200157</v>
      </c>
      <c r="V117" s="163">
        <f>'Pseudo-load coefficients'!V295</f>
        <v>0.12551997764200157</v>
      </c>
      <c r="W117" s="163">
        <f>'Pseudo-load coefficients'!W295</f>
        <v>0.12551997764200157</v>
      </c>
      <c r="X117" s="163">
        <f>'Pseudo-load coefficients'!X295</f>
        <v>0.12551997764200157</v>
      </c>
      <c r="Y117" s="163">
        <f>'Pseudo-load coefficients'!Y295</f>
        <v>0.12551997764200157</v>
      </c>
      <c r="AQ117" s="3"/>
    </row>
    <row r="118" spans="5:43" x14ac:dyDescent="0.25">
      <c r="E118" s="60"/>
      <c r="F118" t="s">
        <v>192</v>
      </c>
      <c r="G118" t="s">
        <v>282</v>
      </c>
      <c r="J118" s="163">
        <f>'Pseudo-load coefficients'!J296</f>
        <v>0.16971427749233947</v>
      </c>
      <c r="K118" s="163">
        <f>'Pseudo-load coefficients'!K296</f>
        <v>0.16971427749233947</v>
      </c>
      <c r="L118" s="163">
        <f>'Pseudo-load coefficients'!L296</f>
        <v>0.20577415410631181</v>
      </c>
      <c r="M118" s="163">
        <f>'Pseudo-load coefficients'!M296</f>
        <v>0.20577415410631181</v>
      </c>
      <c r="N118" s="163">
        <f>'Pseudo-load coefficients'!N296</f>
        <v>0.17072372877576344</v>
      </c>
      <c r="O118" s="163">
        <f>'Pseudo-load coefficients'!O296</f>
        <v>0.1592837385693128</v>
      </c>
      <c r="P118" s="163">
        <f>'Pseudo-load coefficients'!P296</f>
        <v>0.13886420729490143</v>
      </c>
      <c r="Q118" s="163">
        <f>'Pseudo-load coefficients'!Q296</f>
        <v>0.14654736224619552</v>
      </c>
      <c r="R118" s="163">
        <f>'Pseudo-load coefficients'!R296</f>
        <v>0.12551997764200157</v>
      </c>
      <c r="S118" s="163">
        <f>'Pseudo-load coefficients'!S296</f>
        <v>0.12551997764200157</v>
      </c>
      <c r="T118" s="163">
        <f>'Pseudo-load coefficients'!T296</f>
        <v>0.12551997764200157</v>
      </c>
      <c r="U118" s="163">
        <f>'Pseudo-load coefficients'!U296</f>
        <v>0.12551997764200157</v>
      </c>
      <c r="V118" s="163">
        <f>'Pseudo-load coefficients'!V296</f>
        <v>0.12551997764200157</v>
      </c>
      <c r="W118" s="163">
        <f>'Pseudo-load coefficients'!W296</f>
        <v>0.12551997764200157</v>
      </c>
      <c r="X118" s="163">
        <f>'Pseudo-load coefficients'!X296</f>
        <v>0.12551997764200157</v>
      </c>
      <c r="Y118" s="163">
        <f>'Pseudo-load coefficients'!Y296</f>
        <v>0.12551997764200157</v>
      </c>
      <c r="AQ118" s="3"/>
    </row>
    <row r="119" spans="5:43" x14ac:dyDescent="0.25">
      <c r="E119" s="60"/>
      <c r="F119" t="s">
        <v>193</v>
      </c>
      <c r="G119" t="s">
        <v>282</v>
      </c>
      <c r="J119" s="163">
        <f>'Pseudo-load coefficients'!J297</f>
        <v>0.32601008363004158</v>
      </c>
      <c r="K119" s="163">
        <f>'Pseudo-load coefficients'!K297</f>
        <v>0.32601008363004158</v>
      </c>
      <c r="L119" s="163">
        <f>'Pseudo-load coefficients'!L297</f>
        <v>0.39527876016281432</v>
      </c>
      <c r="M119" s="163">
        <f>'Pseudo-load coefficients'!M297</f>
        <v>0.39527876016281432</v>
      </c>
      <c r="N119" s="163">
        <f>'Pseudo-load coefficients'!N297</f>
        <v>0.32794917385976224</v>
      </c>
      <c r="O119" s="163">
        <f>'Pseudo-load coefficients'!O297</f>
        <v>0.30597369708173938</v>
      </c>
      <c r="P119" s="163">
        <f>'Pseudo-load coefficients'!P297</f>
        <v>0.26674910621749942</v>
      </c>
      <c r="Q119" s="163">
        <f>'Pseudo-load coefficients'!Q297</f>
        <v>0.28150794693039716</v>
      </c>
      <c r="R119" s="163">
        <f>'Pseudo-load coefficients'!R297</f>
        <v>0.2411157093731077</v>
      </c>
      <c r="S119" s="163">
        <f>'Pseudo-load coefficients'!S297</f>
        <v>0.2411157093731077</v>
      </c>
      <c r="T119" s="163">
        <f>'Pseudo-load coefficients'!T297</f>
        <v>0.2411157093731077</v>
      </c>
      <c r="U119" s="163">
        <f>'Pseudo-load coefficients'!U297</f>
        <v>0.2411157093731077</v>
      </c>
      <c r="V119" s="163">
        <f>'Pseudo-load coefficients'!V297</f>
        <v>0.2411157093731077</v>
      </c>
      <c r="W119" s="163">
        <f>'Pseudo-load coefficients'!W297</f>
        <v>0.2411157093731077</v>
      </c>
      <c r="X119" s="163">
        <f>'Pseudo-load coefficients'!X297</f>
        <v>0.2411157093731077</v>
      </c>
      <c r="Y119" s="163">
        <f>'Pseudo-load coefficients'!Y297</f>
        <v>0.2411157093731077</v>
      </c>
      <c r="AQ119" s="3"/>
    </row>
    <row r="120" spans="5:43" x14ac:dyDescent="0.25">
      <c r="E120" s="60"/>
      <c r="F120" t="s">
        <v>194</v>
      </c>
      <c r="G120" t="s">
        <v>282</v>
      </c>
      <c r="J120" s="163">
        <f>'Pseudo-load coefficients'!J298</f>
        <v>0.32601008363004158</v>
      </c>
      <c r="K120" s="163">
        <f>'Pseudo-load coefficients'!K298</f>
        <v>0.32601008363004158</v>
      </c>
      <c r="L120" s="163">
        <f>'Pseudo-load coefficients'!L298</f>
        <v>0.39527876016281432</v>
      </c>
      <c r="M120" s="163">
        <f>'Pseudo-load coefficients'!M298</f>
        <v>0.39527876016281432</v>
      </c>
      <c r="N120" s="163">
        <f>'Pseudo-load coefficients'!N298</f>
        <v>0.32794917385976224</v>
      </c>
      <c r="O120" s="163">
        <f>'Pseudo-load coefficients'!O298</f>
        <v>0.30597369708173938</v>
      </c>
      <c r="P120" s="163">
        <f>'Pseudo-load coefficients'!P298</f>
        <v>0.26674910621749942</v>
      </c>
      <c r="Q120" s="163">
        <f>'Pseudo-load coefficients'!Q298</f>
        <v>0.28150794693039716</v>
      </c>
      <c r="R120" s="163">
        <f>'Pseudo-load coefficients'!R298</f>
        <v>0.2411157093731077</v>
      </c>
      <c r="S120" s="163">
        <f>'Pseudo-load coefficients'!S298</f>
        <v>0.2411157093731077</v>
      </c>
      <c r="T120" s="163">
        <f>'Pseudo-load coefficients'!T298</f>
        <v>0.2411157093731077</v>
      </c>
      <c r="U120" s="163">
        <f>'Pseudo-load coefficients'!U298</f>
        <v>0.2411157093731077</v>
      </c>
      <c r="V120" s="163">
        <f>'Pseudo-load coefficients'!V298</f>
        <v>0.2411157093731077</v>
      </c>
      <c r="W120" s="163">
        <f>'Pseudo-load coefficients'!W298</f>
        <v>0.2411157093731077</v>
      </c>
      <c r="X120" s="163">
        <f>'Pseudo-load coefficients'!X298</f>
        <v>0.2411157093731077</v>
      </c>
      <c r="Y120" s="163">
        <f>'Pseudo-load coefficients'!Y298</f>
        <v>0.2411157093731077</v>
      </c>
      <c r="AQ120" s="3"/>
    </row>
    <row r="121" spans="5:43" x14ac:dyDescent="0.25">
      <c r="E121" s="60"/>
      <c r="F121" t="s">
        <v>195</v>
      </c>
      <c r="G121" t="s">
        <v>282</v>
      </c>
      <c r="J121" s="163">
        <f>'Pseudo-load coefficients'!J299</f>
        <v>0</v>
      </c>
      <c r="K121" s="163">
        <f>'Pseudo-load coefficients'!K299</f>
        <v>0</v>
      </c>
      <c r="L121" s="163">
        <f>'Pseudo-load coefficients'!L299</f>
        <v>0</v>
      </c>
      <c r="M121" s="163">
        <f>'Pseudo-load coefficients'!M299</f>
        <v>0</v>
      </c>
      <c r="N121" s="163">
        <f>'Pseudo-load coefficients'!N299</f>
        <v>0</v>
      </c>
      <c r="O121" s="163">
        <f>'Pseudo-load coefficients'!O299</f>
        <v>0</v>
      </c>
      <c r="P121" s="163">
        <f>'Pseudo-load coefficients'!P299</f>
        <v>0</v>
      </c>
      <c r="Q121" s="163">
        <f>'Pseudo-load coefficients'!Q299</f>
        <v>0</v>
      </c>
      <c r="R121" s="163">
        <f>'Pseudo-load coefficients'!R299</f>
        <v>0</v>
      </c>
      <c r="S121" s="163">
        <f>'Pseudo-load coefficients'!S299</f>
        <v>0</v>
      </c>
      <c r="T121" s="163">
        <f>'Pseudo-load coefficients'!T299</f>
        <v>0</v>
      </c>
      <c r="U121" s="163">
        <f>'Pseudo-load coefficients'!U299</f>
        <v>0</v>
      </c>
      <c r="V121" s="163">
        <f>'Pseudo-load coefficients'!V299</f>
        <v>0</v>
      </c>
      <c r="W121" s="163">
        <f>'Pseudo-load coefficients'!W299</f>
        <v>0</v>
      </c>
      <c r="X121" s="163">
        <f>'Pseudo-load coefficients'!X299</f>
        <v>0</v>
      </c>
      <c r="Y121" s="163">
        <f>'Pseudo-load coefficients'!Y299</f>
        <v>0</v>
      </c>
      <c r="AQ121" s="3"/>
    </row>
    <row r="122" spans="5:43" x14ac:dyDescent="0.25">
      <c r="E122" s="60"/>
      <c r="F122" t="s">
        <v>196</v>
      </c>
      <c r="G122" t="s">
        <v>282</v>
      </c>
      <c r="J122" s="163">
        <f>'Pseudo-load coefficients'!J300</f>
        <v>0.32601008363004158</v>
      </c>
      <c r="K122" s="163">
        <f>'Pseudo-load coefficients'!K300</f>
        <v>0.32601008363004158</v>
      </c>
      <c r="L122" s="163">
        <f>'Pseudo-load coefficients'!L300</f>
        <v>0.39527876016281432</v>
      </c>
      <c r="M122" s="163">
        <f>'Pseudo-load coefficients'!M300</f>
        <v>0.39527876016281432</v>
      </c>
      <c r="N122" s="163">
        <f>'Pseudo-load coefficients'!N300</f>
        <v>0.32794917385976224</v>
      </c>
      <c r="O122" s="163">
        <f>'Pseudo-load coefficients'!O300</f>
        <v>0.30597369708173938</v>
      </c>
      <c r="P122" s="163">
        <f>'Pseudo-load coefficients'!P300</f>
        <v>0.26674910621749942</v>
      </c>
      <c r="Q122" s="163">
        <f>'Pseudo-load coefficients'!Q300</f>
        <v>0.28150794693039716</v>
      </c>
      <c r="R122" s="163">
        <f>'Pseudo-load coefficients'!R300</f>
        <v>0.2411157093731077</v>
      </c>
      <c r="S122" s="163">
        <f>'Pseudo-load coefficients'!S300</f>
        <v>0.2411157093731077</v>
      </c>
      <c r="T122" s="163">
        <f>'Pseudo-load coefficients'!T300</f>
        <v>0.2411157093731077</v>
      </c>
      <c r="U122" s="163">
        <f>'Pseudo-load coefficients'!U300</f>
        <v>0.2411157093731077</v>
      </c>
      <c r="V122" s="163">
        <f>'Pseudo-load coefficients'!V300</f>
        <v>0.2411157093731077</v>
      </c>
      <c r="W122" s="163">
        <f>'Pseudo-load coefficients'!W300</f>
        <v>0.2411157093731077</v>
      </c>
      <c r="X122" s="163">
        <f>'Pseudo-load coefficients'!X300</f>
        <v>0.2411157093731077</v>
      </c>
      <c r="Y122" s="163">
        <f>'Pseudo-load coefficients'!Y300</f>
        <v>0.2411157093731077</v>
      </c>
      <c r="AQ122" s="3"/>
    </row>
    <row r="123" spans="5:43" x14ac:dyDescent="0.25">
      <c r="E123" s="60"/>
      <c r="F123" t="s">
        <v>197</v>
      </c>
      <c r="G123" t="s">
        <v>282</v>
      </c>
      <c r="J123" s="163">
        <f>'Pseudo-load coefficients'!J301</f>
        <v>0.32601008363004158</v>
      </c>
      <c r="K123" s="163">
        <f>'Pseudo-load coefficients'!K301</f>
        <v>0.32601008363004158</v>
      </c>
      <c r="L123" s="163">
        <f>'Pseudo-load coefficients'!L301</f>
        <v>0.39527876016281432</v>
      </c>
      <c r="M123" s="163">
        <f>'Pseudo-load coefficients'!M301</f>
        <v>0.39527876016281432</v>
      </c>
      <c r="N123" s="163">
        <f>'Pseudo-load coefficients'!N301</f>
        <v>0.32794917385976224</v>
      </c>
      <c r="O123" s="163">
        <f>'Pseudo-load coefficients'!O301</f>
        <v>0.30597369708173938</v>
      </c>
      <c r="P123" s="163">
        <f>'Pseudo-load coefficients'!P301</f>
        <v>0.26674910621749942</v>
      </c>
      <c r="Q123" s="163">
        <f>'Pseudo-load coefficients'!Q301</f>
        <v>0.28150794693039716</v>
      </c>
      <c r="R123" s="163">
        <f>'Pseudo-load coefficients'!R301</f>
        <v>0.2411157093731077</v>
      </c>
      <c r="S123" s="163">
        <f>'Pseudo-load coefficients'!S301</f>
        <v>0.2411157093731077</v>
      </c>
      <c r="T123" s="163">
        <f>'Pseudo-load coefficients'!T301</f>
        <v>0.2411157093731077</v>
      </c>
      <c r="U123" s="163">
        <f>'Pseudo-load coefficients'!U301</f>
        <v>0.2411157093731077</v>
      </c>
      <c r="V123" s="163">
        <f>'Pseudo-load coefficients'!V301</f>
        <v>0.2411157093731077</v>
      </c>
      <c r="W123" s="163">
        <f>'Pseudo-load coefficients'!W301</f>
        <v>0.2411157093731077</v>
      </c>
      <c r="X123" s="163">
        <f>'Pseudo-load coefficients'!X301</f>
        <v>0.2411157093731077</v>
      </c>
      <c r="Y123" s="163">
        <f>'Pseudo-load coefficients'!Y301</f>
        <v>0.2411157093731077</v>
      </c>
      <c r="AQ123" s="3"/>
    </row>
    <row r="124" spans="5:43" x14ac:dyDescent="0.25">
      <c r="E124" s="60"/>
      <c r="F124" s="91" t="s">
        <v>198</v>
      </c>
      <c r="G124" s="91" t="s">
        <v>282</v>
      </c>
      <c r="H124" s="91"/>
      <c r="I124" s="91"/>
      <c r="J124" s="168">
        <f>'Pseudo-load coefficients'!J302</f>
        <v>0.32601008363004158</v>
      </c>
      <c r="K124" s="168">
        <f>'Pseudo-load coefficients'!K302</f>
        <v>0.32601008363004158</v>
      </c>
      <c r="L124" s="168">
        <f>'Pseudo-load coefficients'!L302</f>
        <v>0.39527876016281432</v>
      </c>
      <c r="M124" s="168">
        <f>'Pseudo-load coefficients'!M302</f>
        <v>0.39527876016281432</v>
      </c>
      <c r="N124" s="168">
        <f>'Pseudo-load coefficients'!N302</f>
        <v>0.32794917385976224</v>
      </c>
      <c r="O124" s="168">
        <f>'Pseudo-load coefficients'!O302</f>
        <v>0.30597369708173938</v>
      </c>
      <c r="P124" s="168">
        <f>'Pseudo-load coefficients'!P302</f>
        <v>0.26674910621749942</v>
      </c>
      <c r="Q124" s="168">
        <f>'Pseudo-load coefficients'!Q302</f>
        <v>0.28150794693039716</v>
      </c>
      <c r="R124" s="168">
        <f>'Pseudo-load coefficients'!R302</f>
        <v>0.2411157093731077</v>
      </c>
      <c r="S124" s="168">
        <f>'Pseudo-load coefficients'!S302</f>
        <v>0.2411157093731077</v>
      </c>
      <c r="T124" s="168">
        <f>'Pseudo-load coefficients'!T302</f>
        <v>0.2411157093731077</v>
      </c>
      <c r="U124" s="168">
        <f>'Pseudo-load coefficients'!U302</f>
        <v>0.2411157093731077</v>
      </c>
      <c r="V124" s="168">
        <f>'Pseudo-load coefficients'!V302</f>
        <v>0.2411157093731077</v>
      </c>
      <c r="W124" s="168">
        <f>'Pseudo-load coefficients'!W302</f>
        <v>0.2411157093731077</v>
      </c>
      <c r="X124" s="168">
        <f>'Pseudo-load coefficients'!X302</f>
        <v>0.2411157093731077</v>
      </c>
      <c r="Y124" s="168">
        <f>'Pseudo-load coefficients'!Y302</f>
        <v>0.2411157093731077</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511</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512</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190</v>
      </c>
      <c r="G128" s="90" t="s">
        <v>171</v>
      </c>
      <c r="H128" s="90"/>
      <c r="I128" s="90"/>
      <c r="J128" s="222">
        <f t="shared" ref="J128:Y128" si="19">J$58 * J34 * J116 / hours_in_year / $H45</f>
        <v>56.945339683054449</v>
      </c>
      <c r="K128" s="222">
        <f t="shared" si="19"/>
        <v>0.13968617741621334</v>
      </c>
      <c r="L128" s="222">
        <f t="shared" si="19"/>
        <v>20.26156190170347</v>
      </c>
      <c r="M128" s="222">
        <f t="shared" si="19"/>
        <v>0.18874670084803885</v>
      </c>
      <c r="N128" s="222">
        <f t="shared" si="19"/>
        <v>20.350575528741633</v>
      </c>
      <c r="O128" s="222">
        <f t="shared" si="19"/>
        <v>3.5588260803845846</v>
      </c>
      <c r="P128" s="222">
        <f t="shared" si="19"/>
        <v>30.05364680196621</v>
      </c>
      <c r="Q128" s="222">
        <f t="shared" si="19"/>
        <v>1.5062153859641718</v>
      </c>
      <c r="R128" s="222">
        <f t="shared" si="19"/>
        <v>-0.75079219020834009</v>
      </c>
      <c r="S128" s="222">
        <f t="shared" si="19"/>
        <v>-2.174371973327618E-4</v>
      </c>
      <c r="T128" s="222">
        <f t="shared" si="19"/>
        <v>-0.33702186146616958</v>
      </c>
      <c r="U128" s="222">
        <f t="shared" si="19"/>
        <v>0</v>
      </c>
      <c r="V128" s="222">
        <f t="shared" si="19"/>
        <v>-6.59903929380143E-2</v>
      </c>
      <c r="W128" s="222">
        <f t="shared" si="19"/>
        <v>0</v>
      </c>
      <c r="X128" s="222">
        <f t="shared" si="19"/>
        <v>-4.4739721688413683</v>
      </c>
      <c r="Y128" s="222">
        <f t="shared" si="19"/>
        <v>0</v>
      </c>
      <c r="AQ128" s="3"/>
    </row>
    <row r="129" spans="3:43" x14ac:dyDescent="0.25">
      <c r="E129" s="60"/>
      <c r="F129" t="s">
        <v>191</v>
      </c>
      <c r="G129" t="s">
        <v>171</v>
      </c>
      <c r="J129" s="101">
        <f t="shared" ref="J129:Y129" si="20">J$58 * J35 * J117 / hours_in_year / $H46</f>
        <v>71.29319939583246</v>
      </c>
      <c r="K129" s="101">
        <f t="shared" si="20"/>
        <v>0.17488129063420416</v>
      </c>
      <c r="L129" s="101">
        <f t="shared" si="20"/>
        <v>25.366633701177125</v>
      </c>
      <c r="M129" s="101">
        <f t="shared" si="20"/>
        <v>0.23630302767109598</v>
      </c>
      <c r="N129" s="101">
        <f t="shared" si="20"/>
        <v>25.47807506401206</v>
      </c>
      <c r="O129" s="101">
        <f t="shared" si="20"/>
        <v>4.4555023953865014</v>
      </c>
      <c r="P129" s="101">
        <f t="shared" si="20"/>
        <v>37.625917168110107</v>
      </c>
      <c r="Q129" s="101">
        <f t="shared" si="20"/>
        <v>1.8857190850433896</v>
      </c>
      <c r="R129" s="101">
        <f t="shared" si="20"/>
        <v>-0.9399606292503182</v>
      </c>
      <c r="S129" s="101">
        <f t="shared" si="20"/>
        <v>-2.722223372763288E-4</v>
      </c>
      <c r="T129" s="101">
        <f t="shared" si="20"/>
        <v>-0.42193736843073421</v>
      </c>
      <c r="U129" s="101">
        <f t="shared" si="20"/>
        <v>0</v>
      </c>
      <c r="V129" s="101">
        <f t="shared" si="20"/>
        <v>-8.2617230279498771E-2</v>
      </c>
      <c r="W129" s="101">
        <f t="shared" si="20"/>
        <v>0</v>
      </c>
      <c r="X129" s="101">
        <f t="shared" si="20"/>
        <v>-5.6012272768921356</v>
      </c>
      <c r="Y129" s="101">
        <f t="shared" si="20"/>
        <v>0</v>
      </c>
      <c r="AQ129" s="3"/>
    </row>
    <row r="130" spans="3:43" x14ac:dyDescent="0.25">
      <c r="E130" s="60"/>
      <c r="F130" t="s">
        <v>192</v>
      </c>
      <c r="G130" t="s">
        <v>171</v>
      </c>
      <c r="J130" s="101">
        <f t="shared" ref="J130:Y130" si="21">J$58 * J36 * J118 / hours_in_year / $H47</f>
        <v>71.081437417428987</v>
      </c>
      <c r="K130" s="101">
        <f t="shared" si="21"/>
        <v>0.17436184125608276</v>
      </c>
      <c r="L130" s="101">
        <f t="shared" si="21"/>
        <v>25.291287264440953</v>
      </c>
      <c r="M130" s="101">
        <f t="shared" si="21"/>
        <v>0.2356011374898947</v>
      </c>
      <c r="N130" s="101">
        <f t="shared" si="21"/>
        <v>25.402397613326873</v>
      </c>
      <c r="O130" s="101">
        <f t="shared" si="21"/>
        <v>4.4422682298556504</v>
      </c>
      <c r="P130" s="101">
        <f t="shared" si="21"/>
        <v>37.514157018105813</v>
      </c>
      <c r="Q130" s="101">
        <f t="shared" si="21"/>
        <v>1.8801179392462308</v>
      </c>
      <c r="R130" s="101">
        <f t="shared" si="21"/>
        <v>-0.93716866698521806</v>
      </c>
      <c r="S130" s="101">
        <f t="shared" si="21"/>
        <v>-2.7141375607649809E-4</v>
      </c>
      <c r="T130" s="101">
        <f t="shared" si="21"/>
        <v>-0.4206840891185637</v>
      </c>
      <c r="U130" s="101">
        <f t="shared" si="21"/>
        <v>0</v>
      </c>
      <c r="V130" s="101">
        <f t="shared" si="21"/>
        <v>-8.2371832565797276E-2</v>
      </c>
      <c r="W130" s="101">
        <f t="shared" si="21"/>
        <v>0</v>
      </c>
      <c r="X130" s="101">
        <f t="shared" si="21"/>
        <v>-5.5845899681488911</v>
      </c>
      <c r="Y130" s="101">
        <f t="shared" si="21"/>
        <v>0</v>
      </c>
      <c r="AQ130" s="3"/>
    </row>
    <row r="131" spans="3:43" x14ac:dyDescent="0.25">
      <c r="E131" s="60"/>
      <c r="F131" t="s">
        <v>193</v>
      </c>
      <c r="G131" t="s">
        <v>171</v>
      </c>
      <c r="J131" s="101">
        <f t="shared" ref="J131:Y131" si="22">J$58 * J37 * J119 / hours_in_year / $H48</f>
        <v>136.13844434066422</v>
      </c>
      <c r="K131" s="101">
        <f t="shared" si="22"/>
        <v>0.3339458328843054</v>
      </c>
      <c r="L131" s="101">
        <f t="shared" si="22"/>
        <v>48.439038779336791</v>
      </c>
      <c r="M131" s="101">
        <f t="shared" si="22"/>
        <v>0.45123415490892488</v>
      </c>
      <c r="N131" s="101">
        <f t="shared" si="22"/>
        <v>48.6518424394351</v>
      </c>
      <c r="O131" s="101">
        <f t="shared" si="22"/>
        <v>8.5080368114252281</v>
      </c>
      <c r="P131" s="101">
        <f t="shared" si="22"/>
        <v>71.848842155576364</v>
      </c>
      <c r="Q131" s="101">
        <f t="shared" si="22"/>
        <v>3.600888512184159</v>
      </c>
      <c r="R131" s="101">
        <f t="shared" si="22"/>
        <v>-1.7949086152962088</v>
      </c>
      <c r="S131" s="101">
        <f t="shared" si="22"/>
        <v>-5.1982413225440686E-4</v>
      </c>
      <c r="T131" s="101">
        <f t="shared" si="22"/>
        <v>-0.80571355240247045</v>
      </c>
      <c r="U131" s="101">
        <f t="shared" si="22"/>
        <v>0</v>
      </c>
      <c r="V131" s="101">
        <f t="shared" si="22"/>
        <v>-0.15776232938485379</v>
      </c>
      <c r="W131" s="101">
        <f t="shared" si="22"/>
        <v>0</v>
      </c>
      <c r="X131" s="101">
        <f t="shared" si="22"/>
        <v>-10.695864042246441</v>
      </c>
      <c r="Y131" s="101">
        <f t="shared" si="22"/>
        <v>0</v>
      </c>
      <c r="AQ131" s="3"/>
    </row>
    <row r="132" spans="3:43" x14ac:dyDescent="0.25">
      <c r="E132" s="60"/>
      <c r="F132" t="s">
        <v>194</v>
      </c>
      <c r="G132" t="s">
        <v>171</v>
      </c>
      <c r="J132" s="101">
        <f t="shared" ref="J132:Y132" si="23">J$58 * J38 * J120 / hours_in_year / $H49</f>
        <v>135.3368440795808</v>
      </c>
      <c r="K132" s="101">
        <f t="shared" si="23"/>
        <v>0.33197951787222901</v>
      </c>
      <c r="L132" s="101">
        <f t="shared" si="23"/>
        <v>48.153823634414302</v>
      </c>
      <c r="M132" s="101">
        <f t="shared" si="23"/>
        <v>0.44857723152378892</v>
      </c>
      <c r="N132" s="101">
        <f t="shared" si="23"/>
        <v>48.365374279830974</v>
      </c>
      <c r="O132" s="101">
        <f t="shared" si="23"/>
        <v>8.4579404219565806</v>
      </c>
      <c r="P132" s="101">
        <f t="shared" si="23"/>
        <v>71.425787147790828</v>
      </c>
      <c r="Q132" s="101">
        <f t="shared" si="23"/>
        <v>3.5796860283047627</v>
      </c>
      <c r="R132" s="101">
        <f t="shared" si="23"/>
        <v>-1.784339967904867</v>
      </c>
      <c r="S132" s="101">
        <f t="shared" si="23"/>
        <v>-5.1676334246684411E-4</v>
      </c>
      <c r="T132" s="101">
        <f t="shared" si="23"/>
        <v>-0.80096940979754916</v>
      </c>
      <c r="U132" s="101">
        <f t="shared" si="23"/>
        <v>0</v>
      </c>
      <c r="V132" s="101">
        <f t="shared" si="23"/>
        <v>-0.15683340497238163</v>
      </c>
      <c r="W132" s="101">
        <f t="shared" si="23"/>
        <v>0</v>
      </c>
      <c r="X132" s="101">
        <f t="shared" si="23"/>
        <v>-10.632885451222419</v>
      </c>
      <c r="Y132" s="101">
        <f t="shared" si="23"/>
        <v>0</v>
      </c>
      <c r="AQ132" s="3"/>
    </row>
    <row r="133" spans="3:43" x14ac:dyDescent="0.25">
      <c r="E133" s="60"/>
      <c r="F133" t="s">
        <v>195</v>
      </c>
      <c r="G133" t="s">
        <v>171</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25">
      <c r="E134" s="60"/>
      <c r="F134" t="s">
        <v>196</v>
      </c>
      <c r="G134" t="s">
        <v>171</v>
      </c>
      <c r="J134" s="101">
        <f t="shared" ref="J134:Y134" si="25">J$58 * J40 * J122 / hours_in_year / $H51</f>
        <v>134.0216172177773</v>
      </c>
      <c r="K134" s="101">
        <f t="shared" si="25"/>
        <v>0.3287532834905747</v>
      </c>
      <c r="L134" s="101">
        <f t="shared" si="25"/>
        <v>47.685856446519118</v>
      </c>
      <c r="M134" s="101">
        <f t="shared" si="25"/>
        <v>0.44421788039139054</v>
      </c>
      <c r="N134" s="101">
        <f t="shared" si="25"/>
        <v>47.895351206168861</v>
      </c>
      <c r="O134" s="101">
        <f t="shared" si="25"/>
        <v>8.375744693852047</v>
      </c>
      <c r="P134" s="101">
        <f t="shared" si="25"/>
        <v>70.731658992807439</v>
      </c>
      <c r="Q134" s="101">
        <f t="shared" si="25"/>
        <v>3.5448980202551539</v>
      </c>
      <c r="R134" s="101">
        <f t="shared" si="25"/>
        <v>-1.7669994434354319</v>
      </c>
      <c r="S134" s="101">
        <f t="shared" si="25"/>
        <v>-5.1174134691323047E-4</v>
      </c>
      <c r="T134" s="101">
        <f t="shared" si="25"/>
        <v>-0.79318545051866141</v>
      </c>
      <c r="U134" s="101">
        <f t="shared" si="25"/>
        <v>0</v>
      </c>
      <c r="V134" s="101">
        <f t="shared" si="25"/>
        <v>-0.155309270813272</v>
      </c>
      <c r="W134" s="101">
        <f t="shared" si="25"/>
        <v>0</v>
      </c>
      <c r="X134" s="101">
        <f t="shared" si="25"/>
        <v>0</v>
      </c>
      <c r="Y134" s="101">
        <f t="shared" si="25"/>
        <v>0</v>
      </c>
      <c r="AQ134" s="3"/>
    </row>
    <row r="135" spans="3:43" x14ac:dyDescent="0.25">
      <c r="E135" s="60"/>
      <c r="F135" t="s">
        <v>197</v>
      </c>
      <c r="G135" t="s">
        <v>171</v>
      </c>
      <c r="J135" s="101">
        <f t="shared" ref="J135:Y135" si="26">J$58 * J41 * J123 / hours_in_year / $H52</f>
        <v>132.096019269246</v>
      </c>
      <c r="K135" s="101">
        <f t="shared" si="26"/>
        <v>0.32402981677375603</v>
      </c>
      <c r="L135" s="101">
        <f t="shared" si="26"/>
        <v>47.000714830908201</v>
      </c>
      <c r="M135" s="101">
        <f t="shared" si="26"/>
        <v>0.43783543958116938</v>
      </c>
      <c r="N135" s="101">
        <f t="shared" si="26"/>
        <v>47.207199608379071</v>
      </c>
      <c r="O135" s="101">
        <f t="shared" si="26"/>
        <v>8.2554035344576207</v>
      </c>
      <c r="P135" s="101">
        <f t="shared" si="26"/>
        <v>0</v>
      </c>
      <c r="Q135" s="101">
        <f t="shared" si="26"/>
        <v>3.4939655774353953</v>
      </c>
      <c r="R135" s="101">
        <f t="shared" si="26"/>
        <v>-1.7416115203975662</v>
      </c>
      <c r="S135" s="101">
        <f t="shared" si="26"/>
        <v>0</v>
      </c>
      <c r="T135" s="101">
        <f t="shared" si="26"/>
        <v>-0.78178910783879552</v>
      </c>
      <c r="U135" s="101">
        <f t="shared" si="26"/>
        <v>0</v>
      </c>
      <c r="V135" s="101">
        <f t="shared" si="26"/>
        <v>0</v>
      </c>
      <c r="W135" s="101">
        <f t="shared" si="26"/>
        <v>0</v>
      </c>
      <c r="X135" s="101">
        <f t="shared" si="26"/>
        <v>0</v>
      </c>
      <c r="Y135" s="101">
        <f t="shared" si="26"/>
        <v>0</v>
      </c>
      <c r="AQ135" s="3"/>
    </row>
    <row r="136" spans="3:43" x14ac:dyDescent="0.25">
      <c r="E136" s="60"/>
      <c r="F136" s="91" t="s">
        <v>198</v>
      </c>
      <c r="G136" s="91" t="s">
        <v>171</v>
      </c>
      <c r="H136" s="91"/>
      <c r="I136" s="91"/>
      <c r="J136" s="193">
        <f t="shared" ref="J136:Y136" si="27">J$58 * J42 * J124 / hours_in_year / $H53</f>
        <v>121.18474878479161</v>
      </c>
      <c r="K136" s="193">
        <f t="shared" si="27"/>
        <v>0.29726461222478151</v>
      </c>
      <c r="L136" s="193">
        <f t="shared" si="27"/>
        <v>43.118406224488723</v>
      </c>
      <c r="M136" s="193">
        <f t="shared" si="27"/>
        <v>0.40166977058237335</v>
      </c>
      <c r="N136" s="193">
        <f t="shared" si="27"/>
        <v>43.307835141606112</v>
      </c>
      <c r="O136" s="193">
        <f t="shared" si="27"/>
        <v>0</v>
      </c>
      <c r="P136" s="193">
        <f t="shared" si="27"/>
        <v>0</v>
      </c>
      <c r="Q136" s="193">
        <f t="shared" si="27"/>
        <v>3.2053603364170065</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513</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514</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190</v>
      </c>
      <c r="G142" s="90" t="s">
        <v>171</v>
      </c>
      <c r="H142" s="90"/>
      <c r="I142" s="90"/>
      <c r="J142" s="222">
        <f t="shared" ref="J142:Y142" si="28">J82 + J105 + J128</f>
        <v>1410.3146423404564</v>
      </c>
      <c r="K142" s="222">
        <f t="shared" si="28"/>
        <v>0.96396287659270141</v>
      </c>
      <c r="L142" s="222">
        <f t="shared" si="28"/>
        <v>502.16999926746888</v>
      </c>
      <c r="M142" s="222">
        <f t="shared" si="28"/>
        <v>1.5060968261007357</v>
      </c>
      <c r="N142" s="222">
        <f t="shared" si="28"/>
        <v>523.46230630132902</v>
      </c>
      <c r="O142" s="222">
        <f t="shared" si="28"/>
        <v>84.647955477908937</v>
      </c>
      <c r="P142" s="222">
        <f t="shared" si="28"/>
        <v>637.4822270259283</v>
      </c>
      <c r="Q142" s="222">
        <f t="shared" si="28"/>
        <v>24.930158523969403</v>
      </c>
      <c r="R142" s="222">
        <f t="shared" si="28"/>
        <v>-30.392056526469826</v>
      </c>
      <c r="S142" s="222">
        <f t="shared" si="28"/>
        <v>-9.369726239420088E-3</v>
      </c>
      <c r="T142" s="222">
        <f t="shared" si="28"/>
        <v>-8.1052615685854583</v>
      </c>
      <c r="U142" s="222">
        <f t="shared" si="28"/>
        <v>0</v>
      </c>
      <c r="V142" s="222">
        <f t="shared" si="28"/>
        <v>-1.2117202811771173</v>
      </c>
      <c r="W142" s="222">
        <f t="shared" si="28"/>
        <v>0</v>
      </c>
      <c r="X142" s="222">
        <f t="shared" si="28"/>
        <v>-123.08479788899278</v>
      </c>
      <c r="Y142" s="222">
        <f t="shared" si="28"/>
        <v>0</v>
      </c>
      <c r="AQ142" s="3"/>
    </row>
    <row r="143" spans="3:43" x14ac:dyDescent="0.25">
      <c r="C143" s="60"/>
      <c r="F143" t="s">
        <v>191</v>
      </c>
      <c r="G143" t="s">
        <v>171</v>
      </c>
      <c r="J143" s="101">
        <f t="shared" ref="J143:Y143" si="29">J83 + J106 + J129</f>
        <v>1361.858666191273</v>
      </c>
      <c r="K143" s="101">
        <f t="shared" si="29"/>
        <v>1.1121614341694976</v>
      </c>
      <c r="L143" s="101">
        <f t="shared" si="29"/>
        <v>506.24709875047853</v>
      </c>
      <c r="M143" s="101">
        <f t="shared" si="29"/>
        <v>1.6262603712824957</v>
      </c>
      <c r="N143" s="101">
        <f t="shared" si="29"/>
        <v>527.27777744937737</v>
      </c>
      <c r="O143" s="101">
        <f t="shared" si="29"/>
        <v>85.198136976706706</v>
      </c>
      <c r="P143" s="101">
        <f t="shared" si="29"/>
        <v>638.05109168772447</v>
      </c>
      <c r="Q143" s="101">
        <f t="shared" si="29"/>
        <v>22.89426220111033</v>
      </c>
      <c r="R143" s="101">
        <f t="shared" si="29"/>
        <v>-31.618974369232486</v>
      </c>
      <c r="S143" s="101">
        <f t="shared" si="29"/>
        <v>-9.3828750514812192E-3</v>
      </c>
      <c r="T143" s="101">
        <f t="shared" si="29"/>
        <v>-8.2829859357651845</v>
      </c>
      <c r="U143" s="101">
        <f t="shared" si="29"/>
        <v>0</v>
      </c>
      <c r="V143" s="101">
        <f t="shared" si="29"/>
        <v>-1.2097361552011032</v>
      </c>
      <c r="W143" s="101">
        <f t="shared" si="29"/>
        <v>0</v>
      </c>
      <c r="X143" s="101">
        <f t="shared" si="29"/>
        <v>-119.95449316122549</v>
      </c>
      <c r="Y143" s="101">
        <f t="shared" si="29"/>
        <v>0</v>
      </c>
      <c r="AQ143" s="3"/>
    </row>
    <row r="144" spans="3:43" x14ac:dyDescent="0.25">
      <c r="C144" s="60"/>
      <c r="F144" t="s">
        <v>192</v>
      </c>
      <c r="G144" t="s">
        <v>171</v>
      </c>
      <c r="J144" s="101">
        <f t="shared" ref="J144:Y144" si="30">J84 + J107 + J130</f>
        <v>1357.8135414402097</v>
      </c>
      <c r="K144" s="101">
        <f t="shared" si="30"/>
        <v>1.1088579843650337</v>
      </c>
      <c r="L144" s="101">
        <f t="shared" si="30"/>
        <v>504.74339449676421</v>
      </c>
      <c r="M144" s="101">
        <f t="shared" si="30"/>
        <v>1.6214298949321513</v>
      </c>
      <c r="N144" s="101">
        <f t="shared" si="30"/>
        <v>525.71160583319102</v>
      </c>
      <c r="O144" s="101">
        <f t="shared" si="30"/>
        <v>84.945073203508571</v>
      </c>
      <c r="P144" s="101">
        <f t="shared" si="30"/>
        <v>636.15589042528552</v>
      </c>
      <c r="Q144" s="101">
        <f t="shared" si="30"/>
        <v>22.826259442097129</v>
      </c>
      <c r="R144" s="101">
        <f t="shared" si="30"/>
        <v>-31.525056623581293</v>
      </c>
      <c r="S144" s="101">
        <f t="shared" si="30"/>
        <v>-9.3550051255857306E-3</v>
      </c>
      <c r="T144" s="101">
        <f t="shared" si="30"/>
        <v>-8.2583830072431077</v>
      </c>
      <c r="U144" s="101">
        <f t="shared" si="30"/>
        <v>0</v>
      </c>
      <c r="V144" s="101">
        <f t="shared" si="30"/>
        <v>-1.2061428794925853</v>
      </c>
      <c r="W144" s="101">
        <f t="shared" si="30"/>
        <v>0</v>
      </c>
      <c r="X144" s="101">
        <f t="shared" si="30"/>
        <v>-119.59819268648916</v>
      </c>
      <c r="Y144" s="101">
        <f t="shared" si="30"/>
        <v>0</v>
      </c>
      <c r="AQ144" s="3"/>
    </row>
    <row r="145" spans="3:43" x14ac:dyDescent="0.25">
      <c r="C145" s="60"/>
      <c r="F145" t="s">
        <v>193</v>
      </c>
      <c r="G145" t="s">
        <v>171</v>
      </c>
      <c r="J145" s="101">
        <f t="shared" ref="J145:Y145" si="31">J85 + J108 + J131</f>
        <v>1306.8480631159591</v>
      </c>
      <c r="K145" s="101">
        <f t="shared" si="31"/>
        <v>1.2764987939527783</v>
      </c>
      <c r="L145" s="101">
        <f t="shared" si="31"/>
        <v>497.68180735634132</v>
      </c>
      <c r="M145" s="101">
        <f t="shared" si="31"/>
        <v>1.7937335393010954</v>
      </c>
      <c r="N145" s="101">
        <f t="shared" si="31"/>
        <v>517.29824536112289</v>
      </c>
      <c r="O145" s="101">
        <f t="shared" si="31"/>
        <v>83.837307076006084</v>
      </c>
      <c r="P145" s="101">
        <f t="shared" si="31"/>
        <v>629.4421860920437</v>
      </c>
      <c r="Q145" s="101">
        <f t="shared" si="31"/>
        <v>21.250388212415192</v>
      </c>
      <c r="R145" s="101">
        <f t="shared" si="31"/>
        <v>-31.097686019274008</v>
      </c>
      <c r="S145" s="101">
        <f t="shared" si="31"/>
        <v>-9.0181780541032028E-3</v>
      </c>
      <c r="T145" s="101">
        <f t="shared" si="31"/>
        <v>-8.2133726825488367</v>
      </c>
      <c r="U145" s="101">
        <f t="shared" si="31"/>
        <v>0</v>
      </c>
      <c r="V145" s="101">
        <f t="shared" si="31"/>
        <v>-1.2012969785965075</v>
      </c>
      <c r="W145" s="101">
        <f t="shared" si="31"/>
        <v>0</v>
      </c>
      <c r="X145" s="101">
        <f t="shared" si="31"/>
        <v>-115.18994230116452</v>
      </c>
      <c r="Y145" s="101">
        <f t="shared" si="31"/>
        <v>0</v>
      </c>
      <c r="AQ145" s="3"/>
    </row>
    <row r="146" spans="3:43" x14ac:dyDescent="0.25">
      <c r="C146" s="60"/>
      <c r="F146" t="s">
        <v>194</v>
      </c>
      <c r="G146" t="s">
        <v>171</v>
      </c>
      <c r="J146" s="101">
        <f t="shared" ref="J146:Y146" si="32">J86 + J109 + J132</f>
        <v>1299.1531775627739</v>
      </c>
      <c r="K146" s="101">
        <f t="shared" si="32"/>
        <v>1.2689826087086993</v>
      </c>
      <c r="L146" s="101">
        <f t="shared" si="32"/>
        <v>494.75139435914997</v>
      </c>
      <c r="M146" s="101">
        <f t="shared" si="32"/>
        <v>1.7831718109048182</v>
      </c>
      <c r="N146" s="101">
        <f t="shared" si="32"/>
        <v>514.25232831287303</v>
      </c>
      <c r="O146" s="101">
        <f t="shared" si="32"/>
        <v>83.343662480857859</v>
      </c>
      <c r="P146" s="101">
        <f t="shared" si="32"/>
        <v>625.73595143399439</v>
      </c>
      <c r="Q146" s="101">
        <f t="shared" si="32"/>
        <v>21.125263257288115</v>
      </c>
      <c r="R146" s="101">
        <f t="shared" si="32"/>
        <v>-30.914578937708114</v>
      </c>
      <c r="S146" s="101">
        <f t="shared" si="32"/>
        <v>-8.9650778889171188E-3</v>
      </c>
      <c r="T146" s="101">
        <f t="shared" si="32"/>
        <v>-8.1650113124847614</v>
      </c>
      <c r="U146" s="101">
        <f t="shared" si="32"/>
        <v>0</v>
      </c>
      <c r="V146" s="101">
        <f t="shared" si="32"/>
        <v>-1.1942235910875976</v>
      </c>
      <c r="W146" s="101">
        <f t="shared" si="32"/>
        <v>0</v>
      </c>
      <c r="X146" s="101">
        <f t="shared" si="32"/>
        <v>-114.51168945150113</v>
      </c>
      <c r="Y146" s="101">
        <f t="shared" si="32"/>
        <v>0</v>
      </c>
      <c r="AQ146" s="3"/>
    </row>
    <row r="147" spans="3:43" x14ac:dyDescent="0.25">
      <c r="C147" s="60"/>
      <c r="F147" t="s">
        <v>195</v>
      </c>
      <c r="G147" t="s">
        <v>171</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25">
      <c r="C148" s="60"/>
      <c r="F148" t="s">
        <v>196</v>
      </c>
      <c r="G148" t="s">
        <v>171</v>
      </c>
      <c r="J148" s="101">
        <f t="shared" ref="J148:Y148" si="34">J88 + J111 + J134</f>
        <v>1286.5277822511823</v>
      </c>
      <c r="K148" s="101">
        <f t="shared" si="34"/>
        <v>1.2566504162042416</v>
      </c>
      <c r="L148" s="101">
        <f t="shared" si="34"/>
        <v>489.9433147249502</v>
      </c>
      <c r="M148" s="101">
        <f t="shared" si="34"/>
        <v>1.7658426387871813</v>
      </c>
      <c r="N148" s="101">
        <f>N88 + N111 + N134</f>
        <v>509.25473522917156</v>
      </c>
      <c r="O148" s="101">
        <f t="shared" si="34"/>
        <v>82.53371435179217</v>
      </c>
      <c r="P148" s="101">
        <f t="shared" si="34"/>
        <v>619.65494121597692</v>
      </c>
      <c r="Q148" s="101">
        <f t="shared" si="34"/>
        <v>20.919964294632251</v>
      </c>
      <c r="R148" s="101">
        <f t="shared" si="34"/>
        <v>-30.614145711880045</v>
      </c>
      <c r="S148" s="101">
        <f t="shared" si="34"/>
        <v>-8.8779537111822581E-3</v>
      </c>
      <c r="T148" s="101">
        <f t="shared" si="34"/>
        <v>-8.0856623201379705</v>
      </c>
      <c r="U148" s="101">
        <f t="shared" si="34"/>
        <v>0</v>
      </c>
      <c r="V148" s="101">
        <f t="shared" si="34"/>
        <v>-1.1826179196484568</v>
      </c>
      <c r="W148" s="101">
        <f t="shared" si="34"/>
        <v>0</v>
      </c>
      <c r="X148" s="101">
        <f t="shared" si="34"/>
        <v>0</v>
      </c>
      <c r="Y148" s="101">
        <f t="shared" si="34"/>
        <v>0</v>
      </c>
      <c r="AQ148" s="3"/>
    </row>
    <row r="149" spans="3:43" x14ac:dyDescent="0.25">
      <c r="C149" s="60"/>
      <c r="F149" t="s">
        <v>197</v>
      </c>
      <c r="G149" t="s">
        <v>171</v>
      </c>
      <c r="J149" s="101">
        <f t="shared" ref="J149:Y149" si="35">J89 + J112 + J135</f>
        <v>1268.0431876786079</v>
      </c>
      <c r="K149" s="101">
        <f t="shared" si="35"/>
        <v>1.2385950941323414</v>
      </c>
      <c r="L149" s="101">
        <f t="shared" si="35"/>
        <v>482.9038992834997</v>
      </c>
      <c r="M149" s="101">
        <f t="shared" si="35"/>
        <v>1.740471336505756</v>
      </c>
      <c r="N149" s="101">
        <f t="shared" si="35"/>
        <v>501.93785684944208</v>
      </c>
      <c r="O149" s="101">
        <f t="shared" si="35"/>
        <v>81.347885122599763</v>
      </c>
      <c r="P149" s="101">
        <f t="shared" si="35"/>
        <v>0</v>
      </c>
      <c r="Q149" s="101">
        <f t="shared" si="35"/>
        <v>20.619390094996731</v>
      </c>
      <c r="R149" s="101">
        <f t="shared" si="35"/>
        <v>-30.174287296479466</v>
      </c>
      <c r="S149" s="101">
        <f t="shared" si="35"/>
        <v>0</v>
      </c>
      <c r="T149" s="101">
        <f t="shared" si="35"/>
        <v>-7.9694890109405847</v>
      </c>
      <c r="U149" s="101">
        <f t="shared" si="35"/>
        <v>0</v>
      </c>
      <c r="V149" s="101">
        <f t="shared" si="35"/>
        <v>0</v>
      </c>
      <c r="W149" s="101">
        <f t="shared" si="35"/>
        <v>0</v>
      </c>
      <c r="X149" s="101">
        <f t="shared" si="35"/>
        <v>0</v>
      </c>
      <c r="Y149" s="101">
        <f t="shared" si="35"/>
        <v>0</v>
      </c>
      <c r="AQ149" s="3"/>
    </row>
    <row r="150" spans="3:43" x14ac:dyDescent="0.25">
      <c r="C150" s="60"/>
      <c r="F150" s="91" t="s">
        <v>198</v>
      </c>
      <c r="G150" s="91" t="s">
        <v>171</v>
      </c>
      <c r="H150" s="91"/>
      <c r="I150" s="91"/>
      <c r="J150" s="193">
        <f t="shared" ref="J150:Y150" si="36">J90 + J113 + J136</f>
        <v>1163.3014832482131</v>
      </c>
      <c r="K150" s="193">
        <f t="shared" si="36"/>
        <v>1.1362858332813397</v>
      </c>
      <c r="L150" s="193">
        <f t="shared" si="36"/>
        <v>443.01552798943214</v>
      </c>
      <c r="M150" s="193">
        <f t="shared" si="36"/>
        <v>1.596706568815474</v>
      </c>
      <c r="N150" s="193">
        <f t="shared" si="36"/>
        <v>460.47726058947057</v>
      </c>
      <c r="O150" s="193">
        <f t="shared" si="36"/>
        <v>0</v>
      </c>
      <c r="P150" s="193">
        <f t="shared" si="36"/>
        <v>0</v>
      </c>
      <c r="Q150" s="193">
        <f t="shared" si="36"/>
        <v>18.916206730383646</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515</v>
      </c>
      <c r="J152" s="92"/>
      <c r="K152" s="92"/>
      <c r="L152" s="92"/>
      <c r="M152" s="92"/>
      <c r="N152" s="92"/>
      <c r="O152" s="92"/>
      <c r="P152" s="92"/>
      <c r="Q152" s="92"/>
      <c r="R152" s="92"/>
      <c r="S152" s="92"/>
      <c r="T152" s="92"/>
      <c r="U152" s="92"/>
      <c r="V152" s="92"/>
      <c r="W152" s="92"/>
      <c r="X152" s="92"/>
      <c r="Y152" s="92"/>
      <c r="AQ152" s="3"/>
    </row>
    <row r="153" spans="3:43" x14ac:dyDescent="0.25">
      <c r="E153" s="71" t="s">
        <v>516</v>
      </c>
      <c r="J153" s="92"/>
      <c r="K153" s="92"/>
      <c r="L153" s="92"/>
      <c r="M153" s="92"/>
      <c r="N153" s="92"/>
      <c r="O153" s="92"/>
      <c r="P153" s="92"/>
      <c r="Q153" s="92"/>
      <c r="R153" s="92"/>
      <c r="S153" s="92"/>
      <c r="T153" s="92"/>
      <c r="U153" s="92"/>
      <c r="V153" s="92"/>
      <c r="W153" s="92"/>
      <c r="X153" s="92"/>
      <c r="Y153" s="92"/>
      <c r="AQ153" s="3"/>
    </row>
    <row r="154" spans="3:43" x14ac:dyDescent="0.25">
      <c r="C154" s="60"/>
      <c r="F154" s="90" t="s">
        <v>190</v>
      </c>
      <c r="G154" s="90" t="s">
        <v>517</v>
      </c>
      <c r="H154" s="145">
        <f t="shared" ref="H154:H162" si="37">SUM(J142:Y142) * thousand</f>
        <v>3022674.1426482899</v>
      </c>
      <c r="J154" s="92"/>
      <c r="K154" s="92"/>
      <c r="L154" s="92"/>
      <c r="M154" s="92"/>
      <c r="N154" s="92"/>
      <c r="O154" s="92"/>
      <c r="P154" s="92"/>
      <c r="Q154" s="92"/>
      <c r="R154" s="92"/>
      <c r="S154" s="92"/>
      <c r="T154" s="92"/>
      <c r="U154" s="92"/>
      <c r="V154" s="92"/>
      <c r="W154" s="92"/>
      <c r="X154" s="92"/>
      <c r="Y154" s="92"/>
      <c r="AQ154" s="3"/>
    </row>
    <row r="155" spans="3:43" x14ac:dyDescent="0.25">
      <c r="C155" s="60"/>
      <c r="F155" t="s">
        <v>191</v>
      </c>
      <c r="G155" t="s">
        <v>517</v>
      </c>
      <c r="H155" s="164">
        <f t="shared" si="37"/>
        <v>2983189.8825656469</v>
      </c>
      <c r="J155" s="92"/>
      <c r="K155" s="92"/>
      <c r="L155" s="92"/>
      <c r="M155" s="92"/>
      <c r="N155" s="92"/>
      <c r="O155" s="92"/>
      <c r="P155" s="92"/>
      <c r="Q155" s="92"/>
      <c r="R155" s="92"/>
      <c r="S155" s="92"/>
      <c r="T155" s="92"/>
      <c r="U155" s="92"/>
      <c r="V155" s="92"/>
      <c r="W155" s="92"/>
      <c r="X155" s="92"/>
      <c r="Y155" s="92"/>
      <c r="AQ155" s="3"/>
    </row>
    <row r="156" spans="3:43" x14ac:dyDescent="0.25">
      <c r="C156" s="60"/>
      <c r="F156" t="s">
        <v>192</v>
      </c>
      <c r="G156" t="s">
        <v>517</v>
      </c>
      <c r="H156" s="164">
        <f t="shared" si="37"/>
        <v>2974328.9225184214</v>
      </c>
      <c r="J156" s="92"/>
      <c r="K156" s="92"/>
      <c r="L156" s="92"/>
      <c r="M156" s="92"/>
      <c r="N156" s="92"/>
      <c r="O156" s="92"/>
      <c r="P156" s="92"/>
      <c r="Q156" s="92"/>
      <c r="R156" s="92"/>
      <c r="S156" s="92"/>
      <c r="T156" s="92"/>
      <c r="U156" s="92"/>
      <c r="V156" s="92"/>
      <c r="W156" s="92"/>
      <c r="X156" s="92"/>
      <c r="Y156" s="92"/>
      <c r="AQ156" s="3"/>
    </row>
    <row r="157" spans="3:43" x14ac:dyDescent="0.25">
      <c r="C157" s="60"/>
      <c r="F157" t="s">
        <v>193</v>
      </c>
      <c r="G157" t="s">
        <v>517</v>
      </c>
      <c r="H157" s="164">
        <f t="shared" si="37"/>
        <v>2903716.9133875039</v>
      </c>
      <c r="J157" s="92"/>
      <c r="K157" s="92"/>
      <c r="L157" s="92"/>
      <c r="M157" s="92"/>
      <c r="N157" s="92"/>
      <c r="O157" s="92"/>
      <c r="P157" s="92"/>
      <c r="Q157" s="92"/>
      <c r="R157" s="92"/>
      <c r="S157" s="92"/>
      <c r="T157" s="92"/>
      <c r="U157" s="92"/>
      <c r="V157" s="92"/>
      <c r="W157" s="92"/>
      <c r="X157" s="92"/>
      <c r="Y157" s="92"/>
      <c r="AQ157" s="3"/>
    </row>
    <row r="158" spans="3:43" x14ac:dyDescent="0.25">
      <c r="C158" s="60"/>
      <c r="F158" t="s">
        <v>194</v>
      </c>
      <c r="G158" t="s">
        <v>517</v>
      </c>
      <c r="H158" s="164">
        <f t="shared" si="37"/>
        <v>2886619.4634558805</v>
      </c>
      <c r="J158" s="92"/>
      <c r="K158" s="92"/>
      <c r="L158" s="92"/>
      <c r="M158" s="92"/>
      <c r="N158" s="92"/>
      <c r="O158" s="92"/>
      <c r="P158" s="92"/>
      <c r="Q158" s="92"/>
      <c r="R158" s="92"/>
      <c r="S158" s="92"/>
      <c r="T158" s="92"/>
      <c r="U158" s="92"/>
      <c r="V158" s="92"/>
      <c r="W158" s="92"/>
      <c r="X158" s="92"/>
      <c r="Y158" s="92"/>
      <c r="AQ158" s="3"/>
    </row>
    <row r="159" spans="3:43" x14ac:dyDescent="0.25">
      <c r="C159" s="60"/>
      <c r="F159" t="s">
        <v>195</v>
      </c>
      <c r="G159" t="s">
        <v>517</v>
      </c>
      <c r="H159" s="164">
        <f t="shared" si="37"/>
        <v>0</v>
      </c>
      <c r="J159" s="92"/>
      <c r="K159" s="92"/>
      <c r="L159" s="92"/>
      <c r="M159" s="92"/>
      <c r="N159" s="92"/>
      <c r="O159" s="92"/>
      <c r="P159" s="92"/>
      <c r="Q159" s="92"/>
      <c r="R159" s="92"/>
      <c r="S159" s="92"/>
      <c r="T159" s="92"/>
      <c r="U159" s="92"/>
      <c r="V159" s="92"/>
      <c r="W159" s="92"/>
      <c r="X159" s="92"/>
      <c r="Y159" s="92"/>
      <c r="AQ159" s="3"/>
    </row>
    <row r="160" spans="3:43" x14ac:dyDescent="0.25">
      <c r="C160" s="60"/>
      <c r="F160" t="s">
        <v>196</v>
      </c>
      <c r="G160" t="s">
        <v>517</v>
      </c>
      <c r="H160" s="164">
        <f t="shared" si="37"/>
        <v>2971965.6412173193</v>
      </c>
      <c r="J160" s="92"/>
      <c r="K160" s="92"/>
      <c r="L160" s="92"/>
      <c r="M160" s="92"/>
      <c r="N160" s="92"/>
      <c r="O160" s="92"/>
      <c r="P160" s="92"/>
      <c r="Q160" s="92"/>
      <c r="R160" s="92"/>
      <c r="S160" s="92"/>
      <c r="T160" s="92"/>
      <c r="U160" s="92"/>
      <c r="V160" s="92"/>
      <c r="W160" s="92"/>
      <c r="X160" s="92"/>
      <c r="Y160" s="92"/>
      <c r="AQ160" s="3"/>
    </row>
    <row r="161" spans="3:43" x14ac:dyDescent="0.25">
      <c r="C161" s="60"/>
      <c r="F161" t="s">
        <v>197</v>
      </c>
      <c r="G161" t="s">
        <v>517</v>
      </c>
      <c r="H161" s="164">
        <f t="shared" si="37"/>
        <v>2319687.509152364</v>
      </c>
      <c r="J161" s="92"/>
      <c r="K161" s="92"/>
      <c r="L161" s="92"/>
      <c r="M161" s="92"/>
      <c r="N161" s="92"/>
      <c r="O161" s="92"/>
      <c r="P161" s="92"/>
      <c r="Q161" s="92"/>
      <c r="R161" s="92"/>
      <c r="S161" s="92"/>
      <c r="T161" s="92"/>
      <c r="U161" s="92"/>
      <c r="V161" s="92"/>
      <c r="W161" s="92"/>
      <c r="X161" s="92"/>
      <c r="Y161" s="92"/>
      <c r="AQ161" s="3"/>
    </row>
    <row r="162" spans="3:43" x14ac:dyDescent="0.25">
      <c r="C162" s="60"/>
      <c r="F162" s="91" t="s">
        <v>198</v>
      </c>
      <c r="G162" s="91" t="s">
        <v>517</v>
      </c>
      <c r="H162" s="174">
        <f t="shared" si="37"/>
        <v>2088443.4709595961</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518</v>
      </c>
      <c r="H166" s="92"/>
      <c r="J166" s="92"/>
      <c r="K166" s="92"/>
      <c r="L166" s="92"/>
      <c r="M166" s="92"/>
      <c r="N166" s="92"/>
      <c r="O166" s="92"/>
      <c r="P166" s="92"/>
      <c r="Q166" s="92"/>
      <c r="R166" s="92"/>
      <c r="S166" s="92"/>
      <c r="T166" s="92"/>
      <c r="U166" s="92"/>
      <c r="V166" s="92"/>
      <c r="W166" s="92"/>
      <c r="X166" s="92"/>
      <c r="Y166" s="92"/>
    </row>
    <row r="167" spans="3:43" x14ac:dyDescent="0.25">
      <c r="E167" s="71" t="s">
        <v>519</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190</v>
      </c>
      <c r="G168" s="90" t="s">
        <v>171</v>
      </c>
      <c r="H168" s="172"/>
      <c r="I168" s="90"/>
      <c r="J168" s="222">
        <f t="shared" ref="J168:Y168" si="38">J142 * (1 - J23)</f>
        <v>1410.3146423404564</v>
      </c>
      <c r="K168" s="222">
        <f t="shared" si="38"/>
        <v>0.96396287659270141</v>
      </c>
      <c r="L168" s="222">
        <f t="shared" si="38"/>
        <v>502.16999926746888</v>
      </c>
      <c r="M168" s="222">
        <f t="shared" si="38"/>
        <v>1.5060968261007357</v>
      </c>
      <c r="N168" s="222">
        <f t="shared" si="38"/>
        <v>523.46230630132902</v>
      </c>
      <c r="O168" s="222">
        <f t="shared" si="38"/>
        <v>84.647955477908937</v>
      </c>
      <c r="P168" s="222">
        <f t="shared" si="38"/>
        <v>637.4822270259283</v>
      </c>
      <c r="Q168" s="222">
        <f t="shared" si="38"/>
        <v>24.930158523969403</v>
      </c>
      <c r="R168" s="222">
        <f t="shared" si="38"/>
        <v>-30.392056526469826</v>
      </c>
      <c r="S168" s="222">
        <f t="shared" si="38"/>
        <v>-9.369726239420088E-3</v>
      </c>
      <c r="T168" s="222">
        <f t="shared" si="38"/>
        <v>-8.1052615685854583</v>
      </c>
      <c r="U168" s="222">
        <f t="shared" si="38"/>
        <v>0</v>
      </c>
      <c r="V168" s="222">
        <f t="shared" si="38"/>
        <v>-1.2117202811771173</v>
      </c>
      <c r="W168" s="222">
        <f t="shared" si="38"/>
        <v>0</v>
      </c>
      <c r="X168" s="222">
        <f t="shared" si="38"/>
        <v>-123.08479788899278</v>
      </c>
      <c r="Y168" s="222">
        <f t="shared" si="38"/>
        <v>0</v>
      </c>
      <c r="AQ168" s="3"/>
    </row>
    <row r="169" spans="3:43" x14ac:dyDescent="0.25">
      <c r="C169" s="60"/>
      <c r="F169" t="s">
        <v>191</v>
      </c>
      <c r="G169" t="s">
        <v>171</v>
      </c>
      <c r="H169" s="92"/>
      <c r="J169" s="101">
        <f t="shared" ref="J169:Y169" si="39">J143 * (1 - J24)</f>
        <v>1361.858666191273</v>
      </c>
      <c r="K169" s="101">
        <f t="shared" si="39"/>
        <v>1.1121614341694976</v>
      </c>
      <c r="L169" s="101">
        <f t="shared" si="39"/>
        <v>506.24709875047853</v>
      </c>
      <c r="M169" s="101">
        <f t="shared" si="39"/>
        <v>1.6262603712824957</v>
      </c>
      <c r="N169" s="101">
        <f t="shared" si="39"/>
        <v>527.27777744937737</v>
      </c>
      <c r="O169" s="101">
        <f t="shared" si="39"/>
        <v>85.198136976706706</v>
      </c>
      <c r="P169" s="101">
        <f t="shared" si="39"/>
        <v>638.05109168772447</v>
      </c>
      <c r="Q169" s="101">
        <f t="shared" si="39"/>
        <v>22.89426220111033</v>
      </c>
      <c r="R169" s="101">
        <f t="shared" si="39"/>
        <v>-31.618974369232486</v>
      </c>
      <c r="S169" s="101">
        <f t="shared" si="39"/>
        <v>-9.3828750514812192E-3</v>
      </c>
      <c r="T169" s="101">
        <f t="shared" si="39"/>
        <v>-8.2829859357651845</v>
      </c>
      <c r="U169" s="101">
        <f t="shared" si="39"/>
        <v>0</v>
      </c>
      <c r="V169" s="101">
        <f t="shared" si="39"/>
        <v>-1.2097361552011032</v>
      </c>
      <c r="W169" s="101">
        <f t="shared" si="39"/>
        <v>0</v>
      </c>
      <c r="X169" s="101">
        <f t="shared" si="39"/>
        <v>-119.95449316122549</v>
      </c>
      <c r="Y169" s="101">
        <f t="shared" si="39"/>
        <v>0</v>
      </c>
      <c r="AQ169" s="3"/>
    </row>
    <row r="170" spans="3:43" x14ac:dyDescent="0.25">
      <c r="C170" s="60"/>
      <c r="F170" t="s">
        <v>192</v>
      </c>
      <c r="G170" t="s">
        <v>171</v>
      </c>
      <c r="H170" s="92"/>
      <c r="J170" s="101">
        <f t="shared" ref="J170:Y170" si="40">J144 * (1 - J25)</f>
        <v>1357.8135414402097</v>
      </c>
      <c r="K170" s="101">
        <f t="shared" si="40"/>
        <v>1.1088579843650337</v>
      </c>
      <c r="L170" s="101">
        <f t="shared" si="40"/>
        <v>504.74339449676421</v>
      </c>
      <c r="M170" s="101">
        <f t="shared" si="40"/>
        <v>1.6214298949321513</v>
      </c>
      <c r="N170" s="101">
        <f t="shared" si="40"/>
        <v>525.71160583319102</v>
      </c>
      <c r="O170" s="101">
        <f t="shared" si="40"/>
        <v>84.945073203508571</v>
      </c>
      <c r="P170" s="101">
        <f t="shared" si="40"/>
        <v>636.15589042528552</v>
      </c>
      <c r="Q170" s="101">
        <f t="shared" si="40"/>
        <v>22.826259442097129</v>
      </c>
      <c r="R170" s="101">
        <f t="shared" si="40"/>
        <v>-31.525056623581293</v>
      </c>
      <c r="S170" s="101">
        <f t="shared" si="40"/>
        <v>-9.3550051255857306E-3</v>
      </c>
      <c r="T170" s="101">
        <f t="shared" si="40"/>
        <v>-8.2583830072431077</v>
      </c>
      <c r="U170" s="101">
        <f t="shared" si="40"/>
        <v>0</v>
      </c>
      <c r="V170" s="101">
        <f t="shared" si="40"/>
        <v>-1.2061428794925853</v>
      </c>
      <c r="W170" s="101">
        <f t="shared" si="40"/>
        <v>0</v>
      </c>
      <c r="X170" s="101">
        <f t="shared" si="40"/>
        <v>-119.59819268648916</v>
      </c>
      <c r="Y170" s="101">
        <f t="shared" si="40"/>
        <v>0</v>
      </c>
      <c r="AQ170" s="3"/>
    </row>
    <row r="171" spans="3:43" x14ac:dyDescent="0.25">
      <c r="C171" s="60"/>
      <c r="F171" t="s">
        <v>193</v>
      </c>
      <c r="G171" t="s">
        <v>171</v>
      </c>
      <c r="H171" s="92"/>
      <c r="J171" s="101">
        <f t="shared" ref="J171:Y171" si="41">J145 * (1 - J26)</f>
        <v>1306.8480631159591</v>
      </c>
      <c r="K171" s="101">
        <f t="shared" si="41"/>
        <v>1.2764987939527783</v>
      </c>
      <c r="L171" s="101">
        <f t="shared" si="41"/>
        <v>497.68180735634132</v>
      </c>
      <c r="M171" s="101">
        <f t="shared" si="41"/>
        <v>1.7937335393010954</v>
      </c>
      <c r="N171" s="101">
        <f t="shared" si="41"/>
        <v>517.29824536112289</v>
      </c>
      <c r="O171" s="101">
        <f t="shared" si="41"/>
        <v>83.837307076006084</v>
      </c>
      <c r="P171" s="101">
        <f t="shared" si="41"/>
        <v>503.55374887363496</v>
      </c>
      <c r="Q171" s="101">
        <f t="shared" si="41"/>
        <v>21.250388212415192</v>
      </c>
      <c r="R171" s="101">
        <f t="shared" si="41"/>
        <v>-31.097686019274008</v>
      </c>
      <c r="S171" s="101">
        <f t="shared" si="41"/>
        <v>-9.0181780541032028E-3</v>
      </c>
      <c r="T171" s="101">
        <f t="shared" si="41"/>
        <v>-8.2133726825488367</v>
      </c>
      <c r="U171" s="101">
        <f t="shared" si="41"/>
        <v>0</v>
      </c>
      <c r="V171" s="101">
        <f t="shared" si="41"/>
        <v>-1.2012969785965075</v>
      </c>
      <c r="W171" s="101">
        <f t="shared" si="41"/>
        <v>0</v>
      </c>
      <c r="X171" s="101">
        <f t="shared" si="41"/>
        <v>-115.18994230116452</v>
      </c>
      <c r="Y171" s="101">
        <f t="shared" si="41"/>
        <v>0</v>
      </c>
      <c r="AQ171" s="3"/>
    </row>
    <row r="172" spans="3:43" x14ac:dyDescent="0.25">
      <c r="C172" s="60"/>
      <c r="F172" t="s">
        <v>194</v>
      </c>
      <c r="G172" t="s">
        <v>171</v>
      </c>
      <c r="H172" s="92"/>
      <c r="J172" s="101">
        <f t="shared" ref="J172:Y172" si="42">J146 * (1 - J27)</f>
        <v>1299.1531775627739</v>
      </c>
      <c r="K172" s="101">
        <f t="shared" si="42"/>
        <v>1.2689826087086993</v>
      </c>
      <c r="L172" s="101">
        <f t="shared" si="42"/>
        <v>494.75139435914997</v>
      </c>
      <c r="M172" s="101">
        <f t="shared" si="42"/>
        <v>1.7831718109048182</v>
      </c>
      <c r="N172" s="101">
        <f t="shared" si="42"/>
        <v>514.25232831287303</v>
      </c>
      <c r="O172" s="101">
        <f t="shared" si="42"/>
        <v>83.343662480857859</v>
      </c>
      <c r="P172" s="101">
        <f t="shared" si="42"/>
        <v>0</v>
      </c>
      <c r="Q172" s="101">
        <f t="shared" si="42"/>
        <v>21.125263257288115</v>
      </c>
      <c r="R172" s="101">
        <f t="shared" si="42"/>
        <v>-30.914578937708114</v>
      </c>
      <c r="S172" s="101">
        <f t="shared" si="42"/>
        <v>-8.9650778889171188E-3</v>
      </c>
      <c r="T172" s="101">
        <f t="shared" si="42"/>
        <v>-8.1650113124847614</v>
      </c>
      <c r="U172" s="101">
        <f t="shared" si="42"/>
        <v>0</v>
      </c>
      <c r="V172" s="101">
        <f t="shared" si="42"/>
        <v>-1.1942235910875976</v>
      </c>
      <c r="W172" s="101">
        <f t="shared" si="42"/>
        <v>0</v>
      </c>
      <c r="X172" s="101">
        <f t="shared" si="42"/>
        <v>-114.51168945150113</v>
      </c>
      <c r="Y172" s="101">
        <f t="shared" si="42"/>
        <v>0</v>
      </c>
      <c r="AQ172" s="3"/>
    </row>
    <row r="173" spans="3:43" x14ac:dyDescent="0.25">
      <c r="C173" s="60"/>
      <c r="F173" t="s">
        <v>195</v>
      </c>
      <c r="G173" t="s">
        <v>171</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25">
      <c r="C174" s="60"/>
      <c r="F174" t="s">
        <v>196</v>
      </c>
      <c r="G174" t="s">
        <v>171</v>
      </c>
      <c r="H174" s="92"/>
      <c r="J174" s="101">
        <f t="shared" ref="J174:Y174" si="44">J148 * (1 - J29)</f>
        <v>1286.5277822511823</v>
      </c>
      <c r="K174" s="101">
        <f t="shared" si="44"/>
        <v>1.2566504162042416</v>
      </c>
      <c r="L174" s="101">
        <f t="shared" si="44"/>
        <v>489.9433147249502</v>
      </c>
      <c r="M174" s="101">
        <f t="shared" si="44"/>
        <v>1.7658426387871813</v>
      </c>
      <c r="N174" s="101">
        <f t="shared" si="44"/>
        <v>407.40378818333727</v>
      </c>
      <c r="O174" s="101">
        <f t="shared" si="44"/>
        <v>0</v>
      </c>
      <c r="P174" s="101">
        <f t="shared" si="44"/>
        <v>0</v>
      </c>
      <c r="Q174" s="101">
        <f t="shared" si="44"/>
        <v>20.919964294632251</v>
      </c>
      <c r="R174" s="101">
        <f t="shared" si="44"/>
        <v>-30.614145711880045</v>
      </c>
      <c r="S174" s="101">
        <f t="shared" si="44"/>
        <v>-8.8779537111822581E-3</v>
      </c>
      <c r="T174" s="101">
        <f t="shared" si="44"/>
        <v>-8.0856623201379705</v>
      </c>
      <c r="U174" s="101">
        <f t="shared" si="44"/>
        <v>0</v>
      </c>
      <c r="V174" s="101">
        <f t="shared" si="44"/>
        <v>-1.1826179196484568</v>
      </c>
      <c r="W174" s="101">
        <f t="shared" si="44"/>
        <v>0</v>
      </c>
      <c r="X174" s="101">
        <f t="shared" si="44"/>
        <v>0</v>
      </c>
      <c r="Y174" s="101">
        <f t="shared" si="44"/>
        <v>0</v>
      </c>
      <c r="AQ174" s="3"/>
    </row>
    <row r="175" spans="3:43" x14ac:dyDescent="0.25">
      <c r="C175" s="60"/>
      <c r="F175" t="s">
        <v>197</v>
      </c>
      <c r="G175" t="s">
        <v>171</v>
      </c>
      <c r="H175" s="92"/>
      <c r="J175" s="101">
        <f t="shared" ref="J175:Y175" si="45">J149 * (1 - J30)</f>
        <v>1268.0431876786079</v>
      </c>
      <c r="K175" s="101">
        <f t="shared" si="45"/>
        <v>1.2385950941323414</v>
      </c>
      <c r="L175" s="101">
        <f t="shared" si="45"/>
        <v>482.9038992834997</v>
      </c>
      <c r="M175" s="101">
        <f t="shared" si="45"/>
        <v>1.740471336505756</v>
      </c>
      <c r="N175" s="101">
        <f t="shared" si="45"/>
        <v>0</v>
      </c>
      <c r="O175" s="101">
        <f t="shared" si="45"/>
        <v>0</v>
      </c>
      <c r="P175" s="101">
        <f t="shared" si="45"/>
        <v>0</v>
      </c>
      <c r="Q175" s="101">
        <f t="shared" si="45"/>
        <v>20.619390094996731</v>
      </c>
      <c r="R175" s="101">
        <f t="shared" si="45"/>
        <v>-30.174287296479466</v>
      </c>
      <c r="S175" s="101">
        <f t="shared" si="45"/>
        <v>0</v>
      </c>
      <c r="T175" s="101">
        <f t="shared" si="45"/>
        <v>-7.9694890109405847</v>
      </c>
      <c r="U175" s="101">
        <f t="shared" si="45"/>
        <v>0</v>
      </c>
      <c r="V175" s="101">
        <f t="shared" si="45"/>
        <v>0</v>
      </c>
      <c r="W175" s="101">
        <f t="shared" si="45"/>
        <v>0</v>
      </c>
      <c r="X175" s="101">
        <f t="shared" si="45"/>
        <v>0</v>
      </c>
      <c r="Y175" s="101">
        <f t="shared" si="45"/>
        <v>0</v>
      </c>
      <c r="AQ175" s="3"/>
    </row>
    <row r="176" spans="3:43" x14ac:dyDescent="0.25">
      <c r="C176" s="60"/>
      <c r="F176" s="91" t="s">
        <v>198</v>
      </c>
      <c r="G176" s="91" t="s">
        <v>171</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18.916206730383646</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99</v>
      </c>
      <c r="G177" s="151" t="s">
        <v>171</v>
      </c>
      <c r="H177" s="228"/>
      <c r="I177" s="151"/>
      <c r="J177" s="227">
        <f t="shared" ref="J177:Y177" si="47">SUM(J168:J176)</f>
        <v>9290.5590605804609</v>
      </c>
      <c r="K177" s="227">
        <f t="shared" si="47"/>
        <v>8.2257092081252932</v>
      </c>
      <c r="L177" s="227">
        <f t="shared" si="47"/>
        <v>3478.4409082386528</v>
      </c>
      <c r="M177" s="227">
        <f t="shared" si="47"/>
        <v>11.837006417814234</v>
      </c>
      <c r="N177" s="227">
        <f t="shared" si="47"/>
        <v>3015.4060514412308</v>
      </c>
      <c r="O177" s="227">
        <f t="shared" si="47"/>
        <v>421.97213521498816</v>
      </c>
      <c r="P177" s="227">
        <f t="shared" si="47"/>
        <v>2415.2429580125731</v>
      </c>
      <c r="Q177" s="227">
        <f t="shared" si="47"/>
        <v>173.48189275689276</v>
      </c>
      <c r="R177" s="227">
        <f t="shared" si="47"/>
        <v>-216.33678548462524</v>
      </c>
      <c r="S177" s="227">
        <f t="shared" si="47"/>
        <v>-5.4968816070689624E-2</v>
      </c>
      <c r="T177" s="227">
        <f t="shared" si="47"/>
        <v>-57.080165837705913</v>
      </c>
      <c r="U177" s="227">
        <f t="shared" si="47"/>
        <v>0</v>
      </c>
      <c r="V177" s="227">
        <f t="shared" si="47"/>
        <v>-7.2057378052033672</v>
      </c>
      <c r="W177" s="227">
        <f t="shared" si="47"/>
        <v>0</v>
      </c>
      <c r="X177" s="227">
        <f t="shared" si="47"/>
        <v>-592.33911548937306</v>
      </c>
      <c r="Y177" s="227">
        <f t="shared" si="47"/>
        <v>0</v>
      </c>
      <c r="AQ177" s="3"/>
    </row>
    <row r="178" spans="2:43" x14ac:dyDescent="0.25">
      <c r="H178" s="229"/>
    </row>
    <row r="179" spans="2:43" x14ac:dyDescent="0.25">
      <c r="B179" s="70" t="s">
        <v>520</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521</v>
      </c>
      <c r="J181" s="92"/>
      <c r="K181" s="92"/>
      <c r="L181" s="92"/>
      <c r="M181" s="92"/>
      <c r="N181" s="92"/>
      <c r="O181" s="92"/>
      <c r="P181" s="92"/>
      <c r="Q181" s="92"/>
      <c r="R181" s="92"/>
      <c r="S181" s="92"/>
      <c r="T181" s="92"/>
      <c r="U181" s="92"/>
      <c r="V181" s="92"/>
      <c r="W181" s="92"/>
      <c r="X181" s="92"/>
      <c r="Y181" s="92"/>
      <c r="AQ181" s="3"/>
    </row>
    <row r="182" spans="2:43" x14ac:dyDescent="0.25">
      <c r="C182" s="71" t="s">
        <v>522</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523</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249</v>
      </c>
      <c r="G188" t="s">
        <v>250</v>
      </c>
      <c r="J188" s="163">
        <f>'Volume adjustments'!J286</f>
        <v>0</v>
      </c>
      <c r="K188" s="163">
        <f>'Volume adjustments'!K286</f>
        <v>0</v>
      </c>
      <c r="L188" s="163">
        <f>'Volume adjustments'!L286</f>
        <v>0</v>
      </c>
      <c r="M188" s="163">
        <f>'Volume adjustments'!M286</f>
        <v>0</v>
      </c>
      <c r="N188" s="163">
        <f>'Volume adjustments'!N286</f>
        <v>1833645.7006582299</v>
      </c>
      <c r="O188" s="163">
        <f>'Volume adjustments'!O286</f>
        <v>304650.61469590769</v>
      </c>
      <c r="P188" s="163">
        <f>'Volume adjustments'!P286</f>
        <v>2154671.4769829107</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251</v>
      </c>
      <c r="G189" t="s">
        <v>250</v>
      </c>
      <c r="J189" s="163">
        <f>'Volume adjustments'!J297</f>
        <v>0</v>
      </c>
      <c r="K189" s="163">
        <f>'Volume adjustments'!K297</f>
        <v>0</v>
      </c>
      <c r="L189" s="163">
        <f>'Volume adjustments'!L297</f>
        <v>0</v>
      </c>
      <c r="M189" s="163">
        <f>'Volume adjustments'!M297</f>
        <v>0</v>
      </c>
      <c r="N189" s="163">
        <f>'Volume adjustments'!N297</f>
        <v>35651.690093892161</v>
      </c>
      <c r="O189" s="163">
        <f>'Volume adjustments'!O297</f>
        <v>1604.6569862669799</v>
      </c>
      <c r="P189" s="163">
        <f>'Volume adjustments'!P297</f>
        <v>24566.181785961991</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524</v>
      </c>
      <c r="G191" t="s">
        <v>250</v>
      </c>
      <c r="J191" s="101">
        <f t="shared" ref="J191:Y191" si="48">SUM(J188:J189)</f>
        <v>0</v>
      </c>
      <c r="K191" s="101">
        <f t="shared" si="48"/>
        <v>0</v>
      </c>
      <c r="L191" s="101">
        <f t="shared" si="48"/>
        <v>0</v>
      </c>
      <c r="M191" s="101">
        <f t="shared" si="48"/>
        <v>0</v>
      </c>
      <c r="N191" s="101">
        <f t="shared" si="48"/>
        <v>1869297.390752122</v>
      </c>
      <c r="O191" s="101">
        <f t="shared" si="48"/>
        <v>306255.27168217464</v>
      </c>
      <c r="P191" s="101">
        <f t="shared" si="48"/>
        <v>2179237.6587688727</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525</v>
      </c>
      <c r="G192" t="s">
        <v>171</v>
      </c>
      <c r="J192" s="101">
        <f t="shared" ref="J192:Y192" si="49">J191 * PowerFactor / thousand</f>
        <v>0</v>
      </c>
      <c r="K192" s="101">
        <f t="shared" si="49"/>
        <v>0</v>
      </c>
      <c r="L192" s="101">
        <f t="shared" si="49"/>
        <v>0</v>
      </c>
      <c r="M192" s="101">
        <f t="shared" si="49"/>
        <v>0</v>
      </c>
      <c r="N192" s="101">
        <f t="shared" si="49"/>
        <v>1775.832521214516</v>
      </c>
      <c r="O192" s="101">
        <f t="shared" si="49"/>
        <v>290.9425080980659</v>
      </c>
      <c r="P192" s="101">
        <f t="shared" si="49"/>
        <v>2070.2757758304292</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526</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220</v>
      </c>
      <c r="G198" t="s">
        <v>208</v>
      </c>
      <c r="H198" s="229"/>
      <c r="I198" t="s">
        <v>153</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527</v>
      </c>
    </row>
    <row r="199" spans="3:43" x14ac:dyDescent="0.25">
      <c r="D199" s="60"/>
      <c r="H199" s="231"/>
      <c r="J199" s="92"/>
      <c r="L199" s="92"/>
      <c r="AQ199" s="3"/>
    </row>
    <row r="200" spans="3:43" x14ac:dyDescent="0.25">
      <c r="C200" s="60"/>
      <c r="E200" t="s">
        <v>528</v>
      </c>
      <c r="G200" t="s">
        <v>171</v>
      </c>
      <c r="H200" s="92"/>
      <c r="I200" t="s">
        <v>153</v>
      </c>
      <c r="J200" s="164">
        <f t="shared" ref="J200:Q200" si="50">IF(J61 = 0, 0, J59 / (hours_in_year * J61))</f>
        <v>1647.2308933640732</v>
      </c>
      <c r="K200" s="164">
        <f t="shared" si="50"/>
        <v>5.1786626234011859</v>
      </c>
      <c r="L200" s="164">
        <f t="shared" si="50"/>
        <v>536.85216728271973</v>
      </c>
      <c r="M200" s="164">
        <f t="shared" si="50"/>
        <v>4.2476285876799134</v>
      </c>
      <c r="N200" s="164">
        <f t="shared" si="50"/>
        <v>556.54959275686895</v>
      </c>
      <c r="O200" s="164">
        <f t="shared" si="50"/>
        <v>98.192352989620034</v>
      </c>
      <c r="P200" s="164">
        <f t="shared" si="50"/>
        <v>715.11841375994163</v>
      </c>
      <c r="Q200" s="164">
        <f t="shared" si="50"/>
        <v>31.183348124899904</v>
      </c>
      <c r="R200" s="135"/>
      <c r="S200" s="135"/>
      <c r="T200" s="135"/>
      <c r="U200" s="135"/>
      <c r="V200" s="135"/>
      <c r="W200" s="135"/>
      <c r="X200" s="135"/>
      <c r="Y200" s="135"/>
      <c r="AA200" t="s">
        <v>527</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529</v>
      </c>
      <c r="G202" t="s">
        <v>171</v>
      </c>
      <c r="H202" s="92"/>
      <c r="I202" t="s">
        <v>153</v>
      </c>
      <c r="J202" s="101">
        <f t="shared" ref="J202:Y202" si="51">J192 * J42 / $H53</f>
        <v>0</v>
      </c>
      <c r="K202" s="101">
        <f t="shared" si="51"/>
        <v>0</v>
      </c>
      <c r="L202" s="101">
        <f t="shared" si="51"/>
        <v>0</v>
      </c>
      <c r="M202" s="101">
        <f t="shared" si="51"/>
        <v>0</v>
      </c>
      <c r="N202" s="101">
        <f t="shared" si="51"/>
        <v>1775.832521214516</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527</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530</v>
      </c>
      <c r="G204" t="s">
        <v>171</v>
      </c>
      <c r="H204" s="92"/>
      <c r="J204" s="101">
        <f t="shared" ref="J204:Y204" si="52">IF(J198, J$200 * J42 / $H53, 0)</f>
        <v>1647.2308933640732</v>
      </c>
      <c r="K204" s="101">
        <f t="shared" si="52"/>
        <v>0</v>
      </c>
      <c r="L204" s="101">
        <f t="shared" si="52"/>
        <v>536.85216728271973</v>
      </c>
      <c r="M204" s="101">
        <f t="shared" si="52"/>
        <v>0</v>
      </c>
      <c r="N204" s="101">
        <f t="shared" si="52"/>
        <v>556.54959275686895</v>
      </c>
      <c r="O204" s="101">
        <f t="shared" si="52"/>
        <v>0</v>
      </c>
      <c r="P204" s="101">
        <f t="shared" si="52"/>
        <v>0</v>
      </c>
      <c r="Q204" s="101">
        <f t="shared" si="52"/>
        <v>31.183348124899904</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531</v>
      </c>
      <c r="G206" t="s">
        <v>171</v>
      </c>
      <c r="H206" s="92"/>
      <c r="J206" s="101">
        <f t="shared" ref="J206:Y206" si="53">IF(J202 = 0, J204, J202)</f>
        <v>1647.2308933640732</v>
      </c>
      <c r="K206" s="101">
        <f t="shared" si="53"/>
        <v>0</v>
      </c>
      <c r="L206" s="101">
        <f t="shared" si="53"/>
        <v>536.85216728271973</v>
      </c>
      <c r="M206" s="101">
        <f t="shared" si="53"/>
        <v>0</v>
      </c>
      <c r="N206" s="101">
        <f t="shared" si="53"/>
        <v>1775.832521214516</v>
      </c>
      <c r="O206" s="101">
        <f t="shared" si="53"/>
        <v>0</v>
      </c>
      <c r="P206" s="101">
        <f t="shared" si="53"/>
        <v>0</v>
      </c>
      <c r="Q206" s="101">
        <f t="shared" si="53"/>
        <v>31.183348124899904</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532</v>
      </c>
      <c r="G208" t="s">
        <v>171</v>
      </c>
      <c r="H208" s="92"/>
      <c r="I208" t="s">
        <v>153</v>
      </c>
      <c r="J208" s="101">
        <f t="shared" ref="J208:Y208" si="54">J150</f>
        <v>1163.3014832482131</v>
      </c>
      <c r="K208" s="101">
        <f t="shared" si="54"/>
        <v>1.1362858332813397</v>
      </c>
      <c r="L208" s="101">
        <f t="shared" si="54"/>
        <v>443.01552798943214</v>
      </c>
      <c r="M208" s="101">
        <f t="shared" si="54"/>
        <v>1.596706568815474</v>
      </c>
      <c r="N208" s="101">
        <f t="shared" si="54"/>
        <v>460.47726058947057</v>
      </c>
      <c r="O208" s="101">
        <f t="shared" si="54"/>
        <v>0</v>
      </c>
      <c r="P208" s="101">
        <f t="shared" si="54"/>
        <v>0</v>
      </c>
      <c r="Q208" s="101">
        <f t="shared" si="54"/>
        <v>18.916206730383646</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527</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533</v>
      </c>
      <c r="G210" t="s">
        <v>166</v>
      </c>
      <c r="H210" s="232">
        <f>SUM(J206:Y206) / SUM(J208:Y208) - 1</f>
        <v>0.91103996133176746</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388</v>
      </c>
      <c r="J212" s="92"/>
      <c r="L212" s="92"/>
      <c r="AA212" t="s">
        <v>527</v>
      </c>
      <c r="AQ212" s="3"/>
    </row>
    <row r="213" spans="5:43" x14ac:dyDescent="0.25">
      <c r="E213" s="71" t="s">
        <v>534</v>
      </c>
      <c r="F213" s="71"/>
      <c r="J213" s="92"/>
      <c r="L213" s="92"/>
      <c r="AQ213" s="3"/>
    </row>
    <row r="214" spans="5:43" x14ac:dyDescent="0.25">
      <c r="E214" s="60"/>
      <c r="F214" s="90" t="s">
        <v>190</v>
      </c>
      <c r="G214" s="90" t="s">
        <v>166</v>
      </c>
      <c r="H214" s="149">
        <f t="array" ref="H214:H222">TRANSPOSE('Load &amp; loss characteristics'!K23:S23)</f>
        <v>0.19143992204560423</v>
      </c>
      <c r="J214" s="92"/>
      <c r="K214" s="233"/>
      <c r="L214" s="92"/>
      <c r="M214" s="233"/>
      <c r="AQ214" s="3"/>
    </row>
    <row r="215" spans="5:43" x14ac:dyDescent="0.25">
      <c r="E215" s="60"/>
      <c r="F215" t="s">
        <v>191</v>
      </c>
      <c r="G215" t="s">
        <v>166</v>
      </c>
      <c r="H215" s="150">
        <v>0.53947503375864536</v>
      </c>
      <c r="J215" s="92"/>
      <c r="L215" s="92"/>
      <c r="AQ215" s="3"/>
    </row>
    <row r="216" spans="5:43" x14ac:dyDescent="0.25">
      <c r="E216" s="60"/>
      <c r="F216" t="s">
        <v>192</v>
      </c>
      <c r="G216" t="s">
        <v>166</v>
      </c>
      <c r="H216" s="150">
        <v>0.53947503375864536</v>
      </c>
      <c r="J216" s="92"/>
      <c r="L216" s="92"/>
      <c r="AQ216" s="3"/>
    </row>
    <row r="217" spans="5:43" x14ac:dyDescent="0.25">
      <c r="E217" s="60"/>
      <c r="F217" t="s">
        <v>193</v>
      </c>
      <c r="G217" t="s">
        <v>166</v>
      </c>
      <c r="H217" s="150">
        <v>1.0832536933546688</v>
      </c>
      <c r="J217" s="92"/>
      <c r="L217" s="92"/>
      <c r="AQ217" s="3"/>
    </row>
    <row r="218" spans="5:43" x14ac:dyDescent="0.25">
      <c r="E218" s="60"/>
      <c r="F218" t="s">
        <v>194</v>
      </c>
      <c r="G218" t="s">
        <v>166</v>
      </c>
      <c r="H218" s="150">
        <v>1.0832536933546688</v>
      </c>
      <c r="J218" s="92"/>
      <c r="L218" s="92"/>
      <c r="AQ218" s="3"/>
    </row>
    <row r="219" spans="5:43" x14ac:dyDescent="0.25">
      <c r="E219" s="60"/>
      <c r="F219" t="s">
        <v>195</v>
      </c>
      <c r="G219" t="s">
        <v>166</v>
      </c>
      <c r="H219" s="150">
        <v>0.53947503375864536</v>
      </c>
      <c r="J219" s="92"/>
      <c r="L219" s="92"/>
      <c r="AQ219" s="3"/>
    </row>
    <row r="220" spans="5:43" x14ac:dyDescent="0.25">
      <c r="E220" s="60"/>
      <c r="F220" t="s">
        <v>196</v>
      </c>
      <c r="G220" t="s">
        <v>166</v>
      </c>
      <c r="H220" s="150">
        <v>1.7915599490952565</v>
      </c>
      <c r="J220" s="92"/>
      <c r="L220" s="92"/>
      <c r="AQ220" s="3"/>
    </row>
    <row r="221" spans="5:43" x14ac:dyDescent="0.25">
      <c r="E221" s="60"/>
      <c r="F221" t="s">
        <v>197</v>
      </c>
      <c r="G221" t="s">
        <v>166</v>
      </c>
      <c r="H221" s="150">
        <v>1.7915599490952565</v>
      </c>
      <c r="J221" s="92"/>
      <c r="L221" s="92"/>
      <c r="AQ221" s="3"/>
    </row>
    <row r="222" spans="5:43" x14ac:dyDescent="0.25">
      <c r="E222" s="60"/>
      <c r="F222" s="91" t="s">
        <v>198</v>
      </c>
      <c r="G222" s="91" t="s">
        <v>166</v>
      </c>
      <c r="H222" s="184">
        <v>1.7915599490952565</v>
      </c>
      <c r="J222" s="92"/>
      <c r="L222" s="92"/>
      <c r="AQ222" s="3"/>
    </row>
    <row r="223" spans="5:43" x14ac:dyDescent="0.25">
      <c r="H223" s="229"/>
    </row>
    <row r="224" spans="5:43" x14ac:dyDescent="0.25">
      <c r="E224" s="60" t="s">
        <v>535</v>
      </c>
      <c r="J224" s="92"/>
      <c r="L224" s="92"/>
      <c r="AA224" t="s">
        <v>527</v>
      </c>
      <c r="AQ224" s="3"/>
    </row>
    <row r="225" spans="3:43" x14ac:dyDescent="0.25">
      <c r="E225" s="71" t="s">
        <v>536</v>
      </c>
      <c r="F225" s="71"/>
      <c r="J225" s="92"/>
      <c r="L225" s="92"/>
      <c r="AQ225" s="3"/>
    </row>
    <row r="226" spans="3:43" x14ac:dyDescent="0.25">
      <c r="C226" s="60"/>
      <c r="F226" s="90" t="s">
        <v>190</v>
      </c>
      <c r="G226" s="90" t="s">
        <v>166</v>
      </c>
      <c r="H226" s="234">
        <f t="shared" ref="H226:H233" si="55">IF(F226 = $F$234, $H$210, H214)</f>
        <v>0.19143992204560423</v>
      </c>
      <c r="J226" s="92"/>
      <c r="L226" s="92"/>
      <c r="AQ226" s="3"/>
    </row>
    <row r="227" spans="3:43" x14ac:dyDescent="0.25">
      <c r="C227" s="60"/>
      <c r="F227" t="s">
        <v>191</v>
      </c>
      <c r="G227" t="s">
        <v>166</v>
      </c>
      <c r="H227" s="154">
        <f t="shared" si="55"/>
        <v>0.53947503375864536</v>
      </c>
      <c r="J227" s="92"/>
      <c r="L227" s="92"/>
      <c r="AQ227" s="3"/>
    </row>
    <row r="228" spans="3:43" x14ac:dyDescent="0.25">
      <c r="C228" s="60"/>
      <c r="F228" t="s">
        <v>192</v>
      </c>
      <c r="G228" t="s">
        <v>166</v>
      </c>
      <c r="H228" s="154">
        <f t="shared" si="55"/>
        <v>0.53947503375864536</v>
      </c>
      <c r="J228" s="92"/>
      <c r="L228" s="92"/>
      <c r="AQ228" s="3"/>
    </row>
    <row r="229" spans="3:43" x14ac:dyDescent="0.25">
      <c r="C229" s="60"/>
      <c r="F229" t="s">
        <v>193</v>
      </c>
      <c r="G229" t="s">
        <v>166</v>
      </c>
      <c r="H229" s="154">
        <f t="shared" si="55"/>
        <v>1.0832536933546688</v>
      </c>
      <c r="J229" s="92"/>
      <c r="L229" s="92"/>
      <c r="AQ229" s="3"/>
    </row>
    <row r="230" spans="3:43" x14ac:dyDescent="0.25">
      <c r="C230" s="60"/>
      <c r="F230" t="s">
        <v>194</v>
      </c>
      <c r="G230" t="s">
        <v>166</v>
      </c>
      <c r="H230" s="154">
        <f t="shared" si="55"/>
        <v>1.0832536933546688</v>
      </c>
      <c r="J230" s="92"/>
      <c r="L230" s="92"/>
      <c r="AQ230" s="3"/>
    </row>
    <row r="231" spans="3:43" x14ac:dyDescent="0.25">
      <c r="C231" s="60"/>
      <c r="F231" t="s">
        <v>195</v>
      </c>
      <c r="G231" t="s">
        <v>166</v>
      </c>
      <c r="H231" s="154">
        <f t="shared" si="55"/>
        <v>0.53947503375864536</v>
      </c>
      <c r="J231" s="92"/>
      <c r="L231" s="92"/>
      <c r="AQ231" s="3"/>
    </row>
    <row r="232" spans="3:43" x14ac:dyDescent="0.25">
      <c r="C232" s="60"/>
      <c r="F232" t="s">
        <v>196</v>
      </c>
      <c r="G232" t="s">
        <v>166</v>
      </c>
      <c r="H232" s="154">
        <f t="shared" si="55"/>
        <v>1.7915599490952565</v>
      </c>
      <c r="J232" s="92"/>
      <c r="L232" s="92"/>
      <c r="AQ232" s="3"/>
    </row>
    <row r="233" spans="3:43" x14ac:dyDescent="0.25">
      <c r="C233" s="60"/>
      <c r="F233" t="s">
        <v>197</v>
      </c>
      <c r="G233" t="s">
        <v>166</v>
      </c>
      <c r="H233" s="154">
        <f t="shared" si="55"/>
        <v>1.7915599490952565</v>
      </c>
      <c r="J233" s="92"/>
      <c r="L233" s="92"/>
      <c r="AQ233" s="3"/>
    </row>
    <row r="234" spans="3:43" x14ac:dyDescent="0.25">
      <c r="C234" s="60"/>
      <c r="F234" s="91" t="s">
        <v>198</v>
      </c>
      <c r="G234" s="91" t="s">
        <v>166</v>
      </c>
      <c r="H234" s="186">
        <f>IF(F234 = $F$234, $H$210, H222)</f>
        <v>0.91103996133176746</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537</v>
      </c>
      <c r="F238" s="71"/>
      <c r="H238" s="235"/>
    </row>
    <row r="239" spans="3:43" x14ac:dyDescent="0.25">
      <c r="C239" s="60"/>
      <c r="F239" s="90" t="s">
        <v>190</v>
      </c>
      <c r="G239" s="90" t="s">
        <v>171</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191</v>
      </c>
      <c r="G240" t="s">
        <v>171</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192</v>
      </c>
      <c r="G241" t="s">
        <v>171</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193</v>
      </c>
      <c r="G242" t="s">
        <v>171</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201.89332713302014</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194</v>
      </c>
      <c r="G243" t="s">
        <v>171</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1003.5227693118222</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195</v>
      </c>
      <c r="G244" t="s">
        <v>171</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196</v>
      </c>
      <c r="G245" t="s">
        <v>171</v>
      </c>
      <c r="H245" s="92"/>
      <c r="J245" s="101">
        <f t="shared" ref="J245:Y245" si="62">J$192 * J29 * J40 / (1 + $H232) / $H51</f>
        <v>0</v>
      </c>
      <c r="K245" s="101">
        <f t="shared" si="62"/>
        <v>0</v>
      </c>
      <c r="L245" s="101">
        <f t="shared" si="62"/>
        <v>0</v>
      </c>
      <c r="M245" s="101">
        <f t="shared" si="62"/>
        <v>0</v>
      </c>
      <c r="N245" s="101">
        <f t="shared" si="62"/>
        <v>140.70577714279787</v>
      </c>
      <c r="O245" s="101">
        <f t="shared" si="62"/>
        <v>105.74146997153017</v>
      </c>
      <c r="P245" s="101">
        <f t="shared" si="62"/>
        <v>741.6196727214849</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197</v>
      </c>
      <c r="G246" t="s">
        <v>171</v>
      </c>
      <c r="H246" s="92"/>
      <c r="J246" s="101">
        <f t="shared" ref="J246:Y246" si="63">J$192 * J30 * J41 / (1 + $H233) / $H52</f>
        <v>0</v>
      </c>
      <c r="K246" s="101">
        <f t="shared" si="63"/>
        <v>0</v>
      </c>
      <c r="L246" s="101">
        <f t="shared" si="63"/>
        <v>0</v>
      </c>
      <c r="M246" s="101">
        <f t="shared" si="63"/>
        <v>0</v>
      </c>
      <c r="N246" s="101">
        <f t="shared" si="63"/>
        <v>693.4207120686732</v>
      </c>
      <c r="O246" s="101">
        <f t="shared" si="63"/>
        <v>104.22219597768633</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198</v>
      </c>
      <c r="G247" s="91" t="s">
        <v>171</v>
      </c>
      <c r="H247" s="173"/>
      <c r="I247" s="91"/>
      <c r="J247" s="193">
        <f t="shared" ref="J247:Y247" si="64">J$192 * J31 * J42 / (1 + $H234) / $H53</f>
        <v>0</v>
      </c>
      <c r="K247" s="193">
        <f t="shared" si="64"/>
        <v>0</v>
      </c>
      <c r="L247" s="193">
        <f t="shared" si="64"/>
        <v>0</v>
      </c>
      <c r="M247" s="193">
        <f t="shared" si="64"/>
        <v>0</v>
      </c>
      <c r="N247" s="193">
        <f t="shared" si="64"/>
        <v>929.24928685267889</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538</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190</v>
      </c>
      <c r="G252" s="172" t="s">
        <v>171</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191</v>
      </c>
      <c r="G253" s="92" t="s">
        <v>171</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192</v>
      </c>
      <c r="G254" s="92" t="s">
        <v>171</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193</v>
      </c>
      <c r="G255" s="92" t="s">
        <v>171</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194</v>
      </c>
      <c r="G256" s="92" t="s">
        <v>171</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195</v>
      </c>
      <c r="G257" s="92" t="s">
        <v>171</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196</v>
      </c>
      <c r="G258" s="92" t="s">
        <v>171</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197</v>
      </c>
      <c r="G259" s="92" t="s">
        <v>171</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198</v>
      </c>
      <c r="G260" s="173" t="s">
        <v>171</v>
      </c>
      <c r="H260" s="173"/>
      <c r="I260" s="91"/>
      <c r="J260" s="193">
        <f t="shared" ref="J260:Y260" si="73">IF(AND(J$192 = 0, J$198), J$200 * J31 * J42 / (1 + $H234) / $H53, 0)</f>
        <v>861.95523206963662</v>
      </c>
      <c r="K260" s="193">
        <f t="shared" si="73"/>
        <v>0</v>
      </c>
      <c r="L260" s="193">
        <f t="shared" si="73"/>
        <v>280.92147634034694</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539</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540</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541</v>
      </c>
      <c r="F268" s="71"/>
      <c r="H268" s="235" t="s">
        <v>542</v>
      </c>
      <c r="J268" s="92"/>
      <c r="K268" s="92"/>
      <c r="L268" s="92"/>
      <c r="M268" s="92"/>
      <c r="N268" s="92"/>
      <c r="O268" s="92"/>
      <c r="P268" s="92"/>
      <c r="Q268" s="92"/>
      <c r="R268" s="92"/>
      <c r="S268" s="92"/>
      <c r="T268" s="92"/>
      <c r="U268" s="92"/>
      <c r="V268" s="92"/>
      <c r="W268" s="92"/>
      <c r="X268" s="92"/>
      <c r="Y268" s="92"/>
    </row>
    <row r="269" spans="2:43" x14ac:dyDescent="0.25">
      <c r="C269" s="60"/>
      <c r="F269" s="90" t="s">
        <v>190</v>
      </c>
      <c r="G269" s="90" t="s">
        <v>171</v>
      </c>
      <c r="H269" s="145">
        <f t="shared" ref="H269:H277" si="74">SUM(J269:Y269)</f>
        <v>3022.6741426482899</v>
      </c>
      <c r="I269" s="222"/>
      <c r="J269" s="222">
        <f t="shared" ref="J269:Y269" si="75">J239 + J252 + J168</f>
        <v>1410.3146423404564</v>
      </c>
      <c r="K269" s="222">
        <f t="shared" si="75"/>
        <v>0.96396287659270141</v>
      </c>
      <c r="L269" s="222">
        <f t="shared" si="75"/>
        <v>502.16999926746888</v>
      </c>
      <c r="M269" s="222">
        <f t="shared" si="75"/>
        <v>1.5060968261007357</v>
      </c>
      <c r="N269" s="222">
        <f t="shared" si="75"/>
        <v>523.46230630132902</v>
      </c>
      <c r="O269" s="222">
        <f t="shared" si="75"/>
        <v>84.647955477908937</v>
      </c>
      <c r="P269" s="222">
        <f t="shared" si="75"/>
        <v>637.4822270259283</v>
      </c>
      <c r="Q269" s="222">
        <f t="shared" si="75"/>
        <v>24.930158523969403</v>
      </c>
      <c r="R269" s="222">
        <f t="shared" si="75"/>
        <v>-30.392056526469826</v>
      </c>
      <c r="S269" s="222">
        <f t="shared" si="75"/>
        <v>-9.369726239420088E-3</v>
      </c>
      <c r="T269" s="222">
        <f t="shared" si="75"/>
        <v>-8.1052615685854583</v>
      </c>
      <c r="U269" s="222">
        <f t="shared" si="75"/>
        <v>0</v>
      </c>
      <c r="V269" s="222">
        <f t="shared" si="75"/>
        <v>-1.2117202811771173</v>
      </c>
      <c r="W269" s="222">
        <f t="shared" si="75"/>
        <v>0</v>
      </c>
      <c r="X269" s="222">
        <f t="shared" si="75"/>
        <v>-123.08479788899278</v>
      </c>
      <c r="Y269" s="222">
        <f t="shared" si="75"/>
        <v>0</v>
      </c>
      <c r="AQ269" s="3"/>
    </row>
    <row r="270" spans="2:43" x14ac:dyDescent="0.25">
      <c r="C270" s="60"/>
      <c r="F270" t="s">
        <v>191</v>
      </c>
      <c r="G270" t="s">
        <v>171</v>
      </c>
      <c r="H270" s="164">
        <f t="shared" si="74"/>
        <v>2983.1898825656467</v>
      </c>
      <c r="I270" s="101"/>
      <c r="J270" s="101">
        <f t="shared" ref="J270:Y270" si="76">J240 + J253 + J169</f>
        <v>1361.858666191273</v>
      </c>
      <c r="K270" s="101">
        <f t="shared" si="76"/>
        <v>1.1121614341694976</v>
      </c>
      <c r="L270" s="101">
        <f t="shared" si="76"/>
        <v>506.24709875047853</v>
      </c>
      <c r="M270" s="101">
        <f t="shared" si="76"/>
        <v>1.6262603712824957</v>
      </c>
      <c r="N270" s="101">
        <f t="shared" si="76"/>
        <v>527.27777744937737</v>
      </c>
      <c r="O270" s="101">
        <f t="shared" si="76"/>
        <v>85.198136976706706</v>
      </c>
      <c r="P270" s="101">
        <f t="shared" si="76"/>
        <v>638.05109168772447</v>
      </c>
      <c r="Q270" s="101">
        <f t="shared" si="76"/>
        <v>22.89426220111033</v>
      </c>
      <c r="R270" s="101">
        <f t="shared" si="76"/>
        <v>-31.618974369232486</v>
      </c>
      <c r="S270" s="101">
        <f t="shared" si="76"/>
        <v>-9.3828750514812192E-3</v>
      </c>
      <c r="T270" s="101">
        <f t="shared" si="76"/>
        <v>-8.2829859357651845</v>
      </c>
      <c r="U270" s="101">
        <f t="shared" si="76"/>
        <v>0</v>
      </c>
      <c r="V270" s="101">
        <f t="shared" si="76"/>
        <v>-1.2097361552011032</v>
      </c>
      <c r="W270" s="101">
        <f t="shared" si="76"/>
        <v>0</v>
      </c>
      <c r="X270" s="101">
        <f t="shared" si="76"/>
        <v>-119.95449316122549</v>
      </c>
      <c r="Y270" s="101">
        <f t="shared" si="76"/>
        <v>0</v>
      </c>
      <c r="AQ270" s="3"/>
    </row>
    <row r="271" spans="2:43" x14ac:dyDescent="0.25">
      <c r="C271" s="60"/>
      <c r="F271" t="s">
        <v>192</v>
      </c>
      <c r="G271" t="s">
        <v>171</v>
      </c>
      <c r="H271" s="164">
        <f t="shared" si="74"/>
        <v>2974.3289225184212</v>
      </c>
      <c r="I271" s="101"/>
      <c r="J271" s="101">
        <f t="shared" ref="J271:Y271" si="77">J241 + J254 + J170</f>
        <v>1357.8135414402097</v>
      </c>
      <c r="K271" s="101">
        <f t="shared" si="77"/>
        <v>1.1088579843650337</v>
      </c>
      <c r="L271" s="101">
        <f t="shared" si="77"/>
        <v>504.74339449676421</v>
      </c>
      <c r="M271" s="101">
        <f t="shared" si="77"/>
        <v>1.6214298949321513</v>
      </c>
      <c r="N271" s="101">
        <f t="shared" si="77"/>
        <v>525.71160583319102</v>
      </c>
      <c r="O271" s="101">
        <f t="shared" si="77"/>
        <v>84.945073203508571</v>
      </c>
      <c r="P271" s="101">
        <f t="shared" si="77"/>
        <v>636.15589042528552</v>
      </c>
      <c r="Q271" s="101">
        <f t="shared" si="77"/>
        <v>22.826259442097129</v>
      </c>
      <c r="R271" s="101">
        <f t="shared" si="77"/>
        <v>-31.525056623581293</v>
      </c>
      <c r="S271" s="101">
        <f t="shared" si="77"/>
        <v>-9.3550051255857306E-3</v>
      </c>
      <c r="T271" s="101">
        <f t="shared" si="77"/>
        <v>-8.2583830072431077</v>
      </c>
      <c r="U271" s="101">
        <f t="shared" si="77"/>
        <v>0</v>
      </c>
      <c r="V271" s="101">
        <f t="shared" si="77"/>
        <v>-1.2061428794925853</v>
      </c>
      <c r="W271" s="101">
        <f t="shared" si="77"/>
        <v>0</v>
      </c>
      <c r="X271" s="101">
        <f t="shared" si="77"/>
        <v>-119.59819268648916</v>
      </c>
      <c r="Y271" s="101">
        <f t="shared" si="77"/>
        <v>0</v>
      </c>
      <c r="AQ271" s="3"/>
    </row>
    <row r="272" spans="2:43" x14ac:dyDescent="0.25">
      <c r="C272" s="60"/>
      <c r="F272" t="s">
        <v>193</v>
      </c>
      <c r="G272" t="s">
        <v>171</v>
      </c>
      <c r="H272" s="164">
        <f t="shared" si="74"/>
        <v>2979.7218033021154</v>
      </c>
      <c r="I272" s="101"/>
      <c r="J272" s="101">
        <f t="shared" ref="J272:Y272" si="78">J242 + J255 + J171</f>
        <v>1306.8480631159591</v>
      </c>
      <c r="K272" s="101">
        <f t="shared" si="78"/>
        <v>1.2764987939527783</v>
      </c>
      <c r="L272" s="101">
        <f t="shared" si="78"/>
        <v>497.68180735634132</v>
      </c>
      <c r="M272" s="101">
        <f t="shared" si="78"/>
        <v>1.7937335393010954</v>
      </c>
      <c r="N272" s="101">
        <f t="shared" si="78"/>
        <v>517.29824536112289</v>
      </c>
      <c r="O272" s="101">
        <f t="shared" si="78"/>
        <v>83.837307076006084</v>
      </c>
      <c r="P272" s="101">
        <f t="shared" si="78"/>
        <v>705.44707600665515</v>
      </c>
      <c r="Q272" s="101">
        <f t="shared" si="78"/>
        <v>21.250388212415192</v>
      </c>
      <c r="R272" s="101">
        <f t="shared" si="78"/>
        <v>-31.097686019274008</v>
      </c>
      <c r="S272" s="101">
        <f t="shared" si="78"/>
        <v>-9.0181780541032028E-3</v>
      </c>
      <c r="T272" s="101">
        <f t="shared" si="78"/>
        <v>-8.2133726825488367</v>
      </c>
      <c r="U272" s="101">
        <f t="shared" si="78"/>
        <v>0</v>
      </c>
      <c r="V272" s="101">
        <f t="shared" si="78"/>
        <v>-1.2012969785965075</v>
      </c>
      <c r="W272" s="101">
        <f t="shared" si="78"/>
        <v>0</v>
      </c>
      <c r="X272" s="101">
        <f t="shared" si="78"/>
        <v>-115.18994230116452</v>
      </c>
      <c r="Y272" s="101">
        <f t="shared" si="78"/>
        <v>0</v>
      </c>
      <c r="AQ272" s="3"/>
    </row>
    <row r="273" spans="2:43" x14ac:dyDescent="0.25">
      <c r="C273" s="60"/>
      <c r="F273" t="s">
        <v>194</v>
      </c>
      <c r="G273" t="s">
        <v>171</v>
      </c>
      <c r="H273" s="164">
        <f t="shared" si="74"/>
        <v>3264.4062813337082</v>
      </c>
      <c r="I273" s="101"/>
      <c r="J273" s="101">
        <f t="shared" ref="J273:Y273" si="79">J243 + J256 + J172</f>
        <v>1299.1531775627739</v>
      </c>
      <c r="K273" s="101">
        <f t="shared" si="79"/>
        <v>1.2689826087086993</v>
      </c>
      <c r="L273" s="101">
        <f t="shared" si="79"/>
        <v>494.75139435914997</v>
      </c>
      <c r="M273" s="101">
        <f t="shared" si="79"/>
        <v>1.7831718109048182</v>
      </c>
      <c r="N273" s="101">
        <f t="shared" si="79"/>
        <v>514.25232831287303</v>
      </c>
      <c r="O273" s="101">
        <f t="shared" si="79"/>
        <v>83.343662480857859</v>
      </c>
      <c r="P273" s="101">
        <f t="shared" si="79"/>
        <v>1003.5227693118222</v>
      </c>
      <c r="Q273" s="101">
        <f t="shared" si="79"/>
        <v>21.125263257288115</v>
      </c>
      <c r="R273" s="101">
        <f t="shared" si="79"/>
        <v>-30.914578937708114</v>
      </c>
      <c r="S273" s="101">
        <f t="shared" si="79"/>
        <v>-8.9650778889171188E-3</v>
      </c>
      <c r="T273" s="101">
        <f t="shared" si="79"/>
        <v>-8.1650113124847614</v>
      </c>
      <c r="U273" s="101">
        <f t="shared" si="79"/>
        <v>0</v>
      </c>
      <c r="V273" s="101">
        <f t="shared" si="79"/>
        <v>-1.1942235910875976</v>
      </c>
      <c r="W273" s="101">
        <f t="shared" si="79"/>
        <v>0</v>
      </c>
      <c r="X273" s="101">
        <f t="shared" si="79"/>
        <v>-114.51168945150113</v>
      </c>
      <c r="Y273" s="101">
        <f t="shared" si="79"/>
        <v>0</v>
      </c>
      <c r="AQ273" s="3"/>
    </row>
    <row r="274" spans="2:43" x14ac:dyDescent="0.25">
      <c r="C274" s="60"/>
      <c r="F274" t="s">
        <v>195</v>
      </c>
      <c r="G274" t="s">
        <v>171</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25">
      <c r="C275" s="60"/>
      <c r="F275" t="s">
        <v>196</v>
      </c>
      <c r="G275" t="s">
        <v>171</v>
      </c>
      <c r="H275" s="164">
        <f t="shared" si="74"/>
        <v>3155.9929584395286</v>
      </c>
      <c r="I275" s="101"/>
      <c r="J275" s="101">
        <f t="shared" ref="J275:Y275" si="81">J245 + J258 + J174</f>
        <v>1286.5277822511823</v>
      </c>
      <c r="K275" s="101">
        <f t="shared" si="81"/>
        <v>1.2566504162042416</v>
      </c>
      <c r="L275" s="101">
        <f t="shared" si="81"/>
        <v>489.9433147249502</v>
      </c>
      <c r="M275" s="101">
        <f t="shared" si="81"/>
        <v>1.7658426387871813</v>
      </c>
      <c r="N275" s="101">
        <f t="shared" si="81"/>
        <v>548.10956532613511</v>
      </c>
      <c r="O275" s="101">
        <f t="shared" si="81"/>
        <v>105.74146997153017</v>
      </c>
      <c r="P275" s="101">
        <f t="shared" si="81"/>
        <v>741.6196727214849</v>
      </c>
      <c r="Q275" s="101">
        <f t="shared" si="81"/>
        <v>20.919964294632251</v>
      </c>
      <c r="R275" s="101">
        <f t="shared" si="81"/>
        <v>-30.614145711880045</v>
      </c>
      <c r="S275" s="101">
        <f t="shared" si="81"/>
        <v>-8.8779537111822581E-3</v>
      </c>
      <c r="T275" s="101">
        <f t="shared" si="81"/>
        <v>-8.0856623201379705</v>
      </c>
      <c r="U275" s="101">
        <f t="shared" si="81"/>
        <v>0</v>
      </c>
      <c r="V275" s="101">
        <f t="shared" si="81"/>
        <v>-1.1826179196484568</v>
      </c>
      <c r="W275" s="101">
        <f t="shared" si="81"/>
        <v>0</v>
      </c>
      <c r="X275" s="101">
        <f t="shared" si="81"/>
        <v>0</v>
      </c>
      <c r="Y275" s="101">
        <f t="shared" si="81"/>
        <v>0</v>
      </c>
      <c r="AQ275" s="3"/>
    </row>
    <row r="276" spans="2:43" x14ac:dyDescent="0.25">
      <c r="C276" s="60"/>
      <c r="F276" t="s">
        <v>197</v>
      </c>
      <c r="G276" t="s">
        <v>171</v>
      </c>
      <c r="H276" s="164">
        <f t="shared" si="74"/>
        <v>2534.0446752266816</v>
      </c>
      <c r="I276" s="101"/>
      <c r="J276" s="101">
        <f t="shared" ref="J276:Y276" si="82">J246 + J259 + J175</f>
        <v>1268.0431876786079</v>
      </c>
      <c r="K276" s="101">
        <f t="shared" si="82"/>
        <v>1.2385950941323414</v>
      </c>
      <c r="L276" s="101">
        <f t="shared" si="82"/>
        <v>482.9038992834997</v>
      </c>
      <c r="M276" s="101">
        <f t="shared" si="82"/>
        <v>1.740471336505756</v>
      </c>
      <c r="N276" s="101">
        <f t="shared" si="82"/>
        <v>693.4207120686732</v>
      </c>
      <c r="O276" s="101">
        <f t="shared" si="82"/>
        <v>104.22219597768633</v>
      </c>
      <c r="P276" s="101">
        <f t="shared" si="82"/>
        <v>0</v>
      </c>
      <c r="Q276" s="101">
        <f t="shared" si="82"/>
        <v>20.619390094996731</v>
      </c>
      <c r="R276" s="101">
        <f t="shared" si="82"/>
        <v>-30.174287296479466</v>
      </c>
      <c r="S276" s="101">
        <f t="shared" si="82"/>
        <v>0</v>
      </c>
      <c r="T276" s="101">
        <f t="shared" si="82"/>
        <v>-7.9694890109405847</v>
      </c>
      <c r="U276" s="101">
        <f t="shared" si="82"/>
        <v>0</v>
      </c>
      <c r="V276" s="101">
        <f t="shared" si="82"/>
        <v>0</v>
      </c>
      <c r="W276" s="101">
        <f t="shared" si="82"/>
        <v>0</v>
      </c>
      <c r="X276" s="101">
        <f t="shared" si="82"/>
        <v>0</v>
      </c>
      <c r="Y276" s="101">
        <f t="shared" si="82"/>
        <v>0</v>
      </c>
      <c r="AQ276" s="3"/>
    </row>
    <row r="277" spans="2:43" x14ac:dyDescent="0.25">
      <c r="C277" s="60"/>
      <c r="F277" s="91" t="s">
        <v>198</v>
      </c>
      <c r="G277" s="91" t="s">
        <v>171</v>
      </c>
      <c r="H277" s="174">
        <f t="shared" si="74"/>
        <v>2091.0422019930461</v>
      </c>
      <c r="I277" s="193"/>
      <c r="J277" s="193">
        <f t="shared" ref="J277:Y277" si="83">J247 + J260 + J176</f>
        <v>861.95523206963662</v>
      </c>
      <c r="K277" s="193">
        <f t="shared" si="83"/>
        <v>0</v>
      </c>
      <c r="L277" s="193">
        <f t="shared" si="83"/>
        <v>280.92147634034694</v>
      </c>
      <c r="M277" s="193">
        <f t="shared" si="83"/>
        <v>0</v>
      </c>
      <c r="N277" s="193">
        <f t="shared" si="83"/>
        <v>929.24928685267889</v>
      </c>
      <c r="O277" s="193">
        <f t="shared" si="83"/>
        <v>0</v>
      </c>
      <c r="P277" s="193">
        <f t="shared" si="83"/>
        <v>0</v>
      </c>
      <c r="Q277" s="193">
        <f t="shared" si="83"/>
        <v>18.916206730383646</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230</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231</v>
      </c>
      <c r="G281" s="6" t="s">
        <v>54</v>
      </c>
      <c r="H281" s="108">
        <f t="array" ref="H281">SUM(IF(ISERROR(H23:Y277), 1))</f>
        <v>0</v>
      </c>
    </row>
    <row r="283" spans="2:43" x14ac:dyDescent="0.25">
      <c r="B283" s="70" t="s">
        <v>105</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543</v>
      </c>
    </row>
    <row r="10" spans="1:43" x14ac:dyDescent="0.25">
      <c r="C10" s="71" t="s">
        <v>544</v>
      </c>
    </row>
    <row r="11" spans="1:43" x14ac:dyDescent="0.25">
      <c r="D11" s="60"/>
      <c r="AQ11" s="3"/>
    </row>
    <row r="12" spans="1:43" x14ac:dyDescent="0.25">
      <c r="B12" s="70" t="s">
        <v>545</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546</v>
      </c>
      <c r="G16" s="89" t="s">
        <v>211</v>
      </c>
      <c r="J16" s="163">
        <f>'Volume adjustments'!J275</f>
        <v>2211223.0038455967</v>
      </c>
      <c r="K16" s="163">
        <f>'Volume adjustments'!K275</f>
        <v>4103.3721701347276</v>
      </c>
      <c r="L16" s="163">
        <f>'Volume adjustments'!L275</f>
        <v>143586.27612746798</v>
      </c>
      <c r="M16" s="163">
        <f>'Volume adjustments'!M275</f>
        <v>1571.7036335487671</v>
      </c>
      <c r="N16" s="163">
        <f>'Volume adjustments'!N275</f>
        <v>15405.530101399183</v>
      </c>
      <c r="O16" s="163">
        <f>'Volume adjustments'!O275</f>
        <v>734.57113474438393</v>
      </c>
      <c r="P16" s="163">
        <f>'Volume adjustments'!P275</f>
        <v>2016.5582644672475</v>
      </c>
      <c r="Q16" s="163">
        <f>'Volume adjustments'!Q275</f>
        <v>813.16725654976756</v>
      </c>
      <c r="R16" s="163">
        <f>'Volume adjustments'!R275</f>
        <v>32972.366465964653</v>
      </c>
      <c r="S16" s="163">
        <f>'Volume adjustments'!S275</f>
        <v>0</v>
      </c>
      <c r="T16" s="163">
        <f>'Volume adjustments'!T275</f>
        <v>717</v>
      </c>
      <c r="U16" s="163">
        <f>'Volume adjustments'!U275</f>
        <v>0</v>
      </c>
      <c r="V16" s="163">
        <f>'Volume adjustments'!V275</f>
        <v>36</v>
      </c>
      <c r="W16" s="163">
        <f>'Volume adjustments'!W275</f>
        <v>0</v>
      </c>
      <c r="X16" s="163">
        <f>'Volume adjustments'!X275</f>
        <v>286</v>
      </c>
      <c r="Y16" s="163">
        <f>'Volume adjustments'!Y275</f>
        <v>0</v>
      </c>
    </row>
    <row r="17" spans="5:27" x14ac:dyDescent="0.25">
      <c r="E17" s="89" t="s">
        <v>547</v>
      </c>
      <c r="G17" s="89" t="s">
        <v>206</v>
      </c>
      <c r="J17" s="167">
        <f>'Volume adjustments'!J264</f>
        <v>6375063.2192454105</v>
      </c>
      <c r="K17" s="167">
        <f>'Volume adjustments'!K264</f>
        <v>11281.072963271918</v>
      </c>
      <c r="L17" s="167">
        <f>'Volume adjustments'!L264</f>
        <v>2033669.2574327216</v>
      </c>
      <c r="M17" s="167">
        <f>'Volume adjustments'!M264</f>
        <v>12421.978756240096</v>
      </c>
      <c r="N17" s="167">
        <f>'Volume adjustments'!N264</f>
        <v>2511236.8846527888</v>
      </c>
      <c r="O17" s="167">
        <f>'Volume adjustments'!O264</f>
        <v>489950.85727785068</v>
      </c>
      <c r="P17" s="167">
        <f>'Volume adjustments'!P264</f>
        <v>4478697.9483462293</v>
      </c>
      <c r="Q17" s="167">
        <f>'Volume adjustments'!Q264</f>
        <v>137136.21043128523</v>
      </c>
      <c r="R17" s="167">
        <f>'Volume adjustments'!R264</f>
        <v>180476.89823288727</v>
      </c>
      <c r="S17" s="167">
        <f>'Volume adjustments'!S264</f>
        <v>54.613</v>
      </c>
      <c r="T17" s="167">
        <f>'Volume adjustments'!T264</f>
        <v>55910.189800000007</v>
      </c>
      <c r="U17" s="167">
        <f>'Volume adjustments'!U264</f>
        <v>0</v>
      </c>
      <c r="V17" s="167">
        <f>'Volume adjustments'!V264</f>
        <v>9922.2096999999994</v>
      </c>
      <c r="W17" s="167">
        <f>'Volume adjustments'!W264</f>
        <v>0</v>
      </c>
      <c r="X17" s="167">
        <f>'Volume adjustments'!X264</f>
        <v>808450.40890000004</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548</v>
      </c>
      <c r="J19" s="101"/>
      <c r="K19" s="101"/>
      <c r="L19" s="101"/>
      <c r="M19" s="101"/>
      <c r="N19" s="101"/>
      <c r="O19" s="101"/>
      <c r="P19" s="101"/>
      <c r="Q19" s="101"/>
      <c r="R19" s="101"/>
      <c r="S19" s="101"/>
      <c r="T19" s="101"/>
      <c r="U19" s="101"/>
      <c r="V19" s="101"/>
      <c r="W19" s="101"/>
      <c r="X19" s="101"/>
      <c r="Y19" s="101"/>
    </row>
    <row r="20" spans="5:27" x14ac:dyDescent="0.25">
      <c r="E20" s="71" t="s">
        <v>549</v>
      </c>
      <c r="J20" s="101"/>
      <c r="K20" s="101"/>
      <c r="L20" s="101"/>
      <c r="M20" s="101"/>
      <c r="N20" s="101"/>
      <c r="O20" s="101"/>
      <c r="P20" s="101"/>
      <c r="Q20" s="101"/>
      <c r="R20" s="101"/>
      <c r="S20" s="101"/>
      <c r="T20" s="101"/>
      <c r="U20" s="101"/>
      <c r="V20" s="101"/>
      <c r="W20" s="101"/>
      <c r="X20" s="101"/>
      <c r="Y20" s="101"/>
    </row>
    <row r="21" spans="5:27" x14ac:dyDescent="0.25">
      <c r="E21" s="100"/>
      <c r="F21" s="90" t="s">
        <v>374</v>
      </c>
      <c r="G21" s="90" t="s">
        <v>260</v>
      </c>
      <c r="H21" s="236"/>
      <c r="I21" s="90"/>
      <c r="J21" s="167">
        <f>'Inputs by customer type'!J187</f>
        <v>1526</v>
      </c>
      <c r="K21" s="167">
        <f>'Inputs by customer type'!K187</f>
        <v>0</v>
      </c>
      <c r="L21" s="167">
        <f>'Inputs by customer type'!L187</f>
        <v>1428</v>
      </c>
      <c r="M21" s="167">
        <f>'Inputs by customer type'!M187</f>
        <v>0</v>
      </c>
      <c r="N21" s="167">
        <f>'Inputs by customer type'!N187</f>
        <v>2361</v>
      </c>
      <c r="O21" s="167">
        <f>'Inputs by customer type'!O187</f>
        <v>2361</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375</v>
      </c>
      <c r="G22" t="s">
        <v>260</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61821</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13738.9272</v>
      </c>
      <c r="Y22" s="163">
        <f>'Inputs by customer type'!Y188</f>
        <v>13738.9272</v>
      </c>
    </row>
    <row r="23" spans="5:27" x14ac:dyDescent="0.25">
      <c r="E23" s="100"/>
      <c r="F23" s="91" t="s">
        <v>550</v>
      </c>
      <c r="G23" s="91" t="s">
        <v>263</v>
      </c>
      <c r="H23" s="91"/>
      <c r="I23" s="91"/>
      <c r="J23" s="237"/>
      <c r="K23" s="237"/>
      <c r="L23" s="237"/>
      <c r="M23" s="237"/>
      <c r="N23" s="237"/>
      <c r="O23" s="237"/>
      <c r="P23" s="237"/>
      <c r="Q23" s="238">
        <f>'Inputs by customer type'!Q190</f>
        <v>0</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551</v>
      </c>
      <c r="J25" s="101"/>
      <c r="K25" s="101"/>
      <c r="L25" s="101"/>
      <c r="M25" s="101"/>
      <c r="N25" s="101"/>
      <c r="O25" s="101"/>
      <c r="P25" s="101"/>
      <c r="Q25" s="101"/>
      <c r="R25" s="101"/>
      <c r="S25" s="101"/>
      <c r="T25" s="101"/>
      <c r="U25" s="101"/>
      <c r="V25" s="101"/>
      <c r="W25" s="101"/>
      <c r="X25" s="101"/>
      <c r="Y25" s="101"/>
    </row>
    <row r="26" spans="5:27" x14ac:dyDescent="0.25">
      <c r="E26" s="71" t="s">
        <v>552</v>
      </c>
      <c r="I26" t="s">
        <v>153</v>
      </c>
      <c r="J26" s="101"/>
      <c r="K26" s="101"/>
      <c r="L26" s="101"/>
      <c r="M26" s="101"/>
      <c r="N26" s="101"/>
      <c r="O26" s="101"/>
      <c r="P26" s="101"/>
      <c r="Q26" s="101"/>
      <c r="R26" s="101"/>
      <c r="S26" s="101"/>
      <c r="T26" s="101"/>
      <c r="U26" s="101"/>
      <c r="V26" s="101"/>
      <c r="W26" s="101"/>
      <c r="X26" s="101"/>
      <c r="Y26" s="101"/>
      <c r="AA26" t="s">
        <v>895</v>
      </c>
    </row>
    <row r="27" spans="5:27" x14ac:dyDescent="0.25">
      <c r="F27" s="90" t="s">
        <v>374</v>
      </c>
      <c r="G27" s="90" t="s">
        <v>276</v>
      </c>
      <c r="H27" s="172"/>
      <c r="I27" s="90"/>
      <c r="J27" s="169">
        <f t="shared" ref="J27:Y27" si="0">J21 * J$16</f>
        <v>3374326303.8683805</v>
      </c>
      <c r="K27" s="169">
        <f t="shared" si="0"/>
        <v>0</v>
      </c>
      <c r="L27" s="169">
        <f t="shared" si="0"/>
        <v>205041202.31002426</v>
      </c>
      <c r="M27" s="169">
        <f t="shared" si="0"/>
        <v>0</v>
      </c>
      <c r="N27" s="169">
        <f t="shared" si="0"/>
        <v>36372456.56940347</v>
      </c>
      <c r="O27" s="169">
        <f t="shared" si="0"/>
        <v>1734322.4491314904</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375</v>
      </c>
      <c r="G28" t="s">
        <v>276</v>
      </c>
      <c r="H28" s="92"/>
      <c r="J28" s="141">
        <f t="shared" ref="J28:Y28" si="1">J22 * J$16</f>
        <v>0</v>
      </c>
      <c r="K28" s="141">
        <f t="shared" si="1"/>
        <v>0</v>
      </c>
      <c r="L28" s="141">
        <f t="shared" si="1"/>
        <v>0</v>
      </c>
      <c r="M28" s="141">
        <f t="shared" si="1"/>
        <v>0</v>
      </c>
      <c r="N28" s="141">
        <f t="shared" si="1"/>
        <v>0</v>
      </c>
      <c r="O28" s="141">
        <f t="shared" si="1"/>
        <v>0</v>
      </c>
      <c r="P28" s="141">
        <f t="shared" si="1"/>
        <v>124665648.4676297</v>
      </c>
      <c r="Q28" s="141">
        <f t="shared" si="1"/>
        <v>0</v>
      </c>
      <c r="R28" s="141">
        <f t="shared" si="1"/>
        <v>0</v>
      </c>
      <c r="S28" s="141">
        <f t="shared" si="1"/>
        <v>0</v>
      </c>
      <c r="T28" s="141">
        <f t="shared" si="1"/>
        <v>0</v>
      </c>
      <c r="U28" s="141">
        <f t="shared" si="1"/>
        <v>0</v>
      </c>
      <c r="V28" s="141">
        <f t="shared" si="1"/>
        <v>0</v>
      </c>
      <c r="W28" s="141">
        <f t="shared" si="1"/>
        <v>0</v>
      </c>
      <c r="X28" s="141">
        <f t="shared" si="1"/>
        <v>3929333.1792000001</v>
      </c>
      <c r="Y28" s="141">
        <f t="shared" si="1"/>
        <v>0</v>
      </c>
    </row>
    <row r="29" spans="5:27" x14ac:dyDescent="0.25">
      <c r="F29" s="91" t="s">
        <v>550</v>
      </c>
      <c r="G29" s="91" t="s">
        <v>276</v>
      </c>
      <c r="H29" s="173"/>
      <c r="I29" s="91"/>
      <c r="J29" s="237"/>
      <c r="K29" s="237"/>
      <c r="L29" s="237"/>
      <c r="M29" s="237"/>
      <c r="N29" s="237"/>
      <c r="O29" s="237"/>
      <c r="P29" s="237"/>
      <c r="Q29" s="216">
        <f t="shared" ref="Q29" si="2">Q23 * Q$17</f>
        <v>0</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553</v>
      </c>
      <c r="J31" s="101"/>
      <c r="K31" s="101"/>
      <c r="L31" s="101"/>
      <c r="M31" s="101"/>
      <c r="N31" s="101"/>
      <c r="O31" s="101"/>
      <c r="P31" s="101"/>
      <c r="Q31" s="101"/>
      <c r="R31" s="101"/>
      <c r="S31" s="101"/>
      <c r="T31" s="101"/>
      <c r="U31" s="101"/>
      <c r="V31" s="101"/>
      <c r="W31" s="101"/>
      <c r="X31" s="101"/>
      <c r="Y31" s="101"/>
    </row>
    <row r="32" spans="5:27" x14ac:dyDescent="0.25">
      <c r="E32" s="71" t="s">
        <v>554</v>
      </c>
      <c r="H32" s="171" t="s">
        <v>542</v>
      </c>
      <c r="J32" s="101"/>
      <c r="K32" s="101"/>
      <c r="L32" s="101"/>
      <c r="M32" s="101"/>
      <c r="N32" s="101"/>
      <c r="O32" s="101"/>
      <c r="P32" s="101"/>
      <c r="Q32" s="101"/>
      <c r="R32" s="101"/>
      <c r="S32" s="101"/>
      <c r="T32" s="101"/>
      <c r="U32" s="101"/>
      <c r="V32" s="101"/>
      <c r="W32" s="101"/>
      <c r="X32" s="101"/>
      <c r="Y32" s="101"/>
    </row>
    <row r="33" spans="2:43" x14ac:dyDescent="0.25">
      <c r="F33" s="90" t="s">
        <v>555</v>
      </c>
      <c r="G33" s="90" t="s">
        <v>276</v>
      </c>
      <c r="H33" s="145">
        <f>SUM(J33:Y33)</f>
        <v>3617474285.1969399</v>
      </c>
      <c r="I33" s="90"/>
      <c r="J33" s="222">
        <f t="shared" ref="J33:Y33" si="3">J27 +J29</f>
        <v>3374326303.8683805</v>
      </c>
      <c r="K33" s="222">
        <f t="shared" si="3"/>
        <v>0</v>
      </c>
      <c r="L33" s="222">
        <f t="shared" si="3"/>
        <v>205041202.31002426</v>
      </c>
      <c r="M33" s="222">
        <f t="shared" si="3"/>
        <v>0</v>
      </c>
      <c r="N33" s="222">
        <f t="shared" si="3"/>
        <v>36372456.56940347</v>
      </c>
      <c r="O33" s="222">
        <f t="shared" si="3"/>
        <v>1734322.4491314904</v>
      </c>
      <c r="P33" s="222">
        <f t="shared" si="3"/>
        <v>0</v>
      </c>
      <c r="Q33" s="222">
        <f t="shared" si="3"/>
        <v>0</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556</v>
      </c>
      <c r="G34" s="91" t="s">
        <v>276</v>
      </c>
      <c r="H34" s="174">
        <f>SUM(J34:Y34)</f>
        <v>128594981.64682969</v>
      </c>
      <c r="I34" s="91"/>
      <c r="J34" s="227">
        <f t="shared" ref="J34:Y34" si="4">J28</f>
        <v>0</v>
      </c>
      <c r="K34" s="227">
        <f t="shared" si="4"/>
        <v>0</v>
      </c>
      <c r="L34" s="227">
        <f t="shared" si="4"/>
        <v>0</v>
      </c>
      <c r="M34" s="227">
        <f t="shared" si="4"/>
        <v>0</v>
      </c>
      <c r="N34" s="227">
        <f t="shared" si="4"/>
        <v>0</v>
      </c>
      <c r="O34" s="227">
        <f t="shared" si="4"/>
        <v>0</v>
      </c>
      <c r="P34" s="227">
        <f t="shared" si="4"/>
        <v>124665648.4676297</v>
      </c>
      <c r="Q34" s="227">
        <f t="shared" si="4"/>
        <v>0</v>
      </c>
      <c r="R34" s="227">
        <f t="shared" si="4"/>
        <v>0</v>
      </c>
      <c r="S34" s="227">
        <f t="shared" si="4"/>
        <v>0</v>
      </c>
      <c r="T34" s="227">
        <f t="shared" si="4"/>
        <v>0</v>
      </c>
      <c r="U34" s="227">
        <f t="shared" si="4"/>
        <v>0</v>
      </c>
      <c r="V34" s="227">
        <f t="shared" si="4"/>
        <v>0</v>
      </c>
      <c r="W34" s="227">
        <f t="shared" si="4"/>
        <v>0</v>
      </c>
      <c r="X34" s="227">
        <f t="shared" si="4"/>
        <v>3929333.1792000001</v>
      </c>
      <c r="Y34" s="227">
        <f t="shared" si="4"/>
        <v>0</v>
      </c>
    </row>
    <row r="36" spans="2:43" x14ac:dyDescent="0.25">
      <c r="B36" s="70" t="s">
        <v>230</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231</v>
      </c>
      <c r="G38" s="6" t="s">
        <v>54</v>
      </c>
      <c r="H38" s="108">
        <f t="array" ref="H38">SUM(IF(ISERROR(H16:Y35), 1))</f>
        <v>0</v>
      </c>
    </row>
    <row r="40" spans="2:43" x14ac:dyDescent="0.25">
      <c r="B40" s="70" t="s">
        <v>105</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I5" s="157"/>
      <c r="J5" s="133" t="s">
        <v>188</v>
      </c>
      <c r="K5" s="102" t="s">
        <v>190</v>
      </c>
      <c r="L5" s="102" t="s">
        <v>191</v>
      </c>
      <c r="M5" s="102" t="s">
        <v>192</v>
      </c>
      <c r="N5" s="102" t="s">
        <v>193</v>
      </c>
      <c r="O5" s="102" t="s">
        <v>194</v>
      </c>
      <c r="P5" s="102" t="s">
        <v>195</v>
      </c>
      <c r="Q5" s="102" t="s">
        <v>196</v>
      </c>
      <c r="R5" s="102" t="s">
        <v>197</v>
      </c>
      <c r="S5" s="102" t="s">
        <v>198</v>
      </c>
      <c r="T5" s="102" t="s">
        <v>374</v>
      </c>
      <c r="U5" s="102" t="s">
        <v>375</v>
      </c>
      <c r="W5" s="85" t="s">
        <v>144</v>
      </c>
    </row>
    <row r="6" spans="1:23" x14ac:dyDescent="0.25">
      <c r="H6" s="3"/>
      <c r="I6" s="3"/>
      <c r="J6" s="3"/>
      <c r="K6" s="3"/>
      <c r="L6" s="3"/>
      <c r="M6" s="3"/>
      <c r="N6" s="3"/>
      <c r="O6" s="3"/>
      <c r="P6" s="3"/>
      <c r="Q6" s="3"/>
      <c r="R6" s="3"/>
      <c r="S6" s="3"/>
      <c r="T6" s="3"/>
      <c r="U6" s="3"/>
      <c r="W6" s="3"/>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557</v>
      </c>
      <c r="D9" s="71"/>
    </row>
    <row r="10" spans="1:23" x14ac:dyDescent="0.25">
      <c r="C10" s="71" t="s">
        <v>558</v>
      </c>
      <c r="D10" s="71"/>
    </row>
    <row r="11" spans="1:23" x14ac:dyDescent="0.25">
      <c r="C11" s="71"/>
      <c r="D11" s="71" t="s">
        <v>559</v>
      </c>
    </row>
    <row r="12" spans="1:23" x14ac:dyDescent="0.25">
      <c r="C12" s="71"/>
      <c r="D12" s="71" t="s">
        <v>560</v>
      </c>
    </row>
    <row r="13" spans="1:23" x14ac:dyDescent="0.25">
      <c r="C13" s="71" t="s">
        <v>561</v>
      </c>
      <c r="D13" s="71"/>
    </row>
    <row r="15" spans="1:23" x14ac:dyDescent="0.25">
      <c r="B15" s="70" t="s">
        <v>562</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563</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564</v>
      </c>
      <c r="I21" s="3" t="s">
        <v>153</v>
      </c>
      <c r="J21" s="3"/>
      <c r="K21" s="3"/>
      <c r="L21" s="3"/>
      <c r="M21" s="3"/>
      <c r="N21" s="3"/>
      <c r="O21" s="3"/>
      <c r="P21" s="3"/>
      <c r="Q21" s="3"/>
      <c r="R21" s="3"/>
      <c r="S21" s="3"/>
      <c r="T21" s="3"/>
      <c r="U21" s="3"/>
      <c r="W21" s="3" t="s">
        <v>164</v>
      </c>
    </row>
    <row r="22" spans="3:25" x14ac:dyDescent="0.25">
      <c r="D22" s="71"/>
    </row>
    <row r="23" spans="3:25" x14ac:dyDescent="0.25">
      <c r="D23" s="100"/>
      <c r="E23" s="89" t="s">
        <v>351</v>
      </c>
      <c r="G23" s="89" t="s">
        <v>166</v>
      </c>
      <c r="H23" s="159">
        <f>'General inputs'!H92</f>
        <v>4.9000000000000002E-2</v>
      </c>
      <c r="I23" s="3"/>
      <c r="J23" s="3"/>
      <c r="K23" s="3"/>
      <c r="L23" s="3"/>
      <c r="M23" s="3"/>
      <c r="N23" s="3"/>
      <c r="O23" s="3"/>
      <c r="P23" s="3"/>
      <c r="Q23" s="3"/>
      <c r="R23" s="3"/>
      <c r="S23" s="3"/>
      <c r="T23" s="3"/>
      <c r="U23" s="3"/>
    </row>
    <row r="24" spans="3:25" x14ac:dyDescent="0.25">
      <c r="D24" s="100"/>
      <c r="E24" s="89" t="s">
        <v>162</v>
      </c>
      <c r="G24" s="89" t="s">
        <v>163</v>
      </c>
      <c r="H24" s="64">
        <f>'Fixed inputs'!H35</f>
        <v>40</v>
      </c>
      <c r="I24" s="3"/>
      <c r="J24" s="3"/>
      <c r="K24" s="3"/>
      <c r="L24" s="3"/>
      <c r="M24" s="3"/>
      <c r="N24" s="3"/>
      <c r="O24" s="3"/>
      <c r="P24" s="3"/>
      <c r="Q24" s="3"/>
      <c r="R24" s="3"/>
      <c r="S24" s="3"/>
      <c r="T24" s="3"/>
      <c r="U24" s="3"/>
      <c r="W24" s="3"/>
    </row>
    <row r="25" spans="3:25" x14ac:dyDescent="0.25">
      <c r="E25" s="89" t="s">
        <v>565</v>
      </c>
      <c r="G25" s="89" t="s">
        <v>166</v>
      </c>
      <c r="H25" s="239">
        <f>H23 / (1 - (1 + H23) ^ -H24)</f>
        <v>5.7482322471779264E-2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566</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567</v>
      </c>
      <c r="F31" s="162"/>
      <c r="G31" s="89" t="s">
        <v>568</v>
      </c>
      <c r="H31" s="3"/>
      <c r="I31" s="3"/>
      <c r="J31" s="114"/>
      <c r="K31" s="163">
        <f>'Load &amp; loss characteristics'!K29</f>
        <v>1</v>
      </c>
      <c r="L31" s="163">
        <f>'Load &amp; loss characteristics'!L29</f>
        <v>1.0069999999999999</v>
      </c>
      <c r="M31" s="163">
        <f>'Load &amp; loss characteristics'!M29</f>
        <v>1.01</v>
      </c>
      <c r="N31" s="163">
        <f>'Load &amp; loss characteristics'!N29</f>
        <v>1.0129999999999999</v>
      </c>
      <c r="O31" s="163">
        <f>'Load &amp; loss characteristics'!O29</f>
        <v>1.0189999999999999</v>
      </c>
      <c r="P31" s="163">
        <f>'Load &amp; loss characteristics'!P29</f>
        <v>1.0189999999999999</v>
      </c>
      <c r="Q31" s="163">
        <f>'Load &amp; loss characteristics'!Q29</f>
        <v>1.0289999999999999</v>
      </c>
      <c r="R31" s="163">
        <f>'Load &amp; loss characteristics'!R29</f>
        <v>1.044</v>
      </c>
      <c r="S31" s="163">
        <f>'Load &amp; loss characteristics'!S29</f>
        <v>1.1379999999999999</v>
      </c>
      <c r="T31" s="114"/>
      <c r="U31" s="114"/>
    </row>
    <row r="32" spans="3:25" x14ac:dyDescent="0.25">
      <c r="E32" t="s">
        <v>569</v>
      </c>
      <c r="F32" s="240"/>
      <c r="G32" s="89" t="s">
        <v>166</v>
      </c>
      <c r="H32" s="3"/>
      <c r="I32" s="3"/>
      <c r="J32" s="241"/>
      <c r="K32" s="242">
        <f>'Load &amp; loss characteristics'!$K$23</f>
        <v>0.19143992204560423</v>
      </c>
      <c r="L32" s="243"/>
      <c r="M32" s="243"/>
      <c r="N32" s="243"/>
      <c r="O32" s="243"/>
      <c r="P32" s="241"/>
      <c r="Q32" s="243"/>
      <c r="R32" s="243"/>
      <c r="S32" s="243"/>
      <c r="T32" s="241"/>
      <c r="U32" s="241"/>
      <c r="Y32" s="244"/>
    </row>
    <row r="33" spans="3:23" x14ac:dyDescent="0.25">
      <c r="E33" t="s">
        <v>570</v>
      </c>
      <c r="F33" s="162"/>
      <c r="G33" s="89" t="s">
        <v>166</v>
      </c>
      <c r="H33" s="3"/>
      <c r="I33" s="3"/>
      <c r="J33" s="98"/>
      <c r="K33" s="239">
        <f xml:space="preserve"> 1 / (1 + K32)</f>
        <v>0.83932054105009535</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571</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170</v>
      </c>
      <c r="F39" s="162"/>
      <c r="G39" s="89" t="s">
        <v>171</v>
      </c>
      <c r="H39" s="163">
        <f>'Fixed inputs'!H41</f>
        <v>500</v>
      </c>
      <c r="I39" s="3"/>
      <c r="J39" s="114"/>
      <c r="K39" s="114"/>
      <c r="L39" s="114"/>
      <c r="M39" s="114"/>
      <c r="N39" s="114"/>
      <c r="O39" s="114"/>
      <c r="P39" s="114"/>
      <c r="Q39" s="114"/>
      <c r="R39" s="114"/>
      <c r="S39" s="114"/>
      <c r="T39" s="114"/>
      <c r="U39" s="114"/>
      <c r="W39" s="3"/>
    </row>
    <row r="40" spans="3:23" x14ac:dyDescent="0.25">
      <c r="E40" t="s">
        <v>572</v>
      </c>
      <c r="F40" s="162"/>
      <c r="G40" s="89" t="s">
        <v>171</v>
      </c>
      <c r="H40" s="3"/>
      <c r="I40" s="3" t="s">
        <v>153</v>
      </c>
      <c r="J40" s="114"/>
      <c r="K40" s="245">
        <f t="shared" ref="K40:S40" si="0">$H$39 * $K$33 / K31</f>
        <v>419.66027052504768</v>
      </c>
      <c r="L40" s="245">
        <f t="shared" si="0"/>
        <v>416.74306904175546</v>
      </c>
      <c r="M40" s="245">
        <f t="shared" si="0"/>
        <v>415.50521834163135</v>
      </c>
      <c r="N40" s="245">
        <f t="shared" si="0"/>
        <v>414.27469943242619</v>
      </c>
      <c r="O40" s="245">
        <f t="shared" si="0"/>
        <v>411.83539796373674</v>
      </c>
      <c r="P40" s="245">
        <f t="shared" si="0"/>
        <v>411.83539796373674</v>
      </c>
      <c r="Q40" s="245">
        <f t="shared" si="0"/>
        <v>407.83311032560516</v>
      </c>
      <c r="R40" s="245">
        <f t="shared" si="0"/>
        <v>401.97343920023724</v>
      </c>
      <c r="S40" s="245">
        <f t="shared" si="0"/>
        <v>368.77000924872385</v>
      </c>
      <c r="T40" s="114"/>
      <c r="U40" s="114"/>
      <c r="W40" s="3" t="s">
        <v>573</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574</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280</v>
      </c>
      <c r="G46" s="89" t="s">
        <v>166</v>
      </c>
      <c r="H46" s="3"/>
      <c r="I46" s="3"/>
      <c r="J46" s="243"/>
      <c r="K46" s="243"/>
      <c r="L46" s="243"/>
      <c r="M46" s="243"/>
      <c r="N46" s="243"/>
      <c r="O46" s="243"/>
      <c r="P46" s="242">
        <f>'Inputs by network level'!P17</f>
        <v>0</v>
      </c>
      <c r="Q46" s="243"/>
      <c r="R46" s="243"/>
      <c r="S46" s="243"/>
      <c r="T46" s="243"/>
      <c r="U46" s="243"/>
      <c r="W46" s="3"/>
    </row>
    <row r="47" spans="3:23" x14ac:dyDescent="0.25">
      <c r="E47" s="89" t="s">
        <v>575</v>
      </c>
      <c r="G47" s="89" t="s">
        <v>166</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89" t="s">
        <v>576</v>
      </c>
      <c r="G48" s="89" t="s">
        <v>171</v>
      </c>
      <c r="H48" s="3"/>
      <c r="I48" s="3"/>
      <c r="J48" s="114"/>
      <c r="K48" s="141">
        <f t="shared" ref="K48:S48" si="1">IF(K47 = "", K40, K47 * K40)</f>
        <v>419.66027052504768</v>
      </c>
      <c r="L48" s="141">
        <f t="shared" si="1"/>
        <v>416.74306904175546</v>
      </c>
      <c r="M48" s="141">
        <f t="shared" si="1"/>
        <v>415.50521834163135</v>
      </c>
      <c r="N48" s="141">
        <f t="shared" si="1"/>
        <v>414.27469943242619</v>
      </c>
      <c r="O48" s="141">
        <f t="shared" si="1"/>
        <v>411.83539796373674</v>
      </c>
      <c r="P48" s="141">
        <f t="shared" si="1"/>
        <v>0</v>
      </c>
      <c r="Q48" s="141">
        <f t="shared" si="1"/>
        <v>407.83311032560516</v>
      </c>
      <c r="R48" s="141">
        <f t="shared" si="1"/>
        <v>401.97343920023724</v>
      </c>
      <c r="S48" s="141">
        <f t="shared" si="1"/>
        <v>368.77000924872385</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577</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578</v>
      </c>
      <c r="F54" s="240"/>
      <c r="G54" s="89" t="s">
        <v>276</v>
      </c>
      <c r="H54" s="3"/>
      <c r="I54" s="3"/>
      <c r="J54" s="114"/>
      <c r="K54" s="114"/>
      <c r="L54" s="163">
        <f>'Inputs by network level'!L33</f>
        <v>52940973.55066748</v>
      </c>
      <c r="M54" s="163">
        <f>'Inputs by network level'!M33</f>
        <v>21186213.372931171</v>
      </c>
      <c r="N54" s="163">
        <f>'Inputs by network level'!N33</f>
        <v>72864253.719269753</v>
      </c>
      <c r="O54" s="163">
        <f>'Inputs by network level'!O33</f>
        <v>35621265.039889067</v>
      </c>
      <c r="P54" s="163">
        <f>'Inputs by network level'!P33</f>
        <v>0</v>
      </c>
      <c r="Q54" s="163">
        <f>'Inputs by network level'!Q33</f>
        <v>109916145.68292403</v>
      </c>
      <c r="R54" s="163">
        <f>'Inputs by network level'!R33</f>
        <v>38829368.457899995</v>
      </c>
      <c r="S54" s="163">
        <f>'Inputs by network level'!S33</f>
        <v>78083351.952540129</v>
      </c>
      <c r="T54" s="114"/>
      <c r="U54" s="114"/>
      <c r="W54" s="3"/>
    </row>
    <row r="55" spans="2:23" x14ac:dyDescent="0.25">
      <c r="E55" t="s">
        <v>579</v>
      </c>
      <c r="F55" s="240"/>
      <c r="G55" s="89" t="s">
        <v>580</v>
      </c>
      <c r="H55" s="3"/>
      <c r="I55" s="3"/>
      <c r="J55" s="114"/>
      <c r="K55" s="114"/>
      <c r="L55" s="141">
        <f t="shared" ref="L55:S55" si="2">IF(L48 = 0, 0, L54 / (L48 * thousand))</f>
        <v>127.03504265205446</v>
      </c>
      <c r="M55" s="141">
        <f t="shared" si="2"/>
        <v>50.98904282716304</v>
      </c>
      <c r="N55" s="141">
        <f t="shared" si="2"/>
        <v>175.88390944244688</v>
      </c>
      <c r="O55" s="141">
        <f t="shared" si="2"/>
        <v>86.49393717978954</v>
      </c>
      <c r="P55" s="141">
        <f t="shared" si="2"/>
        <v>0</v>
      </c>
      <c r="Q55" s="141">
        <f t="shared" si="2"/>
        <v>269.51256016258554</v>
      </c>
      <c r="R55" s="141">
        <f t="shared" si="2"/>
        <v>96.596851113234152</v>
      </c>
      <c r="S55" s="141">
        <f t="shared" si="2"/>
        <v>211.73997340948446</v>
      </c>
      <c r="T55" s="114"/>
      <c r="U55" s="114"/>
      <c r="W55" s="3"/>
    </row>
    <row r="56" spans="2:23" x14ac:dyDescent="0.25">
      <c r="E56" t="s">
        <v>581</v>
      </c>
      <c r="F56" s="240"/>
      <c r="G56" s="89" t="s">
        <v>582</v>
      </c>
      <c r="H56" s="3"/>
      <c r="I56" s="3" t="s">
        <v>153</v>
      </c>
      <c r="J56" s="114"/>
      <c r="K56" s="114"/>
      <c r="L56" s="141">
        <f t="shared" ref="L56:S56" si="3">L55 * $H$25</f>
        <v>7.3022692869416268</v>
      </c>
      <c r="M56" s="141">
        <f t="shared" si="3"/>
        <v>2.9309686023183494</v>
      </c>
      <c r="N56" s="141">
        <f t="shared" si="3"/>
        <v>10.110215600167953</v>
      </c>
      <c r="O56" s="141">
        <f t="shared" si="3"/>
        <v>4.9718723888224803</v>
      </c>
      <c r="P56" s="141">
        <f t="shared" si="3"/>
        <v>0</v>
      </c>
      <c r="Q56" s="141">
        <f t="shared" si="3"/>
        <v>15.492207893460552</v>
      </c>
      <c r="R56" s="141">
        <f t="shared" si="3"/>
        <v>5.5526113454493755</v>
      </c>
      <c r="S56" s="141">
        <f t="shared" si="3"/>
        <v>12.171305431689953</v>
      </c>
      <c r="T56" s="114"/>
      <c r="U56" s="114"/>
      <c r="W56" s="3" t="s">
        <v>583</v>
      </c>
    </row>
    <row r="57" spans="2:23" x14ac:dyDescent="0.25">
      <c r="H57" s="3"/>
      <c r="I57" s="3"/>
      <c r="J57" s="170"/>
      <c r="K57" s="170"/>
      <c r="L57" s="170"/>
      <c r="M57" s="170"/>
      <c r="N57" s="170"/>
      <c r="O57" s="170"/>
      <c r="P57" s="170"/>
      <c r="Q57" s="170"/>
      <c r="R57" s="170"/>
      <c r="S57" s="170"/>
      <c r="T57" s="170"/>
      <c r="U57" s="170"/>
      <c r="W57" s="3"/>
    </row>
    <row r="58" spans="2:23" x14ac:dyDescent="0.25">
      <c r="B58" s="70" t="s">
        <v>584</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585</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586</v>
      </c>
      <c r="G64" t="s">
        <v>171</v>
      </c>
      <c r="J64" s="114"/>
      <c r="K64" s="163">
        <f t="array" ref="K64:S64">TRANSPOSE('System peak demand'!H269:H277)</f>
        <v>3022.6741426482899</v>
      </c>
      <c r="L64" s="163">
        <v>2983.1898825656467</v>
      </c>
      <c r="M64" s="163">
        <v>2974.3289225184212</v>
      </c>
      <c r="N64" s="163">
        <v>2979.7218033021154</v>
      </c>
      <c r="O64" s="163">
        <v>3264.4062813337082</v>
      </c>
      <c r="P64" s="163">
        <v>0</v>
      </c>
      <c r="Q64" s="163">
        <v>3155.9929584395286</v>
      </c>
      <c r="R64" s="163">
        <v>2534.0446752266816</v>
      </c>
      <c r="S64" s="163">
        <v>2091.0422019930461</v>
      </c>
      <c r="T64" s="114"/>
      <c r="U64" s="114"/>
    </row>
    <row r="65" spans="3:24" x14ac:dyDescent="0.25">
      <c r="E65" s="89" t="s">
        <v>587</v>
      </c>
      <c r="F65" s="89"/>
      <c r="G65" s="89" t="s">
        <v>171</v>
      </c>
      <c r="H65" s="146"/>
      <c r="J65" s="141">
        <f>K64</f>
        <v>3022.6741426482899</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586</v>
      </c>
      <c r="F67" s="89"/>
      <c r="G67" s="89" t="s">
        <v>517</v>
      </c>
      <c r="H67" s="146"/>
      <c r="J67" s="141">
        <f t="shared" ref="J67:S67" si="4">SUM(J64:J65) * thousand</f>
        <v>3022674.1426482899</v>
      </c>
      <c r="K67" s="141">
        <f t="shared" si="4"/>
        <v>3022674.1426482899</v>
      </c>
      <c r="L67" s="141">
        <f t="shared" si="4"/>
        <v>2983189.8825656469</v>
      </c>
      <c r="M67" s="141">
        <f t="shared" si="4"/>
        <v>2974328.9225184214</v>
      </c>
      <c r="N67" s="141">
        <f t="shared" si="4"/>
        <v>2979721.8033021153</v>
      </c>
      <c r="O67" s="141">
        <f t="shared" si="4"/>
        <v>3264406.2813337082</v>
      </c>
      <c r="P67" s="141">
        <f t="shared" si="4"/>
        <v>0</v>
      </c>
      <c r="Q67" s="141">
        <f t="shared" si="4"/>
        <v>3155992.9584395285</v>
      </c>
      <c r="R67" s="141">
        <f t="shared" si="4"/>
        <v>2534044.6752266819</v>
      </c>
      <c r="S67" s="141">
        <f t="shared" si="4"/>
        <v>2091042.2019930461</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588</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589</v>
      </c>
      <c r="F73" s="89"/>
      <c r="G73" s="89" t="s">
        <v>276</v>
      </c>
      <c r="J73" s="114"/>
      <c r="K73" s="114"/>
      <c r="L73" s="141">
        <f t="shared" ref="L73:S73" si="5">L67 * L55</f>
        <v>378969653.97090429</v>
      </c>
      <c r="M73" s="141">
        <f t="shared" si="5"/>
        <v>151658184.81236148</v>
      </c>
      <c r="N73" s="141">
        <f t="shared" si="5"/>
        <v>524085119.81567377</v>
      </c>
      <c r="O73" s="141">
        <f t="shared" si="5"/>
        <v>282351351.82698816</v>
      </c>
      <c r="P73" s="141">
        <f t="shared" si="5"/>
        <v>0</v>
      </c>
      <c r="Q73" s="141">
        <f t="shared" si="5"/>
        <v>850579742.08412981</v>
      </c>
      <c r="R73" s="141">
        <f t="shared" si="5"/>
        <v>244780736.20715559</v>
      </c>
      <c r="S73" s="141">
        <f t="shared" si="5"/>
        <v>442757220.24811745</v>
      </c>
      <c r="T73" s="114"/>
      <c r="U73" s="114"/>
      <c r="X73" s="92"/>
    </row>
    <row r="74" spans="3:24" x14ac:dyDescent="0.25">
      <c r="E74" s="89" t="s">
        <v>590</v>
      </c>
      <c r="F74" s="89"/>
      <c r="G74" s="89" t="s">
        <v>276</v>
      </c>
      <c r="J74" s="114"/>
      <c r="K74" s="114"/>
      <c r="L74" s="114"/>
      <c r="M74" s="114"/>
      <c r="N74" s="114"/>
      <c r="O74" s="114"/>
      <c r="P74" s="114"/>
      <c r="Q74" s="114"/>
      <c r="R74" s="114"/>
      <c r="S74" s="114"/>
      <c r="T74" s="163">
        <f>'Service model assets'!H33</f>
        <v>3617474285.1969399</v>
      </c>
      <c r="U74" s="163">
        <f>'Service model assets'!H34</f>
        <v>128594981.64682969</v>
      </c>
      <c r="X74" s="92"/>
    </row>
    <row r="75" spans="3:24" x14ac:dyDescent="0.25">
      <c r="J75" s="101"/>
      <c r="K75" s="101"/>
      <c r="L75" s="101"/>
      <c r="M75" s="101"/>
      <c r="N75" s="101"/>
      <c r="O75" s="101"/>
      <c r="P75" s="101"/>
      <c r="Q75" s="101"/>
      <c r="R75" s="101"/>
      <c r="S75" s="101"/>
      <c r="T75" s="101"/>
      <c r="U75" s="101"/>
      <c r="X75" s="92"/>
    </row>
    <row r="76" spans="3:24" x14ac:dyDescent="0.25">
      <c r="E76" s="89" t="s">
        <v>591</v>
      </c>
      <c r="F76" s="89"/>
      <c r="G76" s="89" t="s">
        <v>276</v>
      </c>
      <c r="I76" t="s">
        <v>153</v>
      </c>
      <c r="J76" s="114"/>
      <c r="K76" s="141">
        <f t="shared" ref="K76:U76" si="6">K73 + K74</f>
        <v>0</v>
      </c>
      <c r="L76" s="141">
        <f t="shared" si="6"/>
        <v>378969653.97090429</v>
      </c>
      <c r="M76" s="141">
        <f t="shared" si="6"/>
        <v>151658184.81236148</v>
      </c>
      <c r="N76" s="141">
        <f t="shared" si="6"/>
        <v>524085119.81567377</v>
      </c>
      <c r="O76" s="141">
        <f t="shared" si="6"/>
        <v>282351351.82698816</v>
      </c>
      <c r="P76" s="141">
        <f t="shared" si="6"/>
        <v>0</v>
      </c>
      <c r="Q76" s="141">
        <f t="shared" si="6"/>
        <v>850579742.08412981</v>
      </c>
      <c r="R76" s="141">
        <f t="shared" si="6"/>
        <v>244780736.20715559</v>
      </c>
      <c r="S76" s="141">
        <f t="shared" si="6"/>
        <v>442757220.24811745</v>
      </c>
      <c r="T76" s="141">
        <f t="shared" si="6"/>
        <v>3617474285.1969399</v>
      </c>
      <c r="U76" s="141">
        <f t="shared" si="6"/>
        <v>128594981.64682969</v>
      </c>
      <c r="W76" s="3" t="s">
        <v>592</v>
      </c>
      <c r="X76" s="92"/>
    </row>
    <row r="77" spans="3:24" x14ac:dyDescent="0.25">
      <c r="L77" s="92"/>
      <c r="M77" s="92"/>
      <c r="N77" s="92"/>
      <c r="O77" s="92"/>
      <c r="P77" s="92"/>
      <c r="Q77" s="92"/>
      <c r="R77" s="92"/>
      <c r="S77" s="92"/>
      <c r="T77" s="92"/>
      <c r="U77" s="92"/>
      <c r="X77" s="92"/>
    </row>
    <row r="78" spans="3:24" x14ac:dyDescent="0.25">
      <c r="E78" s="89" t="s">
        <v>593</v>
      </c>
      <c r="F78" s="89"/>
      <c r="G78" s="89" t="s">
        <v>166</v>
      </c>
      <c r="J78" s="243"/>
      <c r="K78" s="188">
        <f t="shared" ref="K78:U78" si="7">K76 / SUM($K$76:$U$76)</f>
        <v>0</v>
      </c>
      <c r="L78" s="188">
        <f t="shared" si="7"/>
        <v>5.7235352984635848E-2</v>
      </c>
      <c r="M78" s="188">
        <f t="shared" si="7"/>
        <v>2.2904762029867118E-2</v>
      </c>
      <c r="N78" s="188">
        <f t="shared" si="7"/>
        <v>7.9151975659107102E-2</v>
      </c>
      <c r="O78" s="188">
        <f t="shared" si="7"/>
        <v>4.2643201423055124E-2</v>
      </c>
      <c r="P78" s="188">
        <f t="shared" si="7"/>
        <v>0</v>
      </c>
      <c r="Q78" s="188">
        <f t="shared" si="7"/>
        <v>0.12846208468054116</v>
      </c>
      <c r="R78" s="188">
        <f t="shared" si="7"/>
        <v>3.6968954357836842E-2</v>
      </c>
      <c r="S78" s="188">
        <f t="shared" si="7"/>
        <v>6.6869116093772413E-2</v>
      </c>
      <c r="T78" s="188">
        <f t="shared" si="7"/>
        <v>0.54634299991203605</v>
      </c>
      <c r="U78" s="188">
        <f t="shared" si="7"/>
        <v>1.942155285914832E-2</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594</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168</v>
      </c>
      <c r="F84" s="89"/>
      <c r="G84" s="89" t="s">
        <v>166</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358</v>
      </c>
      <c r="F86" s="89"/>
      <c r="G86" s="89" t="s">
        <v>355</v>
      </c>
      <c r="H86" s="163">
        <f>'General inputs'!H103</f>
        <v>46850147.59137518</v>
      </c>
      <c r="L86" s="92"/>
      <c r="M86" s="92"/>
      <c r="N86" s="92"/>
      <c r="O86" s="92"/>
      <c r="P86" s="92"/>
      <c r="Q86" s="92"/>
      <c r="R86" s="92"/>
      <c r="S86" s="92"/>
      <c r="T86" s="92"/>
      <c r="U86" s="92"/>
    </row>
    <row r="87" spans="3:23" x14ac:dyDescent="0.25">
      <c r="E87" s="89" t="s">
        <v>359</v>
      </c>
      <c r="F87" s="89"/>
      <c r="G87" s="89" t="s">
        <v>355</v>
      </c>
      <c r="H87" s="163">
        <f>'General inputs'!H104</f>
        <v>144197542.74988344</v>
      </c>
      <c r="L87" s="92"/>
      <c r="M87" s="92"/>
      <c r="N87" s="92"/>
      <c r="O87" s="92"/>
      <c r="P87" s="92"/>
      <c r="Q87" s="92"/>
      <c r="R87" s="92"/>
      <c r="S87" s="92"/>
      <c r="T87" s="92"/>
      <c r="U87" s="92"/>
    </row>
    <row r="88" spans="3:23" x14ac:dyDescent="0.25">
      <c r="E88" s="89" t="s">
        <v>360</v>
      </c>
      <c r="F88" s="89"/>
      <c r="G88" s="89" t="s">
        <v>355</v>
      </c>
      <c r="H88" s="163">
        <f>'General inputs'!H105</f>
        <v>35371516.645660847</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595</v>
      </c>
      <c r="F90" s="89"/>
      <c r="G90" s="89" t="s">
        <v>355</v>
      </c>
      <c r="H90" s="141">
        <f>H86 + H87 * H84 + H88</f>
        <v>168740189.88696608</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596</v>
      </c>
      <c r="H94" s="92"/>
      <c r="L94" s="92"/>
      <c r="M94" s="92"/>
      <c r="N94" s="92"/>
      <c r="O94" s="92"/>
      <c r="P94" s="92"/>
      <c r="Q94" s="92"/>
      <c r="R94" s="92"/>
      <c r="S94" s="92"/>
      <c r="T94" s="92"/>
      <c r="U94" s="92"/>
    </row>
    <row r="95" spans="3:23" x14ac:dyDescent="0.25">
      <c r="D95" s="71" t="s">
        <v>597</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598</v>
      </c>
      <c r="F97" s="89"/>
      <c r="G97" s="89" t="s">
        <v>355</v>
      </c>
      <c r="I97" t="s">
        <v>153</v>
      </c>
      <c r="J97" s="114"/>
      <c r="K97" s="141">
        <f t="shared" ref="K97:U97" si="8">K78 * $H$90</f>
        <v>0</v>
      </c>
      <c r="L97" s="141">
        <f t="shared" si="8"/>
        <v>9657904.3308749832</v>
      </c>
      <c r="M97" s="141">
        <f t="shared" si="8"/>
        <v>3864953.8942355481</v>
      </c>
      <c r="N97" s="141">
        <f t="shared" si="8"/>
        <v>13356119.402646249</v>
      </c>
      <c r="O97" s="141">
        <f t="shared" si="8"/>
        <v>7195621.9055144638</v>
      </c>
      <c r="P97" s="141">
        <f t="shared" si="8"/>
        <v>0</v>
      </c>
      <c r="Q97" s="141">
        <f t="shared" si="8"/>
        <v>21676716.56227003</v>
      </c>
      <c r="R97" s="141">
        <f t="shared" si="8"/>
        <v>6238148.3782639708</v>
      </c>
      <c r="S97" s="141">
        <f t="shared" si="8"/>
        <v>11283507.347236736</v>
      </c>
      <c r="T97" s="141">
        <f t="shared" si="8"/>
        <v>92190021.548571661</v>
      </c>
      <c r="U97" s="141">
        <f t="shared" si="8"/>
        <v>3277196.5173524367</v>
      </c>
      <c r="W97" s="3" t="s">
        <v>599</v>
      </c>
    </row>
    <row r="98" spans="2:23" x14ac:dyDescent="0.25">
      <c r="E98" s="89" t="s">
        <v>354</v>
      </c>
      <c r="F98" s="89"/>
      <c r="G98" s="89" t="s">
        <v>355</v>
      </c>
      <c r="H98" s="92"/>
      <c r="I98" s="92"/>
      <c r="J98" s="163">
        <f>'General inputs'!$H$98</f>
        <v>16529252.902402336</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600</v>
      </c>
      <c r="F100" s="89"/>
      <c r="G100" s="89" t="s">
        <v>601</v>
      </c>
      <c r="I100" t="s">
        <v>153</v>
      </c>
      <c r="J100" s="141">
        <f t="shared" ref="J100:S100" si="9">IF(J$67 = 0, 0, SUM(J97:J98) / J$67)</f>
        <v>5.4684203861685114</v>
      </c>
      <c r="K100" s="141">
        <f t="shared" si="9"/>
        <v>0</v>
      </c>
      <c r="L100" s="141">
        <f t="shared" si="9"/>
        <v>3.2374420372359438</v>
      </c>
      <c r="M100" s="141">
        <f t="shared" si="9"/>
        <v>1.2994372831378103</v>
      </c>
      <c r="N100" s="141">
        <f t="shared" si="9"/>
        <v>4.4823377094616861</v>
      </c>
      <c r="O100" s="141">
        <f t="shared" si="9"/>
        <v>2.2042666523036512</v>
      </c>
      <c r="P100" s="141">
        <f t="shared" si="9"/>
        <v>0</v>
      </c>
      <c r="Q100" s="141">
        <f t="shared" si="9"/>
        <v>6.8684299514369069</v>
      </c>
      <c r="R100" s="141">
        <f t="shared" si="9"/>
        <v>2.4617357536152911</v>
      </c>
      <c r="S100" s="141">
        <f t="shared" si="9"/>
        <v>5.3961165090221641</v>
      </c>
      <c r="T100" s="114"/>
      <c r="U100" s="114"/>
      <c r="W100" s="3" t="s">
        <v>602</v>
      </c>
    </row>
    <row r="101" spans="2:23" x14ac:dyDescent="0.25">
      <c r="J101" s="101"/>
      <c r="K101" s="101"/>
      <c r="L101" s="101"/>
      <c r="M101" s="101"/>
      <c r="N101" s="101"/>
      <c r="O101" s="101"/>
      <c r="P101" s="101"/>
      <c r="Q101" s="101"/>
      <c r="R101" s="101"/>
      <c r="S101" s="101"/>
      <c r="T101" s="101"/>
      <c r="U101" s="101"/>
    </row>
    <row r="102" spans="2:23" x14ac:dyDescent="0.25">
      <c r="B102" s="70" t="s">
        <v>603</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604</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591</v>
      </c>
      <c r="F108" s="89"/>
      <c r="G108" s="89" t="s">
        <v>276</v>
      </c>
      <c r="J108" s="114"/>
      <c r="K108" s="164">
        <f t="shared" ref="K108:U108" si="10">K76</f>
        <v>0</v>
      </c>
      <c r="L108" s="164">
        <f t="shared" si="10"/>
        <v>378969653.97090429</v>
      </c>
      <c r="M108" s="164">
        <f t="shared" si="10"/>
        <v>151658184.81236148</v>
      </c>
      <c r="N108" s="164">
        <f t="shared" si="10"/>
        <v>524085119.81567377</v>
      </c>
      <c r="O108" s="164">
        <f t="shared" si="10"/>
        <v>282351351.82698816</v>
      </c>
      <c r="P108" s="164">
        <f t="shared" si="10"/>
        <v>0</v>
      </c>
      <c r="Q108" s="164">
        <f t="shared" si="10"/>
        <v>850579742.08412981</v>
      </c>
      <c r="R108" s="164">
        <f t="shared" si="10"/>
        <v>244780736.20715559</v>
      </c>
      <c r="S108" s="164">
        <f t="shared" si="10"/>
        <v>442757220.24811745</v>
      </c>
      <c r="T108" s="164">
        <f t="shared" si="10"/>
        <v>3617474285.1969399</v>
      </c>
      <c r="U108" s="164">
        <f t="shared" si="10"/>
        <v>128594981.64682969</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605</v>
      </c>
    </row>
    <row r="113" spans="2:24" x14ac:dyDescent="0.25">
      <c r="B113" s="71"/>
      <c r="D113" s="71"/>
    </row>
    <row r="114" spans="2:24" x14ac:dyDescent="0.25">
      <c r="E114" t="s">
        <v>581</v>
      </c>
      <c r="F114" s="240"/>
      <c r="G114" s="89" t="s">
        <v>601</v>
      </c>
      <c r="H114" s="3"/>
      <c r="I114" s="3"/>
      <c r="J114" s="114"/>
      <c r="K114" s="114"/>
      <c r="L114" s="164">
        <f t="shared" ref="L114:S114" si="11">L56</f>
        <v>7.3022692869416268</v>
      </c>
      <c r="M114" s="164">
        <f t="shared" si="11"/>
        <v>2.9309686023183494</v>
      </c>
      <c r="N114" s="164">
        <f t="shared" si="11"/>
        <v>10.110215600167953</v>
      </c>
      <c r="O114" s="164">
        <f t="shared" si="11"/>
        <v>4.9718723888224803</v>
      </c>
      <c r="P114" s="164">
        <f t="shared" si="11"/>
        <v>0</v>
      </c>
      <c r="Q114" s="164">
        <f t="shared" si="11"/>
        <v>15.492207893460552</v>
      </c>
      <c r="R114" s="164">
        <f t="shared" si="11"/>
        <v>5.5526113454493755</v>
      </c>
      <c r="S114" s="164">
        <f t="shared" si="11"/>
        <v>12.171305431689953</v>
      </c>
      <c r="T114" s="114"/>
      <c r="U114" s="114"/>
    </row>
    <row r="115" spans="2:24" x14ac:dyDescent="0.25">
      <c r="B115" s="71"/>
      <c r="E115" t="s">
        <v>600</v>
      </c>
      <c r="F115" s="89"/>
      <c r="G115" s="89" t="s">
        <v>601</v>
      </c>
      <c r="J115" s="164">
        <f t="shared" ref="J115:S115" si="12">J100</f>
        <v>5.4684203861685114</v>
      </c>
      <c r="K115" s="164">
        <f t="shared" si="12"/>
        <v>0</v>
      </c>
      <c r="L115" s="164">
        <f t="shared" si="12"/>
        <v>3.2374420372359438</v>
      </c>
      <c r="M115" s="164">
        <f t="shared" si="12"/>
        <v>1.2994372831378103</v>
      </c>
      <c r="N115" s="164">
        <f t="shared" si="12"/>
        <v>4.4823377094616861</v>
      </c>
      <c r="O115" s="164">
        <f t="shared" si="12"/>
        <v>2.2042666523036512</v>
      </c>
      <c r="P115" s="164">
        <f t="shared" si="12"/>
        <v>0</v>
      </c>
      <c r="Q115" s="164">
        <f t="shared" si="12"/>
        <v>6.8684299514369069</v>
      </c>
      <c r="R115" s="164">
        <f t="shared" si="12"/>
        <v>2.4617357536152911</v>
      </c>
      <c r="S115" s="164">
        <f t="shared" si="12"/>
        <v>5.3961165090221641</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606</v>
      </c>
    </row>
    <row r="120" spans="2:24" x14ac:dyDescent="0.25">
      <c r="B120" s="71"/>
      <c r="D120" s="71"/>
    </row>
    <row r="121" spans="2:24" x14ac:dyDescent="0.25">
      <c r="B121" s="71"/>
      <c r="C121" s="60"/>
      <c r="E121" t="s">
        <v>565</v>
      </c>
      <c r="F121" s="89"/>
      <c r="G121" s="89" t="s">
        <v>166</v>
      </c>
      <c r="H121" s="249">
        <f>H25</f>
        <v>5.7482322471779264E-2</v>
      </c>
    </row>
    <row r="122" spans="2:24" x14ac:dyDescent="0.25">
      <c r="B122" s="71"/>
      <c r="C122" s="60"/>
      <c r="E122" t="s">
        <v>595</v>
      </c>
      <c r="F122" s="89"/>
      <c r="G122" s="89" t="s">
        <v>355</v>
      </c>
      <c r="H122" s="164">
        <f>H90</f>
        <v>168740189.88696608</v>
      </c>
    </row>
    <row r="123" spans="2:24" x14ac:dyDescent="0.25">
      <c r="E123" t="s">
        <v>591</v>
      </c>
      <c r="F123" s="89"/>
      <c r="G123" s="89" t="s">
        <v>276</v>
      </c>
      <c r="H123" s="164">
        <f>SUM(K76:U76)</f>
        <v>6621251275.8091002</v>
      </c>
      <c r="X123" s="92"/>
    </row>
    <row r="124" spans="2:24" x14ac:dyDescent="0.25">
      <c r="B124" s="71"/>
      <c r="C124" s="60"/>
    </row>
    <row r="125" spans="2:24" x14ac:dyDescent="0.25">
      <c r="B125" s="70" t="s">
        <v>230</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231</v>
      </c>
      <c r="G127" s="6" t="s">
        <v>54</v>
      </c>
      <c r="H127" s="250">
        <f t="array" ref="H127">SUM(IF(ISERROR(H23:U123), 1))</f>
        <v>0</v>
      </c>
    </row>
    <row r="129" spans="2:23" x14ac:dyDescent="0.25">
      <c r="E129" t="s">
        <v>607</v>
      </c>
      <c r="G129" s="6" t="s">
        <v>54</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238</v>
      </c>
      <c r="G131" s="6" t="s">
        <v>54</v>
      </c>
      <c r="H131" s="108">
        <f>H127 + H129</f>
        <v>0</v>
      </c>
    </row>
    <row r="133" spans="2:23" x14ac:dyDescent="0.25">
      <c r="B133" s="70" t="s">
        <v>105</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6" spans="1:27" x14ac:dyDescent="0.25">
      <c r="H6" s="3"/>
      <c r="I6" s="3"/>
      <c r="J6" s="3"/>
      <c r="K6" s="3"/>
      <c r="L6" s="3"/>
      <c r="M6" s="3"/>
      <c r="N6" s="3"/>
      <c r="P6" s="3"/>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608</v>
      </c>
      <c r="E9" s="89"/>
    </row>
    <row r="11" spans="1:27" x14ac:dyDescent="0.25">
      <c r="B11" s="70" t="s">
        <v>609</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610</v>
      </c>
    </row>
    <row r="17" spans="5:27" x14ac:dyDescent="0.25">
      <c r="E17" s="60" t="s">
        <v>611</v>
      </c>
      <c r="G17" s="89"/>
      <c r="H17" s="3"/>
      <c r="I17" s="3" t="s">
        <v>153</v>
      </c>
      <c r="AA17" t="s">
        <v>612</v>
      </c>
    </row>
    <row r="18" spans="5:27" x14ac:dyDescent="0.25">
      <c r="F18" s="253" t="s">
        <v>188</v>
      </c>
      <c r="G18" s="93" t="s">
        <v>582</v>
      </c>
      <c r="H18" s="112"/>
    </row>
    <row r="19" spans="5:27" x14ac:dyDescent="0.25">
      <c r="F19" s="254" t="s">
        <v>190</v>
      </c>
      <c r="G19" s="89" t="s">
        <v>582</v>
      </c>
      <c r="H19" s="114"/>
    </row>
    <row r="20" spans="5:27" x14ac:dyDescent="0.25">
      <c r="F20" s="254" t="s">
        <v>191</v>
      </c>
      <c r="G20" s="89" t="s">
        <v>582</v>
      </c>
      <c r="H20" s="255">
        <f t="array" ref="H20:H27">TRANSPOSE('Unit costs'!L114:S114)</f>
        <v>7.3022692869416268</v>
      </c>
    </row>
    <row r="21" spans="5:27" x14ac:dyDescent="0.25">
      <c r="F21" s="254" t="s">
        <v>192</v>
      </c>
      <c r="G21" s="89" t="s">
        <v>582</v>
      </c>
      <c r="H21" s="255">
        <v>2.9309686023183494</v>
      </c>
    </row>
    <row r="22" spans="5:27" x14ac:dyDescent="0.25">
      <c r="F22" s="254" t="s">
        <v>193</v>
      </c>
      <c r="G22" s="89" t="s">
        <v>582</v>
      </c>
      <c r="H22" s="255">
        <v>10.110215600167953</v>
      </c>
    </row>
    <row r="23" spans="5:27" x14ac:dyDescent="0.25">
      <c r="F23" s="254" t="s">
        <v>194</v>
      </c>
      <c r="G23" s="89" t="s">
        <v>582</v>
      </c>
      <c r="H23" s="255">
        <v>4.9718723888224803</v>
      </c>
    </row>
    <row r="24" spans="5:27" x14ac:dyDescent="0.25">
      <c r="F24" s="254" t="s">
        <v>195</v>
      </c>
      <c r="G24" s="89" t="s">
        <v>582</v>
      </c>
      <c r="H24" s="255">
        <v>0</v>
      </c>
    </row>
    <row r="25" spans="5:27" x14ac:dyDescent="0.25">
      <c r="F25" s="254" t="s">
        <v>196</v>
      </c>
      <c r="G25" s="89" t="s">
        <v>582</v>
      </c>
      <c r="H25" s="255">
        <v>15.492207893460552</v>
      </c>
    </row>
    <row r="26" spans="5:27" x14ac:dyDescent="0.25">
      <c r="F26" s="254" t="s">
        <v>197</v>
      </c>
      <c r="G26" s="89" t="s">
        <v>582</v>
      </c>
      <c r="H26" s="255">
        <v>5.5526113454493755</v>
      </c>
    </row>
    <row r="27" spans="5:27" x14ac:dyDescent="0.25">
      <c r="F27" s="256" t="s">
        <v>198</v>
      </c>
      <c r="G27" s="96" t="s">
        <v>582</v>
      </c>
      <c r="H27" s="257">
        <v>12.171305431689953</v>
      </c>
    </row>
    <row r="28" spans="5:27" x14ac:dyDescent="0.25">
      <c r="F28" s="254"/>
      <c r="G28" s="89"/>
      <c r="H28" s="163"/>
    </row>
    <row r="29" spans="5:27" x14ac:dyDescent="0.25">
      <c r="E29" s="60" t="s">
        <v>613</v>
      </c>
      <c r="G29" s="89"/>
      <c r="H29" s="101"/>
    </row>
    <row r="30" spans="5:27" x14ac:dyDescent="0.25">
      <c r="F30" s="253" t="s">
        <v>188</v>
      </c>
      <c r="G30" s="93" t="s">
        <v>601</v>
      </c>
      <c r="H30" s="258">
        <f t="array" ref="H30:H39">TRANSPOSE('Unit costs'!J115:S115)</f>
        <v>5.4684203861685114</v>
      </c>
    </row>
    <row r="31" spans="5:27" x14ac:dyDescent="0.25">
      <c r="F31" s="254" t="s">
        <v>190</v>
      </c>
      <c r="G31" s="89" t="s">
        <v>601</v>
      </c>
      <c r="H31" s="255">
        <v>0</v>
      </c>
    </row>
    <row r="32" spans="5:27" x14ac:dyDescent="0.25">
      <c r="F32" s="254" t="s">
        <v>191</v>
      </c>
      <c r="G32" s="89" t="s">
        <v>601</v>
      </c>
      <c r="H32" s="255">
        <v>3.2374420372359438</v>
      </c>
    </row>
    <row r="33" spans="5:16" x14ac:dyDescent="0.25">
      <c r="F33" s="254" t="s">
        <v>192</v>
      </c>
      <c r="G33" s="89" t="s">
        <v>601</v>
      </c>
      <c r="H33" s="255">
        <v>1.2994372831378103</v>
      </c>
      <c r="J33" s="92"/>
      <c r="K33" s="92"/>
      <c r="L33" s="92"/>
      <c r="M33" s="92"/>
      <c r="N33" s="92"/>
    </row>
    <row r="34" spans="5:16" x14ac:dyDescent="0.25">
      <c r="F34" s="254" t="s">
        <v>193</v>
      </c>
      <c r="G34" s="89" t="s">
        <v>601</v>
      </c>
      <c r="H34" s="255">
        <v>4.4823377094616861</v>
      </c>
      <c r="J34" s="92"/>
      <c r="K34" s="92"/>
      <c r="L34" s="92"/>
      <c r="M34" s="92"/>
      <c r="N34" s="92"/>
    </row>
    <row r="35" spans="5:16" x14ac:dyDescent="0.25">
      <c r="F35" s="254" t="s">
        <v>194</v>
      </c>
      <c r="G35" s="89" t="s">
        <v>601</v>
      </c>
      <c r="H35" s="255">
        <v>2.2042666523036512</v>
      </c>
      <c r="J35" s="92"/>
      <c r="K35" s="92"/>
      <c r="L35" s="92"/>
      <c r="M35" s="92"/>
      <c r="N35" s="92"/>
    </row>
    <row r="36" spans="5:16" x14ac:dyDescent="0.25">
      <c r="F36" s="254" t="s">
        <v>195</v>
      </c>
      <c r="G36" s="89" t="s">
        <v>601</v>
      </c>
      <c r="H36" s="255">
        <v>0</v>
      </c>
      <c r="J36" s="92"/>
      <c r="K36" s="92"/>
      <c r="L36" s="92"/>
      <c r="M36" s="92"/>
      <c r="N36" s="92"/>
    </row>
    <row r="37" spans="5:16" x14ac:dyDescent="0.25">
      <c r="F37" s="254" t="s">
        <v>196</v>
      </c>
      <c r="G37" s="89" t="s">
        <v>601</v>
      </c>
      <c r="H37" s="255">
        <v>6.8684299514369069</v>
      </c>
      <c r="J37" s="92"/>
      <c r="K37" s="92"/>
      <c r="L37" s="92"/>
      <c r="M37" s="92"/>
      <c r="N37" s="92"/>
      <c r="O37" s="92"/>
    </row>
    <row r="38" spans="5:16" x14ac:dyDescent="0.25">
      <c r="F38" s="254" t="s">
        <v>197</v>
      </c>
      <c r="G38" s="89" t="s">
        <v>601</v>
      </c>
      <c r="H38" s="255">
        <v>2.4617357536152911</v>
      </c>
      <c r="J38" s="92"/>
      <c r="K38" s="92"/>
      <c r="L38" s="92"/>
      <c r="M38" s="92"/>
      <c r="N38" s="92"/>
      <c r="O38" s="92"/>
    </row>
    <row r="39" spans="5:16" x14ac:dyDescent="0.25">
      <c r="F39" s="256" t="s">
        <v>198</v>
      </c>
      <c r="G39" s="96" t="s">
        <v>601</v>
      </c>
      <c r="H39" s="257">
        <v>5.3961165090221641</v>
      </c>
      <c r="J39" s="92"/>
      <c r="K39" s="92"/>
      <c r="L39" s="92"/>
      <c r="M39" s="92"/>
      <c r="N39" s="92"/>
      <c r="O39" s="92"/>
    </row>
    <row r="40" spans="5:16" x14ac:dyDescent="0.25">
      <c r="G40" s="89"/>
      <c r="H40" s="101"/>
      <c r="J40" s="92"/>
      <c r="K40" s="92"/>
      <c r="L40" s="92"/>
      <c r="M40" s="92"/>
      <c r="N40" s="92"/>
      <c r="O40" s="92"/>
    </row>
    <row r="41" spans="5:16" x14ac:dyDescent="0.25">
      <c r="E41" s="60" t="s">
        <v>614</v>
      </c>
      <c r="F41" s="60"/>
      <c r="H41" s="170"/>
      <c r="I41" s="3"/>
      <c r="J41" s="92"/>
      <c r="K41" s="92"/>
      <c r="L41" s="92"/>
      <c r="M41" s="92"/>
      <c r="N41" s="92"/>
      <c r="O41" s="92"/>
      <c r="P41" s="3"/>
    </row>
    <row r="42" spans="5:16" x14ac:dyDescent="0.25">
      <c r="E42" s="71" t="s">
        <v>615</v>
      </c>
      <c r="F42" s="71"/>
      <c r="H42" s="170"/>
      <c r="I42" s="3"/>
      <c r="J42" s="92"/>
      <c r="K42" s="92"/>
      <c r="L42" s="92"/>
      <c r="M42" s="92"/>
      <c r="N42" s="92"/>
      <c r="O42" s="92"/>
      <c r="P42" s="3"/>
    </row>
    <row r="43" spans="5:16" x14ac:dyDescent="0.25">
      <c r="F43" s="90" t="s">
        <v>188</v>
      </c>
      <c r="G43" s="90" t="s">
        <v>282</v>
      </c>
      <c r="H43" s="167">
        <f t="array" ref="H43:H52">TRANSPOSE('Load &amp; loss characteristics'!J29:S29)</f>
        <v>1</v>
      </c>
      <c r="I43" s="3"/>
      <c r="J43" s="92"/>
      <c r="K43" s="92"/>
      <c r="L43" s="92"/>
      <c r="M43" s="92"/>
      <c r="N43" s="92"/>
      <c r="O43" s="92"/>
    </row>
    <row r="44" spans="5:16" x14ac:dyDescent="0.25">
      <c r="F44" t="s">
        <v>190</v>
      </c>
      <c r="G44" t="s">
        <v>282</v>
      </c>
      <c r="H44" s="163">
        <v>1</v>
      </c>
      <c r="I44" s="3"/>
      <c r="J44" s="92"/>
      <c r="K44" s="92"/>
      <c r="L44" s="92"/>
      <c r="M44" s="92"/>
      <c r="N44" s="92"/>
      <c r="O44" s="92"/>
    </row>
    <row r="45" spans="5:16" x14ac:dyDescent="0.25">
      <c r="F45" t="s">
        <v>191</v>
      </c>
      <c r="G45" t="s">
        <v>282</v>
      </c>
      <c r="H45" s="163">
        <v>1.0069999999999999</v>
      </c>
      <c r="I45" s="3"/>
      <c r="J45" s="92"/>
      <c r="K45" s="92"/>
      <c r="L45" s="92"/>
      <c r="M45" s="92"/>
      <c r="N45" s="92"/>
      <c r="O45" s="92"/>
    </row>
    <row r="46" spans="5:16" x14ac:dyDescent="0.25">
      <c r="F46" t="s">
        <v>192</v>
      </c>
      <c r="G46" t="s">
        <v>282</v>
      </c>
      <c r="H46" s="163">
        <v>1.01</v>
      </c>
      <c r="J46" s="92"/>
      <c r="K46" s="92"/>
      <c r="L46" s="92"/>
      <c r="M46" s="92"/>
      <c r="N46" s="92"/>
      <c r="O46" s="92"/>
    </row>
    <row r="47" spans="5:16" x14ac:dyDescent="0.25">
      <c r="F47" t="s">
        <v>193</v>
      </c>
      <c r="G47" t="s">
        <v>282</v>
      </c>
      <c r="H47" s="163">
        <v>1.0129999999999999</v>
      </c>
      <c r="I47" s="3"/>
      <c r="J47" s="92"/>
      <c r="K47" s="92"/>
      <c r="L47" s="92"/>
      <c r="M47" s="92"/>
      <c r="N47" s="92"/>
      <c r="O47" s="92"/>
    </row>
    <row r="48" spans="5:16" x14ac:dyDescent="0.25">
      <c r="F48" t="s">
        <v>194</v>
      </c>
      <c r="G48" t="s">
        <v>282</v>
      </c>
      <c r="H48" s="163">
        <v>1.0189999999999999</v>
      </c>
      <c r="I48" s="3"/>
      <c r="J48" s="92"/>
      <c r="K48" s="92"/>
      <c r="L48" s="92"/>
      <c r="M48" s="92"/>
      <c r="N48" s="92"/>
      <c r="O48" s="92"/>
    </row>
    <row r="49" spans="4:25" x14ac:dyDescent="0.25">
      <c r="F49" t="s">
        <v>195</v>
      </c>
      <c r="G49" t="s">
        <v>282</v>
      </c>
      <c r="H49" s="163">
        <v>1.0189999999999999</v>
      </c>
      <c r="I49" s="3"/>
      <c r="J49" s="92"/>
      <c r="K49" s="92"/>
      <c r="L49" s="92"/>
      <c r="M49" s="92"/>
      <c r="N49" s="92"/>
      <c r="O49" s="92"/>
    </row>
    <row r="50" spans="4:25" x14ac:dyDescent="0.25">
      <c r="F50" t="s">
        <v>196</v>
      </c>
      <c r="G50" t="s">
        <v>282</v>
      </c>
      <c r="H50" s="163">
        <v>1.0289999999999999</v>
      </c>
      <c r="J50" s="92"/>
      <c r="K50" s="92"/>
      <c r="L50" s="92"/>
      <c r="M50" s="92"/>
      <c r="N50" s="92"/>
      <c r="O50" s="92"/>
    </row>
    <row r="51" spans="4:25" x14ac:dyDescent="0.25">
      <c r="F51" t="s">
        <v>197</v>
      </c>
      <c r="G51" t="s">
        <v>282</v>
      </c>
      <c r="H51" s="163">
        <v>1.044</v>
      </c>
      <c r="I51" s="3"/>
      <c r="J51" s="92"/>
      <c r="K51" s="92"/>
      <c r="L51" s="92"/>
      <c r="M51" s="92"/>
      <c r="N51" s="92"/>
      <c r="O51" s="92"/>
    </row>
    <row r="52" spans="4:25" x14ac:dyDescent="0.25">
      <c r="F52" s="91" t="s">
        <v>198</v>
      </c>
      <c r="G52" s="91" t="s">
        <v>282</v>
      </c>
      <c r="H52" s="168">
        <v>1.1379999999999999</v>
      </c>
      <c r="I52" s="3"/>
      <c r="J52" s="92"/>
      <c r="K52" s="92"/>
      <c r="L52" s="92"/>
      <c r="M52" s="92"/>
      <c r="N52" s="92"/>
      <c r="O52" s="92"/>
    </row>
    <row r="53" spans="4:25" x14ac:dyDescent="0.25">
      <c r="G53" s="89"/>
      <c r="H53" s="3"/>
      <c r="I53" s="3"/>
      <c r="J53" s="92"/>
      <c r="K53" s="92"/>
      <c r="L53" s="92"/>
      <c r="M53" s="92"/>
      <c r="N53" s="92"/>
      <c r="O53" s="92"/>
    </row>
    <row r="54" spans="4:25" x14ac:dyDescent="0.25">
      <c r="E54" s="60" t="s">
        <v>406</v>
      </c>
      <c r="F54" s="60"/>
      <c r="J54" s="92"/>
      <c r="L54" s="92"/>
    </row>
    <row r="55" spans="4:25" x14ac:dyDescent="0.25">
      <c r="D55" s="60"/>
      <c r="E55" s="60"/>
      <c r="F55" s="253" t="s">
        <v>188</v>
      </c>
      <c r="G55" s="90" t="s">
        <v>282</v>
      </c>
      <c r="H55" s="90"/>
      <c r="I55" s="90"/>
      <c r="J55" s="258">
        <f t="array" ref="J55:Y64">TRANSPOSE('Load &amp; loss characteristics'!J145:S160)</f>
        <v>1.1379999999999999</v>
      </c>
      <c r="K55" s="258">
        <v>1.1379999999999999</v>
      </c>
      <c r="L55" s="258">
        <v>1.1379999999999999</v>
      </c>
      <c r="M55" s="258">
        <v>1.1379999999999999</v>
      </c>
      <c r="N55" s="258">
        <v>1.1379999999999999</v>
      </c>
      <c r="O55" s="258">
        <v>1.044</v>
      </c>
      <c r="P55" s="258">
        <v>1.0289999999999999</v>
      </c>
      <c r="Q55" s="258">
        <v>1.1379999999999999</v>
      </c>
      <c r="R55" s="258">
        <v>-1.1379999999999999</v>
      </c>
      <c r="S55" s="258">
        <v>-1.044</v>
      </c>
      <c r="T55" s="258">
        <v>-1.1379999999999999</v>
      </c>
      <c r="U55" s="258">
        <v>-1.1379999999999999</v>
      </c>
      <c r="V55" s="258">
        <v>-1.044</v>
      </c>
      <c r="W55" s="258">
        <v>-1.044</v>
      </c>
      <c r="X55" s="258">
        <v>-1.0289999999999999</v>
      </c>
      <c r="Y55" s="258">
        <v>-1.0289999999999999</v>
      </c>
    </row>
    <row r="56" spans="4:25" x14ac:dyDescent="0.25">
      <c r="D56" s="60"/>
      <c r="E56" s="60"/>
      <c r="F56" s="254" t="s">
        <v>190</v>
      </c>
      <c r="G56" t="s">
        <v>282</v>
      </c>
      <c r="J56" s="255">
        <v>1.1379999999999999</v>
      </c>
      <c r="K56" s="255">
        <v>1.1379999999999999</v>
      </c>
      <c r="L56" s="255">
        <v>1.1379999999999999</v>
      </c>
      <c r="M56" s="255">
        <v>1.1379999999999999</v>
      </c>
      <c r="N56" s="255">
        <v>1.1379999999999999</v>
      </c>
      <c r="O56" s="255">
        <v>1.044</v>
      </c>
      <c r="P56" s="255">
        <v>1.0289999999999999</v>
      </c>
      <c r="Q56" s="255">
        <v>1.1379999999999999</v>
      </c>
      <c r="R56" s="255">
        <v>-1.1379999999999999</v>
      </c>
      <c r="S56" s="255">
        <v>-1.044</v>
      </c>
      <c r="T56" s="255">
        <v>-1.1379999999999999</v>
      </c>
      <c r="U56" s="255">
        <v>-1.1379999999999999</v>
      </c>
      <c r="V56" s="255">
        <v>-1.044</v>
      </c>
      <c r="W56" s="255">
        <v>-1.044</v>
      </c>
      <c r="X56" s="255">
        <v>-1.0289999999999999</v>
      </c>
      <c r="Y56" s="255">
        <v>-1.0289999999999999</v>
      </c>
    </row>
    <row r="57" spans="4:25" x14ac:dyDescent="0.25">
      <c r="D57" s="60"/>
      <c r="E57" s="60"/>
      <c r="F57" s="254" t="s">
        <v>191</v>
      </c>
      <c r="G57" t="s">
        <v>282</v>
      </c>
      <c r="J57" s="255">
        <v>1.1379999999999999</v>
      </c>
      <c r="K57" s="255">
        <v>1.1379999999999999</v>
      </c>
      <c r="L57" s="255">
        <v>1.1379999999999999</v>
      </c>
      <c r="M57" s="255">
        <v>1.1379999999999999</v>
      </c>
      <c r="N57" s="255">
        <v>1.1379999999999999</v>
      </c>
      <c r="O57" s="255">
        <v>1.044</v>
      </c>
      <c r="P57" s="255">
        <v>1.0289999999999999</v>
      </c>
      <c r="Q57" s="255">
        <v>1.1379999999999999</v>
      </c>
      <c r="R57" s="255">
        <v>-1.1379999999999999</v>
      </c>
      <c r="S57" s="255">
        <v>-1.044</v>
      </c>
      <c r="T57" s="255">
        <v>-1.1379999999999999</v>
      </c>
      <c r="U57" s="255">
        <v>-1.1379999999999999</v>
      </c>
      <c r="V57" s="255">
        <v>-1.044</v>
      </c>
      <c r="W57" s="255">
        <v>-1.044</v>
      </c>
      <c r="X57" s="255">
        <v>-1.0289999999999999</v>
      </c>
      <c r="Y57" s="255">
        <v>-1.0289999999999999</v>
      </c>
    </row>
    <row r="58" spans="4:25" x14ac:dyDescent="0.25">
      <c r="D58" s="60"/>
      <c r="E58" s="60"/>
      <c r="F58" s="254" t="s">
        <v>192</v>
      </c>
      <c r="G58" t="s">
        <v>282</v>
      </c>
      <c r="J58" s="255">
        <v>1.1379999999999999</v>
      </c>
      <c r="K58" s="255">
        <v>1.1379999999999999</v>
      </c>
      <c r="L58" s="255">
        <v>1.1379999999999999</v>
      </c>
      <c r="M58" s="255">
        <v>1.1379999999999999</v>
      </c>
      <c r="N58" s="255">
        <v>1.1379999999999999</v>
      </c>
      <c r="O58" s="255">
        <v>1.044</v>
      </c>
      <c r="P58" s="255">
        <v>1.0289999999999999</v>
      </c>
      <c r="Q58" s="255">
        <v>1.1379999999999999</v>
      </c>
      <c r="R58" s="255">
        <v>-1.1379999999999999</v>
      </c>
      <c r="S58" s="255">
        <v>-1.044</v>
      </c>
      <c r="T58" s="255">
        <v>-1.1379999999999999</v>
      </c>
      <c r="U58" s="255">
        <v>-1.1379999999999999</v>
      </c>
      <c r="V58" s="255">
        <v>-1.044</v>
      </c>
      <c r="W58" s="255">
        <v>-1.044</v>
      </c>
      <c r="X58" s="255">
        <v>-1.0289999999999999</v>
      </c>
      <c r="Y58" s="255">
        <v>-1.0289999999999999</v>
      </c>
    </row>
    <row r="59" spans="4:25" x14ac:dyDescent="0.25">
      <c r="D59" s="60"/>
      <c r="E59" s="60"/>
      <c r="F59" s="254" t="s">
        <v>193</v>
      </c>
      <c r="G59" t="s">
        <v>282</v>
      </c>
      <c r="J59" s="255">
        <v>1.1379999999999999</v>
      </c>
      <c r="K59" s="255">
        <v>1.1379999999999999</v>
      </c>
      <c r="L59" s="255">
        <v>1.1379999999999999</v>
      </c>
      <c r="M59" s="255">
        <v>1.1379999999999999</v>
      </c>
      <c r="N59" s="255">
        <v>1.1379999999999999</v>
      </c>
      <c r="O59" s="255">
        <v>1.044</v>
      </c>
      <c r="P59" s="255">
        <v>1.0289999999999999</v>
      </c>
      <c r="Q59" s="255">
        <v>1.1379999999999999</v>
      </c>
      <c r="R59" s="255">
        <v>-1.1379999999999999</v>
      </c>
      <c r="S59" s="255">
        <v>-1.044</v>
      </c>
      <c r="T59" s="255">
        <v>-1.1379999999999999</v>
      </c>
      <c r="U59" s="255">
        <v>-1.1379999999999999</v>
      </c>
      <c r="V59" s="255">
        <v>-1.044</v>
      </c>
      <c r="W59" s="255">
        <v>-1.044</v>
      </c>
      <c r="X59" s="255">
        <v>-1.0289999999999999</v>
      </c>
      <c r="Y59" s="255">
        <v>-1.0289999999999999</v>
      </c>
    </row>
    <row r="60" spans="4:25" x14ac:dyDescent="0.25">
      <c r="D60" s="60"/>
      <c r="E60" s="60"/>
      <c r="F60" s="254" t="s">
        <v>194</v>
      </c>
      <c r="G60" t="s">
        <v>282</v>
      </c>
      <c r="J60" s="255">
        <v>1.1379999999999999</v>
      </c>
      <c r="K60" s="255">
        <v>1.1379999999999999</v>
      </c>
      <c r="L60" s="255">
        <v>1.1379999999999999</v>
      </c>
      <c r="M60" s="255">
        <v>1.1379999999999999</v>
      </c>
      <c r="N60" s="255">
        <v>1.1379999999999999</v>
      </c>
      <c r="O60" s="255">
        <v>1.044</v>
      </c>
      <c r="P60" s="255">
        <v>1.0289999999999999</v>
      </c>
      <c r="Q60" s="255">
        <v>1.1379999999999999</v>
      </c>
      <c r="R60" s="255">
        <v>-1.1379999999999999</v>
      </c>
      <c r="S60" s="255">
        <v>-1.044</v>
      </c>
      <c r="T60" s="255">
        <v>-1.1379999999999999</v>
      </c>
      <c r="U60" s="255">
        <v>-1.1379999999999999</v>
      </c>
      <c r="V60" s="255">
        <v>-1.044</v>
      </c>
      <c r="W60" s="255">
        <v>-1.044</v>
      </c>
      <c r="X60" s="255">
        <v>-1.0289999999999999</v>
      </c>
      <c r="Y60" s="255">
        <v>-1.0289999999999999</v>
      </c>
    </row>
    <row r="61" spans="4:25" x14ac:dyDescent="0.25">
      <c r="D61" s="60"/>
      <c r="E61" s="60"/>
      <c r="F61" s="254" t="s">
        <v>195</v>
      </c>
      <c r="G61" t="s">
        <v>282</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25">
      <c r="D62" s="60"/>
      <c r="E62" s="60"/>
      <c r="F62" s="254" t="s">
        <v>196</v>
      </c>
      <c r="G62" t="s">
        <v>282</v>
      </c>
      <c r="J62" s="255">
        <v>1.1379999999999999</v>
      </c>
      <c r="K62" s="255">
        <v>1.1379999999999999</v>
      </c>
      <c r="L62" s="255">
        <v>1.1379999999999999</v>
      </c>
      <c r="M62" s="255">
        <v>1.1379999999999999</v>
      </c>
      <c r="N62" s="255">
        <v>1.1379999999999999</v>
      </c>
      <c r="O62" s="255">
        <v>1.044</v>
      </c>
      <c r="P62" s="255">
        <v>1.0289999999999999</v>
      </c>
      <c r="Q62" s="255">
        <v>1.1379999999999999</v>
      </c>
      <c r="R62" s="255">
        <v>-1.1379999999999999</v>
      </c>
      <c r="S62" s="255">
        <v>-1.044</v>
      </c>
      <c r="T62" s="255">
        <v>-1.1379999999999999</v>
      </c>
      <c r="U62" s="255">
        <v>-1.1379999999999999</v>
      </c>
      <c r="V62" s="255">
        <v>-1.044</v>
      </c>
      <c r="W62" s="255">
        <v>-1.044</v>
      </c>
      <c r="X62" s="255">
        <v>0</v>
      </c>
      <c r="Y62" s="255">
        <v>0</v>
      </c>
    </row>
    <row r="63" spans="4:25" x14ac:dyDescent="0.25">
      <c r="D63" s="60"/>
      <c r="E63" s="60"/>
      <c r="F63" s="254" t="s">
        <v>197</v>
      </c>
      <c r="G63" t="s">
        <v>282</v>
      </c>
      <c r="J63" s="255">
        <v>1.1379999999999999</v>
      </c>
      <c r="K63" s="255">
        <v>1.1379999999999999</v>
      </c>
      <c r="L63" s="255">
        <v>1.1379999999999999</v>
      </c>
      <c r="M63" s="255">
        <v>1.1379999999999999</v>
      </c>
      <c r="N63" s="255">
        <v>1.1379999999999999</v>
      </c>
      <c r="O63" s="255">
        <v>1.044</v>
      </c>
      <c r="P63" s="255">
        <v>0</v>
      </c>
      <c r="Q63" s="255">
        <v>1.1379999999999999</v>
      </c>
      <c r="R63" s="255">
        <v>-1.1379999999999999</v>
      </c>
      <c r="S63" s="255">
        <v>0</v>
      </c>
      <c r="T63" s="255">
        <v>-1.1379999999999999</v>
      </c>
      <c r="U63" s="255">
        <v>-1.1379999999999999</v>
      </c>
      <c r="V63" s="255">
        <v>0</v>
      </c>
      <c r="W63" s="255">
        <v>0</v>
      </c>
      <c r="X63" s="255">
        <v>0</v>
      </c>
      <c r="Y63" s="255">
        <v>0</v>
      </c>
    </row>
    <row r="64" spans="4:25" x14ac:dyDescent="0.25">
      <c r="D64" s="60"/>
      <c r="E64" s="60"/>
      <c r="F64" s="256" t="s">
        <v>198</v>
      </c>
      <c r="G64" s="91" t="s">
        <v>282</v>
      </c>
      <c r="H64" s="91"/>
      <c r="I64" s="91"/>
      <c r="J64" s="257">
        <v>1.1379999999999999</v>
      </c>
      <c r="K64" s="257">
        <v>1.1379999999999999</v>
      </c>
      <c r="L64" s="257">
        <v>1.1379999999999999</v>
      </c>
      <c r="M64" s="257">
        <v>1.1379999999999999</v>
      </c>
      <c r="N64" s="257">
        <v>1.1379999999999999</v>
      </c>
      <c r="O64" s="257">
        <v>0</v>
      </c>
      <c r="P64" s="257">
        <v>0</v>
      </c>
      <c r="Q64" s="257">
        <v>1.1379999999999999</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413</v>
      </c>
      <c r="J66" s="259"/>
      <c r="K66" s="259"/>
      <c r="L66" s="259"/>
      <c r="M66" s="259"/>
      <c r="N66" s="259"/>
      <c r="O66" s="259"/>
      <c r="P66" s="259"/>
      <c r="Q66" s="259"/>
      <c r="R66" s="259"/>
      <c r="S66" s="259"/>
      <c r="T66" s="259"/>
      <c r="U66" s="259"/>
      <c r="V66" s="259"/>
      <c r="W66" s="259"/>
      <c r="X66" s="259"/>
      <c r="Y66" s="259"/>
    </row>
    <row r="67" spans="3:25" x14ac:dyDescent="0.25">
      <c r="D67" s="60"/>
      <c r="E67" s="60"/>
      <c r="F67" s="253" t="s">
        <v>188</v>
      </c>
      <c r="G67" s="93" t="s">
        <v>166</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190</v>
      </c>
      <c r="G68" s="89" t="s">
        <v>166</v>
      </c>
      <c r="J68" s="261"/>
      <c r="K68" s="261"/>
      <c r="L68" s="261"/>
      <c r="M68" s="261"/>
      <c r="N68" s="261"/>
      <c r="O68" s="261"/>
      <c r="P68" s="261"/>
      <c r="Q68" s="261"/>
      <c r="R68" s="261"/>
      <c r="S68" s="261"/>
      <c r="T68" s="261"/>
      <c r="U68" s="261"/>
      <c r="V68" s="261"/>
      <c r="W68" s="261"/>
      <c r="X68" s="261"/>
      <c r="Y68" s="261"/>
    </row>
    <row r="69" spans="3:25" x14ac:dyDescent="0.25">
      <c r="D69" s="60"/>
      <c r="E69" s="60"/>
      <c r="F69" s="254" t="s">
        <v>191</v>
      </c>
      <c r="G69" s="89" t="s">
        <v>166</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192</v>
      </c>
      <c r="G70" s="89" t="s">
        <v>166</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193</v>
      </c>
      <c r="G71" s="89" t="s">
        <v>166</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194</v>
      </c>
      <c r="G72" s="89" t="s">
        <v>166</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195</v>
      </c>
      <c r="G73" s="89" t="s">
        <v>166</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196</v>
      </c>
      <c r="G74" s="89" t="s">
        <v>166</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197</v>
      </c>
      <c r="G75" s="89" t="s">
        <v>166</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198</v>
      </c>
      <c r="G76" s="96" t="s">
        <v>166</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469</v>
      </c>
      <c r="F78" s="89"/>
      <c r="G78" s="89" t="s">
        <v>282</v>
      </c>
      <c r="J78" s="255">
        <f>'Pseudo-load coefficients'!J267</f>
        <v>1.8550828006069759</v>
      </c>
      <c r="K78" s="255">
        <f>'Pseudo-load coefficients'!K267</f>
        <v>1.8550828006069759</v>
      </c>
      <c r="L78" s="255">
        <f>'Pseudo-load coefficients'!L267</f>
        <v>1.8081612716848356</v>
      </c>
      <c r="M78" s="255">
        <f>'Pseudo-load coefficients'!M267</f>
        <v>1.8081612716848356</v>
      </c>
      <c r="N78" s="255">
        <f>'Pseudo-load coefficients'!N267</f>
        <v>1.5369858040634288</v>
      </c>
      <c r="O78" s="255">
        <f>'Pseudo-load coefficients'!O267</f>
        <v>1.3914329966592653</v>
      </c>
      <c r="P78" s="255">
        <f>'Pseudo-load coefficients'!P267</f>
        <v>1.183688274276262</v>
      </c>
      <c r="Q78" s="255">
        <f>'Pseudo-load coefficients'!Q267</f>
        <v>1.8521271008785165</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504</v>
      </c>
      <c r="J80" s="259"/>
      <c r="K80" s="259"/>
      <c r="L80" s="259"/>
      <c r="M80" s="259"/>
      <c r="N80" s="259"/>
      <c r="O80" s="259"/>
      <c r="P80" s="259"/>
      <c r="Q80" s="259"/>
      <c r="R80" s="259"/>
      <c r="S80" s="259"/>
      <c r="T80" s="259"/>
      <c r="U80" s="259"/>
      <c r="V80" s="259"/>
      <c r="W80" s="259"/>
      <c r="X80" s="259"/>
      <c r="Y80" s="259"/>
    </row>
    <row r="81" spans="5:25" x14ac:dyDescent="0.25">
      <c r="E81" s="60"/>
      <c r="F81" s="253" t="s">
        <v>188</v>
      </c>
      <c r="G81" s="93" t="s">
        <v>282</v>
      </c>
      <c r="H81" s="90"/>
      <c r="I81" s="90"/>
      <c r="J81" s="262">
        <f>'Pseudo-load coefficients'!J272</f>
        <v>8.0722742460400543</v>
      </c>
      <c r="K81" s="262">
        <f>'Pseudo-load coefficients'!K272</f>
        <v>8.0722742460400543</v>
      </c>
      <c r="L81" s="262">
        <f>'Pseudo-load coefficients'!L272</f>
        <v>9.7874228923847308</v>
      </c>
      <c r="M81" s="262">
        <f>'Pseudo-load coefficients'!M272</f>
        <v>9.7874228923847308</v>
      </c>
      <c r="N81" s="262">
        <f>'Pseudo-load coefficients'!N272</f>
        <v>8.1202876938077786</v>
      </c>
      <c r="O81" s="262">
        <f>'Pseudo-load coefficients'!O272</f>
        <v>7.5761570544592383</v>
      </c>
      <c r="P81" s="262">
        <f>'Pseudo-load coefficients'!P272</f>
        <v>6.6049243517181235</v>
      </c>
      <c r="Q81" s="262">
        <f>'Pseudo-load coefficients'!Q272</f>
        <v>19.918757551804365</v>
      </c>
      <c r="R81" s="262">
        <f>'Pseudo-load coefficients'!R272</f>
        <v>5.9702206429202027</v>
      </c>
      <c r="S81" s="262">
        <f>'Pseudo-load coefficients'!S272</f>
        <v>5.9702206429202027</v>
      </c>
      <c r="T81" s="262">
        <f>'Pseudo-load coefficients'!T272</f>
        <v>5.9702206429202027</v>
      </c>
      <c r="U81" s="262">
        <f>'Pseudo-load coefficients'!U272</f>
        <v>5.9702206429202027</v>
      </c>
      <c r="V81" s="262">
        <f>'Pseudo-load coefficients'!V272</f>
        <v>5.9702206429202027</v>
      </c>
      <c r="W81" s="262">
        <f>'Pseudo-load coefficients'!W272</f>
        <v>5.9702206429202027</v>
      </c>
      <c r="X81" s="262">
        <f>'Pseudo-load coefficients'!X272</f>
        <v>5.9702206429202027</v>
      </c>
      <c r="Y81" s="262">
        <f>'Pseudo-load coefficients'!Y272</f>
        <v>5.9702206429202027</v>
      </c>
    </row>
    <row r="82" spans="5:25" x14ac:dyDescent="0.25">
      <c r="E82" s="60"/>
      <c r="F82" s="254" t="s">
        <v>190</v>
      </c>
      <c r="G82" s="89" t="s">
        <v>282</v>
      </c>
      <c r="J82" s="255">
        <f>'Pseudo-load coefficients'!J272</f>
        <v>8.0722742460400543</v>
      </c>
      <c r="K82" s="255">
        <f>'Pseudo-load coefficients'!K272</f>
        <v>8.0722742460400543</v>
      </c>
      <c r="L82" s="255">
        <f>'Pseudo-load coefficients'!L272</f>
        <v>9.7874228923847308</v>
      </c>
      <c r="M82" s="255">
        <f>'Pseudo-load coefficients'!M272</f>
        <v>9.7874228923847308</v>
      </c>
      <c r="N82" s="255">
        <f>'Pseudo-load coefficients'!N272</f>
        <v>8.1202876938077786</v>
      </c>
      <c r="O82" s="255">
        <f>'Pseudo-load coefficients'!O272</f>
        <v>7.5761570544592383</v>
      </c>
      <c r="P82" s="255">
        <f>'Pseudo-load coefficients'!P272</f>
        <v>6.6049243517181235</v>
      </c>
      <c r="Q82" s="255">
        <f>'Pseudo-load coefficients'!Q272</f>
        <v>19.918757551804365</v>
      </c>
      <c r="R82" s="255">
        <f>'Pseudo-load coefficients'!R272</f>
        <v>5.9702206429202027</v>
      </c>
      <c r="S82" s="255">
        <f>'Pseudo-load coefficients'!S272</f>
        <v>5.9702206429202027</v>
      </c>
      <c r="T82" s="255">
        <f>'Pseudo-load coefficients'!T272</f>
        <v>5.9702206429202027</v>
      </c>
      <c r="U82" s="255">
        <f>'Pseudo-load coefficients'!U272</f>
        <v>5.9702206429202027</v>
      </c>
      <c r="V82" s="255">
        <f>'Pseudo-load coefficients'!V272</f>
        <v>5.9702206429202027</v>
      </c>
      <c r="W82" s="255">
        <f>'Pseudo-load coefficients'!W272</f>
        <v>5.9702206429202027</v>
      </c>
      <c r="X82" s="255">
        <f>'Pseudo-load coefficients'!X272</f>
        <v>5.9702206429202027</v>
      </c>
      <c r="Y82" s="255">
        <f>'Pseudo-load coefficients'!Y272</f>
        <v>5.9702206429202027</v>
      </c>
    </row>
    <row r="83" spans="5:25" x14ac:dyDescent="0.25">
      <c r="E83" s="60"/>
      <c r="F83" s="254" t="s">
        <v>191</v>
      </c>
      <c r="G83" s="89" t="s">
        <v>282</v>
      </c>
      <c r="J83" s="255">
        <f>'Pseudo-load coefficients'!J273</f>
        <v>6.5600574461950325</v>
      </c>
      <c r="K83" s="255">
        <f>'Pseudo-load coefficients'!K273</f>
        <v>6.5600574461950325</v>
      </c>
      <c r="L83" s="255">
        <f>'Pseudo-load coefficients'!L273</f>
        <v>7.9538992937145538</v>
      </c>
      <c r="M83" s="255">
        <f>'Pseudo-load coefficients'!M273</f>
        <v>7.9538992937145538</v>
      </c>
      <c r="N83" s="255">
        <f>'Pseudo-load coefficients'!N273</f>
        <v>6.5990763107610695</v>
      </c>
      <c r="O83" s="255">
        <f>'Pseudo-load coefficients'!O273</f>
        <v>6.1568802030021788</v>
      </c>
      <c r="P83" s="255">
        <f>'Pseudo-load coefficients'!P273</f>
        <v>5.3675930542497055</v>
      </c>
      <c r="Q83" s="255">
        <f>'Pseudo-load coefficients'!Q273</f>
        <v>16.518879691269746</v>
      </c>
      <c r="R83" s="255">
        <f>'Pseudo-load coefficients'!R273</f>
        <v>4.8517913527564795</v>
      </c>
      <c r="S83" s="255">
        <f>'Pseudo-load coefficients'!S273</f>
        <v>4.8517913527564795</v>
      </c>
      <c r="T83" s="255">
        <f>'Pseudo-load coefficients'!T273</f>
        <v>4.8517913527564795</v>
      </c>
      <c r="U83" s="255">
        <f>'Pseudo-load coefficients'!U273</f>
        <v>4.8517913527564795</v>
      </c>
      <c r="V83" s="255">
        <f>'Pseudo-load coefficients'!V273</f>
        <v>4.8517913527564795</v>
      </c>
      <c r="W83" s="255">
        <f>'Pseudo-load coefficients'!W273</f>
        <v>4.8517913527564795</v>
      </c>
      <c r="X83" s="255">
        <f>'Pseudo-load coefficients'!X273</f>
        <v>4.8517913527564795</v>
      </c>
      <c r="Y83" s="255">
        <f>'Pseudo-load coefficients'!Y273</f>
        <v>4.8517913527564795</v>
      </c>
    </row>
    <row r="84" spans="5:25" x14ac:dyDescent="0.25">
      <c r="E84" s="60"/>
      <c r="F84" s="254" t="s">
        <v>192</v>
      </c>
      <c r="G84" s="89" t="s">
        <v>282</v>
      </c>
      <c r="J84" s="255">
        <f>'Pseudo-load coefficients'!J274</f>
        <v>6.5600574461950325</v>
      </c>
      <c r="K84" s="255">
        <f>'Pseudo-load coefficients'!K274</f>
        <v>6.5600574461950325</v>
      </c>
      <c r="L84" s="255">
        <f>'Pseudo-load coefficients'!L274</f>
        <v>7.9538992937145538</v>
      </c>
      <c r="M84" s="255">
        <f>'Pseudo-load coefficients'!M274</f>
        <v>7.9538992937145538</v>
      </c>
      <c r="N84" s="255">
        <f>'Pseudo-load coefficients'!N274</f>
        <v>6.5990763107610695</v>
      </c>
      <c r="O84" s="255">
        <f>'Pseudo-load coefficients'!O274</f>
        <v>6.1568802030021788</v>
      </c>
      <c r="P84" s="255">
        <f>'Pseudo-load coefficients'!P274</f>
        <v>5.3675930542497055</v>
      </c>
      <c r="Q84" s="255">
        <f>'Pseudo-load coefficients'!Q274</f>
        <v>16.518879691269746</v>
      </c>
      <c r="R84" s="255">
        <f>'Pseudo-load coefficients'!R274</f>
        <v>4.8517913527564795</v>
      </c>
      <c r="S84" s="255">
        <f>'Pseudo-load coefficients'!S274</f>
        <v>4.8517913527564795</v>
      </c>
      <c r="T84" s="255">
        <f>'Pseudo-load coefficients'!T274</f>
        <v>4.8517913527564795</v>
      </c>
      <c r="U84" s="255">
        <f>'Pseudo-load coefficients'!U274</f>
        <v>4.8517913527564795</v>
      </c>
      <c r="V84" s="255">
        <f>'Pseudo-load coefficients'!V274</f>
        <v>4.8517913527564795</v>
      </c>
      <c r="W84" s="255">
        <f>'Pseudo-load coefficients'!W274</f>
        <v>4.8517913527564795</v>
      </c>
      <c r="X84" s="255">
        <f>'Pseudo-load coefficients'!X274</f>
        <v>4.8517913527564795</v>
      </c>
      <c r="Y84" s="255">
        <f>'Pseudo-load coefficients'!Y274</f>
        <v>4.8517913527564795</v>
      </c>
    </row>
    <row r="85" spans="5:25" x14ac:dyDescent="0.25">
      <c r="E85" s="60"/>
      <c r="F85" s="254" t="s">
        <v>193</v>
      </c>
      <c r="G85" s="89" t="s">
        <v>282</v>
      </c>
      <c r="J85" s="255">
        <f>'Pseudo-load coefficients'!J275</f>
        <v>5.2547049837805799</v>
      </c>
      <c r="K85" s="255">
        <f>'Pseudo-load coefficients'!K275</f>
        <v>5.2547049837805799</v>
      </c>
      <c r="L85" s="255">
        <f>'Pseudo-load coefficients'!L275</f>
        <v>6.3711933320664578</v>
      </c>
      <c r="M85" s="255">
        <f>'Pseudo-load coefficients'!M275</f>
        <v>6.3711933320664578</v>
      </c>
      <c r="N85" s="255">
        <f>'Pseudo-load coefficients'!N275</f>
        <v>5.2859596829624511</v>
      </c>
      <c r="O85" s="255">
        <f>'Pseudo-load coefficients'!O275</f>
        <v>4.9317539293837589</v>
      </c>
      <c r="P85" s="255">
        <f>'Pseudo-load coefficients'!P275</f>
        <v>4.2995230155235147</v>
      </c>
      <c r="Q85" s="255">
        <f>'Pseudo-load coefficients'!Q275</f>
        <v>12.487744335894034</v>
      </c>
      <c r="R85" s="255">
        <f>'Pseudo-load coefficients'!R275</f>
        <v>3.8863580709008065</v>
      </c>
      <c r="S85" s="255">
        <f>'Pseudo-load coefficients'!S275</f>
        <v>3.8863580709008065</v>
      </c>
      <c r="T85" s="255">
        <f>'Pseudo-load coefficients'!T275</f>
        <v>3.8863580709008065</v>
      </c>
      <c r="U85" s="255">
        <f>'Pseudo-load coefficients'!U275</f>
        <v>3.8863580709008065</v>
      </c>
      <c r="V85" s="255">
        <f>'Pseudo-load coefficients'!V275</f>
        <v>3.8863580709008065</v>
      </c>
      <c r="W85" s="255">
        <f>'Pseudo-load coefficients'!W275</f>
        <v>3.8863580709008065</v>
      </c>
      <c r="X85" s="255">
        <f>'Pseudo-load coefficients'!X275</f>
        <v>3.8863580709008065</v>
      </c>
      <c r="Y85" s="255">
        <f>'Pseudo-load coefficients'!Y275</f>
        <v>3.8863580709008065</v>
      </c>
    </row>
    <row r="86" spans="5:25" x14ac:dyDescent="0.25">
      <c r="E86" s="60"/>
      <c r="F86" s="254" t="s">
        <v>194</v>
      </c>
      <c r="G86" s="89" t="s">
        <v>282</v>
      </c>
      <c r="J86" s="255">
        <f>'Pseudo-load coefficients'!J276</f>
        <v>5.2547049837805799</v>
      </c>
      <c r="K86" s="255">
        <f>'Pseudo-load coefficients'!K276</f>
        <v>5.2547049837805799</v>
      </c>
      <c r="L86" s="255">
        <f>'Pseudo-load coefficients'!L276</f>
        <v>6.3711933320664578</v>
      </c>
      <c r="M86" s="255">
        <f>'Pseudo-load coefficients'!M276</f>
        <v>6.3711933320664578</v>
      </c>
      <c r="N86" s="255">
        <f>'Pseudo-load coefficients'!N276</f>
        <v>5.2859596829624511</v>
      </c>
      <c r="O86" s="255">
        <f>'Pseudo-load coefficients'!O276</f>
        <v>4.9317539293837589</v>
      </c>
      <c r="P86" s="255">
        <f>'Pseudo-load coefficients'!P276</f>
        <v>4.2995230155235147</v>
      </c>
      <c r="Q86" s="255">
        <f>'Pseudo-load coefficients'!Q276</f>
        <v>12.487744335894034</v>
      </c>
      <c r="R86" s="255">
        <f>'Pseudo-load coefficients'!R276</f>
        <v>3.8863580709008065</v>
      </c>
      <c r="S86" s="255">
        <f>'Pseudo-load coefficients'!S276</f>
        <v>3.8863580709008065</v>
      </c>
      <c r="T86" s="255">
        <f>'Pseudo-load coefficients'!T276</f>
        <v>3.8863580709008065</v>
      </c>
      <c r="U86" s="255">
        <f>'Pseudo-load coefficients'!U276</f>
        <v>3.8863580709008065</v>
      </c>
      <c r="V86" s="255">
        <f>'Pseudo-load coefficients'!V276</f>
        <v>3.8863580709008065</v>
      </c>
      <c r="W86" s="255">
        <f>'Pseudo-load coefficients'!W276</f>
        <v>3.8863580709008065</v>
      </c>
      <c r="X86" s="255">
        <f>'Pseudo-load coefficients'!X276</f>
        <v>3.8863580709008065</v>
      </c>
      <c r="Y86" s="255">
        <f>'Pseudo-load coefficients'!Y276</f>
        <v>3.8863580709008065</v>
      </c>
    </row>
    <row r="87" spans="5:25" x14ac:dyDescent="0.25">
      <c r="E87" s="60"/>
      <c r="F87" s="254" t="s">
        <v>195</v>
      </c>
      <c r="G87" s="89" t="s">
        <v>282</v>
      </c>
      <c r="J87" s="255">
        <f>'Pseudo-load coefficients'!J277</f>
        <v>0</v>
      </c>
      <c r="K87" s="255">
        <f>'Pseudo-load coefficients'!K277</f>
        <v>0</v>
      </c>
      <c r="L87" s="255">
        <f>'Pseudo-load coefficients'!L277</f>
        <v>0</v>
      </c>
      <c r="M87" s="255">
        <f>'Pseudo-load coefficients'!M277</f>
        <v>0</v>
      </c>
      <c r="N87" s="255">
        <f>'Pseudo-load coefficients'!N277</f>
        <v>0</v>
      </c>
      <c r="O87" s="255">
        <f>'Pseudo-load coefficients'!O277</f>
        <v>0</v>
      </c>
      <c r="P87" s="255">
        <f>'Pseudo-load coefficients'!P277</f>
        <v>0</v>
      </c>
      <c r="Q87" s="255">
        <f>'Pseudo-load coefficients'!Q277</f>
        <v>0</v>
      </c>
      <c r="R87" s="255">
        <f>'Pseudo-load coefficients'!R277</f>
        <v>0</v>
      </c>
      <c r="S87" s="255">
        <f>'Pseudo-load coefficients'!S277</f>
        <v>0</v>
      </c>
      <c r="T87" s="255">
        <f>'Pseudo-load coefficients'!T277</f>
        <v>0</v>
      </c>
      <c r="U87" s="255">
        <f>'Pseudo-load coefficients'!U277</f>
        <v>0</v>
      </c>
      <c r="V87" s="255">
        <f>'Pseudo-load coefficients'!V277</f>
        <v>0</v>
      </c>
      <c r="W87" s="255">
        <f>'Pseudo-load coefficients'!W277</f>
        <v>0</v>
      </c>
      <c r="X87" s="255">
        <f>'Pseudo-load coefficients'!X277</f>
        <v>0</v>
      </c>
      <c r="Y87" s="255">
        <f>'Pseudo-load coefficients'!Y277</f>
        <v>0</v>
      </c>
    </row>
    <row r="88" spans="5:25" x14ac:dyDescent="0.25">
      <c r="E88" s="60"/>
      <c r="F88" s="254" t="s">
        <v>196</v>
      </c>
      <c r="G88" s="89" t="s">
        <v>282</v>
      </c>
      <c r="J88" s="255">
        <f>'Pseudo-load coefficients'!J278</f>
        <v>5.2547049837805799</v>
      </c>
      <c r="K88" s="255">
        <f>'Pseudo-load coefficients'!K278</f>
        <v>5.2547049837805799</v>
      </c>
      <c r="L88" s="255">
        <f>'Pseudo-load coefficients'!L278</f>
        <v>6.3711933320664578</v>
      </c>
      <c r="M88" s="255">
        <f>'Pseudo-load coefficients'!M278</f>
        <v>6.3711933320664578</v>
      </c>
      <c r="N88" s="255">
        <f>'Pseudo-load coefficients'!N278</f>
        <v>5.2859596829624511</v>
      </c>
      <c r="O88" s="255">
        <f>'Pseudo-load coefficients'!O278</f>
        <v>4.9317539293837589</v>
      </c>
      <c r="P88" s="255">
        <f>'Pseudo-load coefficients'!P278</f>
        <v>4.2995230155235147</v>
      </c>
      <c r="Q88" s="255">
        <f>'Pseudo-load coefficients'!Q278</f>
        <v>12.487744335894034</v>
      </c>
      <c r="R88" s="255">
        <f>'Pseudo-load coefficients'!R278</f>
        <v>3.8863580709008065</v>
      </c>
      <c r="S88" s="255">
        <f>'Pseudo-load coefficients'!S278</f>
        <v>3.8863580709008065</v>
      </c>
      <c r="T88" s="255">
        <f>'Pseudo-load coefficients'!T278</f>
        <v>3.8863580709008065</v>
      </c>
      <c r="U88" s="255">
        <f>'Pseudo-load coefficients'!U278</f>
        <v>3.8863580709008065</v>
      </c>
      <c r="V88" s="255">
        <f>'Pseudo-load coefficients'!V278</f>
        <v>3.8863580709008065</v>
      </c>
      <c r="W88" s="255">
        <f>'Pseudo-load coefficients'!W278</f>
        <v>3.8863580709008065</v>
      </c>
      <c r="X88" s="255">
        <f>'Pseudo-load coefficients'!X278</f>
        <v>3.8863580709008065</v>
      </c>
      <c r="Y88" s="255">
        <f>'Pseudo-load coefficients'!Y278</f>
        <v>3.8863580709008065</v>
      </c>
    </row>
    <row r="89" spans="5:25" x14ac:dyDescent="0.25">
      <c r="E89" s="60"/>
      <c r="F89" s="254" t="s">
        <v>197</v>
      </c>
      <c r="G89" s="89" t="s">
        <v>282</v>
      </c>
      <c r="J89" s="255">
        <f>'Pseudo-load coefficients'!J279</f>
        <v>5.2547049837805799</v>
      </c>
      <c r="K89" s="255">
        <f>'Pseudo-load coefficients'!K279</f>
        <v>5.2547049837805799</v>
      </c>
      <c r="L89" s="255">
        <f>'Pseudo-load coefficients'!L279</f>
        <v>6.3711933320664578</v>
      </c>
      <c r="M89" s="255">
        <f>'Pseudo-load coefficients'!M279</f>
        <v>6.3711933320664578</v>
      </c>
      <c r="N89" s="255">
        <f>'Pseudo-load coefficients'!N279</f>
        <v>5.2859596829624511</v>
      </c>
      <c r="O89" s="255">
        <f>'Pseudo-load coefficients'!O279</f>
        <v>4.9317539293837589</v>
      </c>
      <c r="P89" s="255">
        <f>'Pseudo-load coefficients'!P279</f>
        <v>4.2995230155235147</v>
      </c>
      <c r="Q89" s="255">
        <f>'Pseudo-load coefficients'!Q279</f>
        <v>12.487744335894034</v>
      </c>
      <c r="R89" s="255">
        <f>'Pseudo-load coefficients'!R279</f>
        <v>3.8863580709008065</v>
      </c>
      <c r="S89" s="255">
        <f>'Pseudo-load coefficients'!S279</f>
        <v>3.8863580709008065</v>
      </c>
      <c r="T89" s="255">
        <f>'Pseudo-load coefficients'!T279</f>
        <v>3.8863580709008065</v>
      </c>
      <c r="U89" s="255">
        <f>'Pseudo-load coefficients'!U279</f>
        <v>3.8863580709008065</v>
      </c>
      <c r="V89" s="255">
        <f>'Pseudo-load coefficients'!V279</f>
        <v>3.8863580709008065</v>
      </c>
      <c r="W89" s="255">
        <f>'Pseudo-load coefficients'!W279</f>
        <v>3.8863580709008065</v>
      </c>
      <c r="X89" s="255">
        <f>'Pseudo-load coefficients'!X279</f>
        <v>3.8863580709008065</v>
      </c>
      <c r="Y89" s="255">
        <f>'Pseudo-load coefficients'!Y279</f>
        <v>3.8863580709008065</v>
      </c>
    </row>
    <row r="90" spans="5:25" x14ac:dyDescent="0.25">
      <c r="E90" s="60"/>
      <c r="F90" s="256" t="s">
        <v>198</v>
      </c>
      <c r="G90" s="96" t="s">
        <v>282</v>
      </c>
      <c r="H90" s="91"/>
      <c r="I90" s="91"/>
      <c r="J90" s="257">
        <f>'Pseudo-load coefficients'!J280</f>
        <v>5.2547049837805799</v>
      </c>
      <c r="K90" s="257">
        <f>'Pseudo-load coefficients'!K280</f>
        <v>5.2547049837805799</v>
      </c>
      <c r="L90" s="257">
        <f>'Pseudo-load coefficients'!L280</f>
        <v>6.3711933320664578</v>
      </c>
      <c r="M90" s="257">
        <f>'Pseudo-load coefficients'!M280</f>
        <v>6.3711933320664578</v>
      </c>
      <c r="N90" s="257">
        <f>'Pseudo-load coefficients'!N280</f>
        <v>5.2859596829624511</v>
      </c>
      <c r="O90" s="257">
        <f>'Pseudo-load coefficients'!O280</f>
        <v>4.9317539293837589</v>
      </c>
      <c r="P90" s="257">
        <f>'Pseudo-load coefficients'!P280</f>
        <v>4.2995230155235147</v>
      </c>
      <c r="Q90" s="257">
        <f>'Pseudo-load coefficients'!Q280</f>
        <v>12.487744335894034</v>
      </c>
      <c r="R90" s="257">
        <f>'Pseudo-load coefficients'!R280</f>
        <v>3.8863580709008065</v>
      </c>
      <c r="S90" s="257">
        <f>'Pseudo-load coefficients'!S280</f>
        <v>3.8863580709008065</v>
      </c>
      <c r="T90" s="257">
        <f>'Pseudo-load coefficients'!T280</f>
        <v>3.8863580709008065</v>
      </c>
      <c r="U90" s="257">
        <f>'Pseudo-load coefficients'!U280</f>
        <v>3.8863580709008065</v>
      </c>
      <c r="V90" s="257">
        <f>'Pseudo-load coefficients'!V280</f>
        <v>3.8863580709008065</v>
      </c>
      <c r="W90" s="257">
        <f>'Pseudo-load coefficients'!W280</f>
        <v>3.8863580709008065</v>
      </c>
      <c r="X90" s="257">
        <f>'Pseudo-load coefficients'!X280</f>
        <v>3.8863580709008065</v>
      </c>
      <c r="Y90" s="257">
        <f>'Pseudo-load coefficients'!Y280</f>
        <v>3.8863580709008065</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507</v>
      </c>
      <c r="J92" s="259"/>
      <c r="K92" s="259"/>
      <c r="L92" s="259"/>
      <c r="M92" s="259"/>
      <c r="N92" s="259"/>
      <c r="O92" s="259"/>
      <c r="P92" s="259"/>
      <c r="Q92" s="259"/>
      <c r="R92" s="259"/>
      <c r="S92" s="259"/>
      <c r="T92" s="259"/>
      <c r="U92" s="259"/>
      <c r="V92" s="259"/>
      <c r="W92" s="259"/>
      <c r="X92" s="259"/>
      <c r="Y92" s="259"/>
    </row>
    <row r="93" spans="5:25" x14ac:dyDescent="0.25">
      <c r="E93" s="60"/>
      <c r="F93" s="253" t="s">
        <v>188</v>
      </c>
      <c r="G93" s="93" t="s">
        <v>282</v>
      </c>
      <c r="H93" s="90"/>
      <c r="I93" s="90"/>
      <c r="J93" s="262">
        <f>'Pseudo-load coefficients'!J283</f>
        <v>1.3803798191152201</v>
      </c>
      <c r="K93" s="262">
        <f>'Pseudo-load coefficients'!K283</f>
        <v>1.3803798191152201</v>
      </c>
      <c r="L93" s="262">
        <f>'Pseudo-load coefficients'!L283</f>
        <v>1.6736746832433078</v>
      </c>
      <c r="M93" s="262">
        <f>'Pseudo-load coefficients'!M283</f>
        <v>1.6736746832433078</v>
      </c>
      <c r="N93" s="262">
        <f>'Pseudo-load coefficients'!N283</f>
        <v>1.3885902431326178</v>
      </c>
      <c r="O93" s="262">
        <f>'Pseudo-load coefficients'!O283</f>
        <v>1.2955424934371154</v>
      </c>
      <c r="P93" s="262">
        <f>'Pseudo-load coefficients'!P283</f>
        <v>1.1294591838684089</v>
      </c>
      <c r="Q93" s="262">
        <f>'Pseudo-load coefficients'!Q283</f>
        <v>1.1047634926554877</v>
      </c>
      <c r="R93" s="262">
        <f>'Pseudo-load coefficients'!R283</f>
        <v>1.0209232045349479</v>
      </c>
      <c r="S93" s="262">
        <f>'Pseudo-load coefficients'!S283</f>
        <v>1.0209232045349479</v>
      </c>
      <c r="T93" s="262">
        <f>'Pseudo-load coefficients'!T283</f>
        <v>1.0209232045349479</v>
      </c>
      <c r="U93" s="262">
        <f>'Pseudo-load coefficients'!U283</f>
        <v>1.0209232045349479</v>
      </c>
      <c r="V93" s="262">
        <f>'Pseudo-load coefficients'!V283</f>
        <v>1.0209232045349479</v>
      </c>
      <c r="W93" s="262">
        <f>'Pseudo-load coefficients'!W283</f>
        <v>1.0209232045349479</v>
      </c>
      <c r="X93" s="262">
        <f>'Pseudo-load coefficients'!X283</f>
        <v>1.0209232045349479</v>
      </c>
      <c r="Y93" s="262">
        <f>'Pseudo-load coefficients'!Y283</f>
        <v>1.0209232045349479</v>
      </c>
    </row>
    <row r="94" spans="5:25" x14ac:dyDescent="0.25">
      <c r="E94" s="60"/>
      <c r="F94" s="254" t="s">
        <v>190</v>
      </c>
      <c r="G94" s="89" t="s">
        <v>282</v>
      </c>
      <c r="J94" s="255">
        <f>'Pseudo-load coefficients'!J283</f>
        <v>1.3803798191152201</v>
      </c>
      <c r="K94" s="255">
        <f>'Pseudo-load coefficients'!K283</f>
        <v>1.3803798191152201</v>
      </c>
      <c r="L94" s="255">
        <f>'Pseudo-load coefficients'!L283</f>
        <v>1.6736746832433078</v>
      </c>
      <c r="M94" s="255">
        <f>'Pseudo-load coefficients'!M283</f>
        <v>1.6736746832433078</v>
      </c>
      <c r="N94" s="255">
        <f>'Pseudo-load coefficients'!N283</f>
        <v>1.3885902431326178</v>
      </c>
      <c r="O94" s="255">
        <f>'Pseudo-load coefficients'!O283</f>
        <v>1.2955424934371154</v>
      </c>
      <c r="P94" s="255">
        <f>'Pseudo-load coefficients'!P283</f>
        <v>1.1294591838684089</v>
      </c>
      <c r="Q94" s="255">
        <f>'Pseudo-load coefficients'!Q283</f>
        <v>1.1047634926554877</v>
      </c>
      <c r="R94" s="255">
        <f>'Pseudo-load coefficients'!R283</f>
        <v>1.0209232045349479</v>
      </c>
      <c r="S94" s="255">
        <f>'Pseudo-load coefficients'!S283</f>
        <v>1.0209232045349479</v>
      </c>
      <c r="T94" s="255">
        <f>'Pseudo-load coefficients'!T283</f>
        <v>1.0209232045349479</v>
      </c>
      <c r="U94" s="255">
        <f>'Pseudo-load coefficients'!U283</f>
        <v>1.0209232045349479</v>
      </c>
      <c r="V94" s="255">
        <f>'Pseudo-load coefficients'!V283</f>
        <v>1.0209232045349479</v>
      </c>
      <c r="W94" s="255">
        <f>'Pseudo-load coefficients'!W283</f>
        <v>1.0209232045349479</v>
      </c>
      <c r="X94" s="255">
        <f>'Pseudo-load coefficients'!X283</f>
        <v>1.0209232045349479</v>
      </c>
      <c r="Y94" s="255">
        <f>'Pseudo-load coefficients'!Y283</f>
        <v>1.0209232045349479</v>
      </c>
    </row>
    <row r="95" spans="5:25" x14ac:dyDescent="0.25">
      <c r="E95" s="60"/>
      <c r="F95" s="254" t="s">
        <v>191</v>
      </c>
      <c r="G95" s="89" t="s">
        <v>282</v>
      </c>
      <c r="J95" s="255">
        <f>'Pseudo-load coefficients'!J284</f>
        <v>1.8190595850049036</v>
      </c>
      <c r="K95" s="255">
        <f>'Pseudo-load coefficients'!K284</f>
        <v>1.8190595850049036</v>
      </c>
      <c r="L95" s="255">
        <f>'Pseudo-load coefficients'!L284</f>
        <v>2.2055625071983611</v>
      </c>
      <c r="M95" s="255">
        <f>'Pseudo-load coefficients'!M284</f>
        <v>2.2055625071983611</v>
      </c>
      <c r="N95" s="255">
        <f>'Pseudo-load coefficients'!N284</f>
        <v>1.8298792523884608</v>
      </c>
      <c r="O95" s="255">
        <f>'Pseudo-load coefficients'!O284</f>
        <v>1.7072612608741899</v>
      </c>
      <c r="P95" s="255">
        <f>'Pseudo-load coefficients'!P284</f>
        <v>1.4883972699662829</v>
      </c>
      <c r="Q95" s="255">
        <f>'Pseudo-load coefficients'!Q284</f>
        <v>1.3600050821493457</v>
      </c>
      <c r="R95" s="255">
        <f>'Pseudo-load coefficients'!R284</f>
        <v>1.3453689448702415</v>
      </c>
      <c r="S95" s="255">
        <f>'Pseudo-load coefficients'!S284</f>
        <v>1.3453689448702415</v>
      </c>
      <c r="T95" s="255">
        <f>'Pseudo-load coefficients'!T284</f>
        <v>1.3453689448702415</v>
      </c>
      <c r="U95" s="255">
        <f>'Pseudo-load coefficients'!U284</f>
        <v>1.3453689448702415</v>
      </c>
      <c r="V95" s="255">
        <f>'Pseudo-load coefficients'!V284</f>
        <v>1.3453689448702415</v>
      </c>
      <c r="W95" s="255">
        <f>'Pseudo-load coefficients'!W284</f>
        <v>1.3453689448702415</v>
      </c>
      <c r="X95" s="255">
        <f>'Pseudo-load coefficients'!X284</f>
        <v>1.3453689448702415</v>
      </c>
      <c r="Y95" s="255">
        <f>'Pseudo-load coefficients'!Y284</f>
        <v>1.3453689448702415</v>
      </c>
    </row>
    <row r="96" spans="5:25" x14ac:dyDescent="0.25">
      <c r="E96" s="60"/>
      <c r="F96" s="254" t="s">
        <v>192</v>
      </c>
      <c r="G96" s="89" t="s">
        <v>282</v>
      </c>
      <c r="J96" s="255">
        <f>'Pseudo-load coefficients'!J285</f>
        <v>1.8190595850049036</v>
      </c>
      <c r="K96" s="255">
        <f>'Pseudo-load coefficients'!K285</f>
        <v>1.8190595850049036</v>
      </c>
      <c r="L96" s="255">
        <f>'Pseudo-load coefficients'!L285</f>
        <v>2.2055625071983611</v>
      </c>
      <c r="M96" s="255">
        <f>'Pseudo-load coefficients'!M285</f>
        <v>2.2055625071983611</v>
      </c>
      <c r="N96" s="255">
        <f>'Pseudo-load coefficients'!N285</f>
        <v>1.8298792523884608</v>
      </c>
      <c r="O96" s="255">
        <f>'Pseudo-load coefficients'!O285</f>
        <v>1.7072612608741899</v>
      </c>
      <c r="P96" s="255">
        <f>'Pseudo-load coefficients'!P285</f>
        <v>1.4883972699662829</v>
      </c>
      <c r="Q96" s="255">
        <f>'Pseudo-load coefficients'!Q285</f>
        <v>1.3600050821493457</v>
      </c>
      <c r="R96" s="255">
        <f>'Pseudo-load coefficients'!R285</f>
        <v>1.3453689448702415</v>
      </c>
      <c r="S96" s="255">
        <f>'Pseudo-load coefficients'!S285</f>
        <v>1.3453689448702415</v>
      </c>
      <c r="T96" s="255">
        <f>'Pseudo-load coefficients'!T285</f>
        <v>1.3453689448702415</v>
      </c>
      <c r="U96" s="255">
        <f>'Pseudo-load coefficients'!U285</f>
        <v>1.3453689448702415</v>
      </c>
      <c r="V96" s="255">
        <f>'Pseudo-load coefficients'!V285</f>
        <v>1.3453689448702415</v>
      </c>
      <c r="W96" s="255">
        <f>'Pseudo-load coefficients'!W285</f>
        <v>1.3453689448702415</v>
      </c>
      <c r="X96" s="255">
        <f>'Pseudo-load coefficients'!X285</f>
        <v>1.3453689448702415</v>
      </c>
      <c r="Y96" s="255">
        <f>'Pseudo-load coefficients'!Y285</f>
        <v>1.3453689448702415</v>
      </c>
    </row>
    <row r="97" spans="3:25" x14ac:dyDescent="0.25">
      <c r="E97" s="60"/>
      <c r="F97" s="254" t="s">
        <v>193</v>
      </c>
      <c r="G97" s="89" t="s">
        <v>282</v>
      </c>
      <c r="J97" s="255">
        <f>'Pseudo-load coefficients'!J286</f>
        <v>1.9629724068536516</v>
      </c>
      <c r="K97" s="255">
        <f>'Pseudo-load coefficients'!K286</f>
        <v>1.9629724068536516</v>
      </c>
      <c r="L97" s="255">
        <f>'Pseudo-load coefficients'!L286</f>
        <v>2.3800530663813686</v>
      </c>
      <c r="M97" s="255">
        <f>'Pseudo-load coefficients'!M286</f>
        <v>2.3800530663813686</v>
      </c>
      <c r="N97" s="255">
        <f>'Pseudo-load coefficients'!N286</f>
        <v>1.9746480598670739</v>
      </c>
      <c r="O97" s="255">
        <f>'Pseudo-load coefficients'!O286</f>
        <v>1.8423292859739802</v>
      </c>
      <c r="P97" s="255">
        <f>'Pseudo-load coefficients'!P286</f>
        <v>1.6061501203503692</v>
      </c>
      <c r="Q97" s="255">
        <f>'Pseudo-load coefficients'!Q286</f>
        <v>1.5119949593508173</v>
      </c>
      <c r="R97" s="255">
        <f>'Pseudo-load coefficients'!R286</f>
        <v>1.4518062726411332</v>
      </c>
      <c r="S97" s="255">
        <f>'Pseudo-load coefficients'!S286</f>
        <v>1.4518062726411332</v>
      </c>
      <c r="T97" s="255">
        <f>'Pseudo-load coefficients'!T286</f>
        <v>1.4518062726411332</v>
      </c>
      <c r="U97" s="255">
        <f>'Pseudo-load coefficients'!U286</f>
        <v>1.4518062726411332</v>
      </c>
      <c r="V97" s="255">
        <f>'Pseudo-load coefficients'!V286</f>
        <v>1.4518062726411332</v>
      </c>
      <c r="W97" s="255">
        <f>'Pseudo-load coefficients'!W286</f>
        <v>1.4518062726411332</v>
      </c>
      <c r="X97" s="255">
        <f>'Pseudo-load coefficients'!X286</f>
        <v>1.4518062726411332</v>
      </c>
      <c r="Y97" s="255">
        <f>'Pseudo-load coefficients'!Y286</f>
        <v>1.4518062726411332</v>
      </c>
    </row>
    <row r="98" spans="3:25" x14ac:dyDescent="0.25">
      <c r="E98" s="60"/>
      <c r="F98" s="254" t="s">
        <v>194</v>
      </c>
      <c r="G98" s="89" t="s">
        <v>282</v>
      </c>
      <c r="J98" s="255">
        <f>'Pseudo-load coefficients'!J287</f>
        <v>1.9629724068536516</v>
      </c>
      <c r="K98" s="255">
        <f>'Pseudo-load coefficients'!K287</f>
        <v>1.9629724068536516</v>
      </c>
      <c r="L98" s="255">
        <f>'Pseudo-load coefficients'!L287</f>
        <v>2.3800530663813686</v>
      </c>
      <c r="M98" s="255">
        <f>'Pseudo-load coefficients'!M287</f>
        <v>2.3800530663813686</v>
      </c>
      <c r="N98" s="255">
        <f>'Pseudo-load coefficients'!N287</f>
        <v>1.9746480598670739</v>
      </c>
      <c r="O98" s="255">
        <f>'Pseudo-load coefficients'!O287</f>
        <v>1.8423292859739802</v>
      </c>
      <c r="P98" s="255">
        <f>'Pseudo-load coefficients'!P287</f>
        <v>1.6061501203503692</v>
      </c>
      <c r="Q98" s="255">
        <f>'Pseudo-load coefficients'!Q287</f>
        <v>1.5119949593508173</v>
      </c>
      <c r="R98" s="255">
        <f>'Pseudo-load coefficients'!R287</f>
        <v>1.4518062726411332</v>
      </c>
      <c r="S98" s="255">
        <f>'Pseudo-load coefficients'!S287</f>
        <v>1.4518062726411332</v>
      </c>
      <c r="T98" s="255">
        <f>'Pseudo-load coefficients'!T287</f>
        <v>1.4518062726411332</v>
      </c>
      <c r="U98" s="255">
        <f>'Pseudo-load coefficients'!U287</f>
        <v>1.4518062726411332</v>
      </c>
      <c r="V98" s="255">
        <f>'Pseudo-load coefficients'!V287</f>
        <v>1.4518062726411332</v>
      </c>
      <c r="W98" s="255">
        <f>'Pseudo-load coefficients'!W287</f>
        <v>1.4518062726411332</v>
      </c>
      <c r="X98" s="255">
        <f>'Pseudo-load coefficients'!X287</f>
        <v>1.4518062726411332</v>
      </c>
      <c r="Y98" s="255">
        <f>'Pseudo-load coefficients'!Y287</f>
        <v>1.4518062726411332</v>
      </c>
    </row>
    <row r="99" spans="3:25" x14ac:dyDescent="0.25">
      <c r="E99" s="60"/>
      <c r="F99" s="254" t="s">
        <v>195</v>
      </c>
      <c r="G99" s="89" t="s">
        <v>282</v>
      </c>
      <c r="J99" s="255">
        <f>'Pseudo-load coefficients'!J288</f>
        <v>0</v>
      </c>
      <c r="K99" s="255">
        <f>'Pseudo-load coefficients'!K288</f>
        <v>0</v>
      </c>
      <c r="L99" s="255">
        <f>'Pseudo-load coefficients'!L288</f>
        <v>0</v>
      </c>
      <c r="M99" s="255">
        <f>'Pseudo-load coefficients'!M288</f>
        <v>0</v>
      </c>
      <c r="N99" s="255">
        <f>'Pseudo-load coefficients'!N288</f>
        <v>0</v>
      </c>
      <c r="O99" s="255">
        <f>'Pseudo-load coefficients'!O288</f>
        <v>0</v>
      </c>
      <c r="P99" s="255">
        <f>'Pseudo-load coefficients'!P288</f>
        <v>0</v>
      </c>
      <c r="Q99" s="255">
        <f>'Pseudo-load coefficients'!Q288</f>
        <v>0</v>
      </c>
      <c r="R99" s="255">
        <f>'Pseudo-load coefficients'!R288</f>
        <v>0</v>
      </c>
      <c r="S99" s="255">
        <f>'Pseudo-load coefficients'!S288</f>
        <v>0</v>
      </c>
      <c r="T99" s="255">
        <f>'Pseudo-load coefficients'!T288</f>
        <v>0</v>
      </c>
      <c r="U99" s="255">
        <f>'Pseudo-load coefficients'!U288</f>
        <v>0</v>
      </c>
      <c r="V99" s="255">
        <f>'Pseudo-load coefficients'!V288</f>
        <v>0</v>
      </c>
      <c r="W99" s="255">
        <f>'Pseudo-load coefficients'!W288</f>
        <v>0</v>
      </c>
      <c r="X99" s="255">
        <f>'Pseudo-load coefficients'!X288</f>
        <v>0</v>
      </c>
      <c r="Y99" s="255">
        <f>'Pseudo-load coefficients'!Y288</f>
        <v>0</v>
      </c>
    </row>
    <row r="100" spans="3:25" x14ac:dyDescent="0.25">
      <c r="E100" s="60"/>
      <c r="F100" s="254" t="s">
        <v>196</v>
      </c>
      <c r="G100" s="89" t="s">
        <v>282</v>
      </c>
      <c r="J100" s="255">
        <f>'Pseudo-load coefficients'!J289</f>
        <v>1.9629724068536516</v>
      </c>
      <c r="K100" s="255">
        <f>'Pseudo-load coefficients'!K289</f>
        <v>1.9629724068536516</v>
      </c>
      <c r="L100" s="255">
        <f>'Pseudo-load coefficients'!L289</f>
        <v>2.3800530663813686</v>
      </c>
      <c r="M100" s="255">
        <f>'Pseudo-load coefficients'!M289</f>
        <v>2.3800530663813686</v>
      </c>
      <c r="N100" s="255">
        <f>'Pseudo-load coefficients'!N289</f>
        <v>1.9746480598670739</v>
      </c>
      <c r="O100" s="255">
        <f>'Pseudo-load coefficients'!O289</f>
        <v>1.8423292859739802</v>
      </c>
      <c r="P100" s="255">
        <f>'Pseudo-load coefficients'!P289</f>
        <v>1.6061501203503692</v>
      </c>
      <c r="Q100" s="255">
        <f>'Pseudo-load coefficients'!Q289</f>
        <v>1.5119949593508173</v>
      </c>
      <c r="R100" s="255">
        <f>'Pseudo-load coefficients'!R289</f>
        <v>1.4518062726411332</v>
      </c>
      <c r="S100" s="255">
        <f>'Pseudo-load coefficients'!S289</f>
        <v>1.4518062726411332</v>
      </c>
      <c r="T100" s="255">
        <f>'Pseudo-load coefficients'!T289</f>
        <v>1.4518062726411332</v>
      </c>
      <c r="U100" s="255">
        <f>'Pseudo-load coefficients'!U289</f>
        <v>1.4518062726411332</v>
      </c>
      <c r="V100" s="255">
        <f>'Pseudo-load coefficients'!V289</f>
        <v>1.4518062726411332</v>
      </c>
      <c r="W100" s="255">
        <f>'Pseudo-load coefficients'!W289</f>
        <v>1.4518062726411332</v>
      </c>
      <c r="X100" s="255">
        <f>'Pseudo-load coefficients'!X289</f>
        <v>1.4518062726411332</v>
      </c>
      <c r="Y100" s="255">
        <f>'Pseudo-load coefficients'!Y289</f>
        <v>1.4518062726411332</v>
      </c>
    </row>
    <row r="101" spans="3:25" x14ac:dyDescent="0.25">
      <c r="E101" s="60"/>
      <c r="F101" s="254" t="s">
        <v>197</v>
      </c>
      <c r="G101" s="89" t="s">
        <v>282</v>
      </c>
      <c r="J101" s="255">
        <f>'Pseudo-load coefficients'!J290</f>
        <v>1.9629724068536516</v>
      </c>
      <c r="K101" s="255">
        <f>'Pseudo-load coefficients'!K290</f>
        <v>1.9629724068536516</v>
      </c>
      <c r="L101" s="255">
        <f>'Pseudo-load coefficients'!L290</f>
        <v>2.3800530663813686</v>
      </c>
      <c r="M101" s="255">
        <f>'Pseudo-load coefficients'!M290</f>
        <v>2.3800530663813686</v>
      </c>
      <c r="N101" s="255">
        <f>'Pseudo-load coefficients'!N290</f>
        <v>1.9746480598670739</v>
      </c>
      <c r="O101" s="255">
        <f>'Pseudo-load coefficients'!O290</f>
        <v>1.8423292859739802</v>
      </c>
      <c r="P101" s="255">
        <f>'Pseudo-load coefficients'!P290</f>
        <v>1.6061501203503692</v>
      </c>
      <c r="Q101" s="255">
        <f>'Pseudo-load coefficients'!Q290</f>
        <v>1.5119949593508173</v>
      </c>
      <c r="R101" s="255">
        <f>'Pseudo-load coefficients'!R290</f>
        <v>1.4518062726411332</v>
      </c>
      <c r="S101" s="255">
        <f>'Pseudo-load coefficients'!S290</f>
        <v>1.4518062726411332</v>
      </c>
      <c r="T101" s="255">
        <f>'Pseudo-load coefficients'!T290</f>
        <v>1.4518062726411332</v>
      </c>
      <c r="U101" s="255">
        <f>'Pseudo-load coefficients'!U290</f>
        <v>1.4518062726411332</v>
      </c>
      <c r="V101" s="255">
        <f>'Pseudo-load coefficients'!V290</f>
        <v>1.4518062726411332</v>
      </c>
      <c r="W101" s="255">
        <f>'Pseudo-load coefficients'!W290</f>
        <v>1.4518062726411332</v>
      </c>
      <c r="X101" s="255">
        <f>'Pseudo-load coefficients'!X290</f>
        <v>1.4518062726411332</v>
      </c>
      <c r="Y101" s="255">
        <f>'Pseudo-load coefficients'!Y290</f>
        <v>1.4518062726411332</v>
      </c>
    </row>
    <row r="102" spans="3:25" x14ac:dyDescent="0.25">
      <c r="E102" s="60"/>
      <c r="F102" s="256" t="s">
        <v>198</v>
      </c>
      <c r="G102" s="96" t="s">
        <v>282</v>
      </c>
      <c r="H102" s="91"/>
      <c r="I102" s="91"/>
      <c r="J102" s="257">
        <f>'Pseudo-load coefficients'!J291</f>
        <v>1.9629724068536516</v>
      </c>
      <c r="K102" s="257">
        <f>'Pseudo-load coefficients'!K291</f>
        <v>1.9629724068536516</v>
      </c>
      <c r="L102" s="257">
        <f>'Pseudo-load coefficients'!L291</f>
        <v>2.3800530663813686</v>
      </c>
      <c r="M102" s="257">
        <f>'Pseudo-load coefficients'!M291</f>
        <v>2.3800530663813686</v>
      </c>
      <c r="N102" s="257">
        <f>'Pseudo-load coefficients'!N291</f>
        <v>1.9746480598670739</v>
      </c>
      <c r="O102" s="257">
        <f>'Pseudo-load coefficients'!O291</f>
        <v>1.8423292859739802</v>
      </c>
      <c r="P102" s="257">
        <f>'Pseudo-load coefficients'!P291</f>
        <v>1.6061501203503692</v>
      </c>
      <c r="Q102" s="257">
        <f>'Pseudo-load coefficients'!Q291</f>
        <v>1.5119949593508173</v>
      </c>
      <c r="R102" s="257">
        <f>'Pseudo-load coefficients'!R291</f>
        <v>1.4518062726411332</v>
      </c>
      <c r="S102" s="257">
        <f>'Pseudo-load coefficients'!S291</f>
        <v>1.4518062726411332</v>
      </c>
      <c r="T102" s="257">
        <f>'Pseudo-load coefficients'!T291</f>
        <v>1.4518062726411332</v>
      </c>
      <c r="U102" s="257">
        <f>'Pseudo-load coefficients'!U291</f>
        <v>1.4518062726411332</v>
      </c>
      <c r="V102" s="257">
        <f>'Pseudo-load coefficients'!V291</f>
        <v>1.4518062726411332</v>
      </c>
      <c r="W102" s="257">
        <f>'Pseudo-load coefficients'!W291</f>
        <v>1.4518062726411332</v>
      </c>
      <c r="X102" s="257">
        <f>'Pseudo-load coefficients'!X291</f>
        <v>1.4518062726411332</v>
      </c>
      <c r="Y102" s="257">
        <f>'Pseudo-load coefficients'!Y291</f>
        <v>1.4518062726411332</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510</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188</v>
      </c>
      <c r="G105" s="93" t="s">
        <v>282</v>
      </c>
      <c r="H105" s="90"/>
      <c r="I105" s="90"/>
      <c r="J105" s="262">
        <f>'Pseudo-load coefficients'!J294</f>
        <v>0.13461671614534554</v>
      </c>
      <c r="K105" s="262">
        <f>'Pseudo-load coefficients'!K294</f>
        <v>0.13461671614534554</v>
      </c>
      <c r="L105" s="262">
        <f>'Pseudo-load coefficients'!L294</f>
        <v>0.16321927243056089</v>
      </c>
      <c r="M105" s="262">
        <f>'Pseudo-load coefficients'!M294</f>
        <v>0.16321927243056089</v>
      </c>
      <c r="N105" s="262">
        <f>'Pseudo-load coefficients'!N294</f>
        <v>0.13541740904455887</v>
      </c>
      <c r="O105" s="262">
        <f>'Pseudo-load coefficients'!O294</f>
        <v>0.12634325254410289</v>
      </c>
      <c r="P105" s="262">
        <f>'Pseudo-load coefficients'!P294</f>
        <v>0.1101465583943575</v>
      </c>
      <c r="Q105" s="262">
        <f>'Pseudo-load coefficients'!Q294</f>
        <v>0.11624080753156253</v>
      </c>
      <c r="R105" s="262">
        <f>'Pseudo-load coefficients'!R294</f>
        <v>9.9561966444255925E-2</v>
      </c>
      <c r="S105" s="262">
        <f>'Pseudo-load coefficients'!S294</f>
        <v>9.9561966444255925E-2</v>
      </c>
      <c r="T105" s="262">
        <f>'Pseudo-load coefficients'!T294</f>
        <v>9.9561966444255925E-2</v>
      </c>
      <c r="U105" s="262">
        <f>'Pseudo-load coefficients'!U294</f>
        <v>9.9561966444255925E-2</v>
      </c>
      <c r="V105" s="262">
        <f>'Pseudo-load coefficients'!V294</f>
        <v>9.9561966444255925E-2</v>
      </c>
      <c r="W105" s="262">
        <f>'Pseudo-load coefficients'!W294</f>
        <v>9.9561966444255925E-2</v>
      </c>
      <c r="X105" s="262">
        <f>'Pseudo-load coefficients'!X294</f>
        <v>9.9561966444255925E-2</v>
      </c>
      <c r="Y105" s="262">
        <f>'Pseudo-load coefficients'!Y294</f>
        <v>9.9561966444255925E-2</v>
      </c>
    </row>
    <row r="106" spans="3:25" x14ac:dyDescent="0.25">
      <c r="C106" s="60"/>
      <c r="E106" s="60"/>
      <c r="F106" s="254" t="s">
        <v>190</v>
      </c>
      <c r="G106" s="89" t="s">
        <v>282</v>
      </c>
      <c r="J106" s="255">
        <f>'Pseudo-load coefficients'!J294</f>
        <v>0.13461671614534554</v>
      </c>
      <c r="K106" s="255">
        <f>'Pseudo-load coefficients'!K294</f>
        <v>0.13461671614534554</v>
      </c>
      <c r="L106" s="255">
        <f>'Pseudo-load coefficients'!L294</f>
        <v>0.16321927243056089</v>
      </c>
      <c r="M106" s="255">
        <f>'Pseudo-load coefficients'!M294</f>
        <v>0.16321927243056089</v>
      </c>
      <c r="N106" s="255">
        <f>'Pseudo-load coefficients'!N294</f>
        <v>0.13541740904455887</v>
      </c>
      <c r="O106" s="255">
        <f>'Pseudo-load coefficients'!O294</f>
        <v>0.12634325254410289</v>
      </c>
      <c r="P106" s="255">
        <f>'Pseudo-load coefficients'!P294</f>
        <v>0.1101465583943575</v>
      </c>
      <c r="Q106" s="255">
        <f>'Pseudo-load coefficients'!Q294</f>
        <v>0.11624080753156253</v>
      </c>
      <c r="R106" s="255">
        <f>'Pseudo-load coefficients'!R294</f>
        <v>9.9561966444255925E-2</v>
      </c>
      <c r="S106" s="255">
        <f>'Pseudo-load coefficients'!S294</f>
        <v>9.9561966444255925E-2</v>
      </c>
      <c r="T106" s="255">
        <f>'Pseudo-load coefficients'!T294</f>
        <v>9.9561966444255925E-2</v>
      </c>
      <c r="U106" s="255">
        <f>'Pseudo-load coefficients'!U294</f>
        <v>9.9561966444255925E-2</v>
      </c>
      <c r="V106" s="255">
        <f>'Pseudo-load coefficients'!V294</f>
        <v>9.9561966444255925E-2</v>
      </c>
      <c r="W106" s="255">
        <f>'Pseudo-load coefficients'!W294</f>
        <v>9.9561966444255925E-2</v>
      </c>
      <c r="X106" s="255">
        <f>'Pseudo-load coefficients'!X294</f>
        <v>9.9561966444255925E-2</v>
      </c>
      <c r="Y106" s="255">
        <f>'Pseudo-load coefficients'!Y294</f>
        <v>9.9561966444255925E-2</v>
      </c>
    </row>
    <row r="107" spans="3:25" x14ac:dyDescent="0.25">
      <c r="C107" s="60"/>
      <c r="E107" s="60"/>
      <c r="F107" s="254" t="s">
        <v>191</v>
      </c>
      <c r="G107" s="89" t="s">
        <v>282</v>
      </c>
      <c r="J107" s="255">
        <f>'Pseudo-load coefficients'!J295</f>
        <v>0.16971427749233947</v>
      </c>
      <c r="K107" s="255">
        <f>'Pseudo-load coefficients'!K295</f>
        <v>0.16971427749233947</v>
      </c>
      <c r="L107" s="255">
        <f>'Pseudo-load coefficients'!L295</f>
        <v>0.20577415410631181</v>
      </c>
      <c r="M107" s="255">
        <f>'Pseudo-load coefficients'!M295</f>
        <v>0.20577415410631181</v>
      </c>
      <c r="N107" s="255">
        <f>'Pseudo-load coefficients'!N295</f>
        <v>0.17072372877576344</v>
      </c>
      <c r="O107" s="255">
        <f>'Pseudo-load coefficients'!O295</f>
        <v>0.1592837385693128</v>
      </c>
      <c r="P107" s="255">
        <f>'Pseudo-load coefficients'!P295</f>
        <v>0.13886420729490143</v>
      </c>
      <c r="Q107" s="255">
        <f>'Pseudo-load coefficients'!Q295</f>
        <v>0.14654736224619552</v>
      </c>
      <c r="R107" s="255">
        <f>'Pseudo-load coefficients'!R295</f>
        <v>0.12551997764200157</v>
      </c>
      <c r="S107" s="255">
        <f>'Pseudo-load coefficients'!S295</f>
        <v>0.12551997764200157</v>
      </c>
      <c r="T107" s="255">
        <f>'Pseudo-load coefficients'!T295</f>
        <v>0.12551997764200157</v>
      </c>
      <c r="U107" s="255">
        <f>'Pseudo-load coefficients'!U295</f>
        <v>0.12551997764200157</v>
      </c>
      <c r="V107" s="255">
        <f>'Pseudo-load coefficients'!V295</f>
        <v>0.12551997764200157</v>
      </c>
      <c r="W107" s="255">
        <f>'Pseudo-load coefficients'!W295</f>
        <v>0.12551997764200157</v>
      </c>
      <c r="X107" s="255">
        <f>'Pseudo-load coefficients'!X295</f>
        <v>0.12551997764200157</v>
      </c>
      <c r="Y107" s="255">
        <f>'Pseudo-load coefficients'!Y295</f>
        <v>0.12551997764200157</v>
      </c>
    </row>
    <row r="108" spans="3:25" x14ac:dyDescent="0.25">
      <c r="C108" s="60"/>
      <c r="E108" s="60"/>
      <c r="F108" s="254" t="s">
        <v>192</v>
      </c>
      <c r="G108" s="89" t="s">
        <v>282</v>
      </c>
      <c r="J108" s="255">
        <f>'Pseudo-load coefficients'!J296</f>
        <v>0.16971427749233947</v>
      </c>
      <c r="K108" s="255">
        <f>'Pseudo-load coefficients'!K296</f>
        <v>0.16971427749233947</v>
      </c>
      <c r="L108" s="255">
        <f>'Pseudo-load coefficients'!L296</f>
        <v>0.20577415410631181</v>
      </c>
      <c r="M108" s="255">
        <f>'Pseudo-load coefficients'!M296</f>
        <v>0.20577415410631181</v>
      </c>
      <c r="N108" s="255">
        <f>'Pseudo-load coefficients'!N296</f>
        <v>0.17072372877576344</v>
      </c>
      <c r="O108" s="255">
        <f>'Pseudo-load coefficients'!O296</f>
        <v>0.1592837385693128</v>
      </c>
      <c r="P108" s="255">
        <f>'Pseudo-load coefficients'!P296</f>
        <v>0.13886420729490143</v>
      </c>
      <c r="Q108" s="255">
        <f>'Pseudo-load coefficients'!Q296</f>
        <v>0.14654736224619552</v>
      </c>
      <c r="R108" s="255">
        <f>'Pseudo-load coefficients'!R296</f>
        <v>0.12551997764200157</v>
      </c>
      <c r="S108" s="255">
        <f>'Pseudo-load coefficients'!S296</f>
        <v>0.12551997764200157</v>
      </c>
      <c r="T108" s="255">
        <f>'Pseudo-load coefficients'!T296</f>
        <v>0.12551997764200157</v>
      </c>
      <c r="U108" s="255">
        <f>'Pseudo-load coefficients'!U296</f>
        <v>0.12551997764200157</v>
      </c>
      <c r="V108" s="255">
        <f>'Pseudo-load coefficients'!V296</f>
        <v>0.12551997764200157</v>
      </c>
      <c r="W108" s="255">
        <f>'Pseudo-load coefficients'!W296</f>
        <v>0.12551997764200157</v>
      </c>
      <c r="X108" s="255">
        <f>'Pseudo-load coefficients'!X296</f>
        <v>0.12551997764200157</v>
      </c>
      <c r="Y108" s="255">
        <f>'Pseudo-load coefficients'!Y296</f>
        <v>0.12551997764200157</v>
      </c>
    </row>
    <row r="109" spans="3:25" x14ac:dyDescent="0.25">
      <c r="C109" s="60"/>
      <c r="E109" s="60"/>
      <c r="F109" s="254" t="s">
        <v>193</v>
      </c>
      <c r="G109" s="89" t="s">
        <v>282</v>
      </c>
      <c r="J109" s="255">
        <f>'Pseudo-load coefficients'!J297</f>
        <v>0.32601008363004158</v>
      </c>
      <c r="K109" s="255">
        <f>'Pseudo-load coefficients'!K297</f>
        <v>0.32601008363004158</v>
      </c>
      <c r="L109" s="255">
        <f>'Pseudo-load coefficients'!L297</f>
        <v>0.39527876016281432</v>
      </c>
      <c r="M109" s="255">
        <f>'Pseudo-load coefficients'!M297</f>
        <v>0.39527876016281432</v>
      </c>
      <c r="N109" s="255">
        <f>'Pseudo-load coefficients'!N297</f>
        <v>0.32794917385976224</v>
      </c>
      <c r="O109" s="255">
        <f>'Pseudo-load coefficients'!O297</f>
        <v>0.30597369708173938</v>
      </c>
      <c r="P109" s="255">
        <f>'Pseudo-load coefficients'!P297</f>
        <v>0.26674910621749942</v>
      </c>
      <c r="Q109" s="255">
        <f>'Pseudo-load coefficients'!Q297</f>
        <v>0.28150794693039716</v>
      </c>
      <c r="R109" s="255">
        <f>'Pseudo-load coefficients'!R297</f>
        <v>0.2411157093731077</v>
      </c>
      <c r="S109" s="255">
        <f>'Pseudo-load coefficients'!S297</f>
        <v>0.2411157093731077</v>
      </c>
      <c r="T109" s="255">
        <f>'Pseudo-load coefficients'!T297</f>
        <v>0.2411157093731077</v>
      </c>
      <c r="U109" s="255">
        <f>'Pseudo-load coefficients'!U297</f>
        <v>0.2411157093731077</v>
      </c>
      <c r="V109" s="255">
        <f>'Pseudo-load coefficients'!V297</f>
        <v>0.2411157093731077</v>
      </c>
      <c r="W109" s="255">
        <f>'Pseudo-load coefficients'!W297</f>
        <v>0.2411157093731077</v>
      </c>
      <c r="X109" s="255">
        <f>'Pseudo-load coefficients'!X297</f>
        <v>0.2411157093731077</v>
      </c>
      <c r="Y109" s="255">
        <f>'Pseudo-load coefficients'!Y297</f>
        <v>0.2411157093731077</v>
      </c>
    </row>
    <row r="110" spans="3:25" x14ac:dyDescent="0.25">
      <c r="C110" s="60"/>
      <c r="E110" s="60"/>
      <c r="F110" s="254" t="s">
        <v>194</v>
      </c>
      <c r="G110" s="89" t="s">
        <v>282</v>
      </c>
      <c r="J110" s="255">
        <f>'Pseudo-load coefficients'!J298</f>
        <v>0.32601008363004158</v>
      </c>
      <c r="K110" s="255">
        <f>'Pseudo-load coefficients'!K298</f>
        <v>0.32601008363004158</v>
      </c>
      <c r="L110" s="255">
        <f>'Pseudo-load coefficients'!L298</f>
        <v>0.39527876016281432</v>
      </c>
      <c r="M110" s="255">
        <f>'Pseudo-load coefficients'!M298</f>
        <v>0.39527876016281432</v>
      </c>
      <c r="N110" s="255">
        <f>'Pseudo-load coefficients'!N298</f>
        <v>0.32794917385976224</v>
      </c>
      <c r="O110" s="255">
        <f>'Pseudo-load coefficients'!O298</f>
        <v>0.30597369708173938</v>
      </c>
      <c r="P110" s="255">
        <f>'Pseudo-load coefficients'!P298</f>
        <v>0.26674910621749942</v>
      </c>
      <c r="Q110" s="255">
        <f>'Pseudo-load coefficients'!Q298</f>
        <v>0.28150794693039716</v>
      </c>
      <c r="R110" s="255">
        <f>'Pseudo-load coefficients'!R298</f>
        <v>0.2411157093731077</v>
      </c>
      <c r="S110" s="255">
        <f>'Pseudo-load coefficients'!S298</f>
        <v>0.2411157093731077</v>
      </c>
      <c r="T110" s="255">
        <f>'Pseudo-load coefficients'!T298</f>
        <v>0.2411157093731077</v>
      </c>
      <c r="U110" s="255">
        <f>'Pseudo-load coefficients'!U298</f>
        <v>0.2411157093731077</v>
      </c>
      <c r="V110" s="255">
        <f>'Pseudo-load coefficients'!V298</f>
        <v>0.2411157093731077</v>
      </c>
      <c r="W110" s="255">
        <f>'Pseudo-load coefficients'!W298</f>
        <v>0.2411157093731077</v>
      </c>
      <c r="X110" s="255">
        <f>'Pseudo-load coefficients'!X298</f>
        <v>0.2411157093731077</v>
      </c>
      <c r="Y110" s="255">
        <f>'Pseudo-load coefficients'!Y298</f>
        <v>0.2411157093731077</v>
      </c>
    </row>
    <row r="111" spans="3:25" x14ac:dyDescent="0.25">
      <c r="C111" s="60"/>
      <c r="E111" s="60"/>
      <c r="F111" s="254" t="s">
        <v>195</v>
      </c>
      <c r="G111" s="89" t="s">
        <v>282</v>
      </c>
      <c r="J111" s="255">
        <f>'Pseudo-load coefficients'!J299</f>
        <v>0</v>
      </c>
      <c r="K111" s="255">
        <f>'Pseudo-load coefficients'!K299</f>
        <v>0</v>
      </c>
      <c r="L111" s="255">
        <f>'Pseudo-load coefficients'!L299</f>
        <v>0</v>
      </c>
      <c r="M111" s="255">
        <f>'Pseudo-load coefficients'!M299</f>
        <v>0</v>
      </c>
      <c r="N111" s="255">
        <f>'Pseudo-load coefficients'!N299</f>
        <v>0</v>
      </c>
      <c r="O111" s="255">
        <f>'Pseudo-load coefficients'!O299</f>
        <v>0</v>
      </c>
      <c r="P111" s="255">
        <f>'Pseudo-load coefficients'!P299</f>
        <v>0</v>
      </c>
      <c r="Q111" s="255">
        <f>'Pseudo-load coefficients'!Q299</f>
        <v>0</v>
      </c>
      <c r="R111" s="255">
        <f>'Pseudo-load coefficients'!R299</f>
        <v>0</v>
      </c>
      <c r="S111" s="255">
        <f>'Pseudo-load coefficients'!S299</f>
        <v>0</v>
      </c>
      <c r="T111" s="255">
        <f>'Pseudo-load coefficients'!T299</f>
        <v>0</v>
      </c>
      <c r="U111" s="255">
        <f>'Pseudo-load coefficients'!U299</f>
        <v>0</v>
      </c>
      <c r="V111" s="255">
        <f>'Pseudo-load coefficients'!V299</f>
        <v>0</v>
      </c>
      <c r="W111" s="255">
        <f>'Pseudo-load coefficients'!W299</f>
        <v>0</v>
      </c>
      <c r="X111" s="255">
        <f>'Pseudo-load coefficients'!X299</f>
        <v>0</v>
      </c>
      <c r="Y111" s="255">
        <f>'Pseudo-load coefficients'!Y299</f>
        <v>0</v>
      </c>
    </row>
    <row r="112" spans="3:25" x14ac:dyDescent="0.25">
      <c r="C112" s="60"/>
      <c r="E112" s="60"/>
      <c r="F112" s="254" t="s">
        <v>196</v>
      </c>
      <c r="G112" s="89" t="s">
        <v>282</v>
      </c>
      <c r="J112" s="255">
        <f>'Pseudo-load coefficients'!J300</f>
        <v>0.32601008363004158</v>
      </c>
      <c r="K112" s="255">
        <f>'Pseudo-load coefficients'!K300</f>
        <v>0.32601008363004158</v>
      </c>
      <c r="L112" s="255">
        <f>'Pseudo-load coefficients'!L300</f>
        <v>0.39527876016281432</v>
      </c>
      <c r="M112" s="255">
        <f>'Pseudo-load coefficients'!M300</f>
        <v>0.39527876016281432</v>
      </c>
      <c r="N112" s="255">
        <f>'Pseudo-load coefficients'!N300</f>
        <v>0.32794917385976224</v>
      </c>
      <c r="O112" s="255">
        <f>'Pseudo-load coefficients'!O300</f>
        <v>0.30597369708173938</v>
      </c>
      <c r="P112" s="255">
        <f>'Pseudo-load coefficients'!P300</f>
        <v>0.26674910621749942</v>
      </c>
      <c r="Q112" s="255">
        <f>'Pseudo-load coefficients'!Q300</f>
        <v>0.28150794693039716</v>
      </c>
      <c r="R112" s="255">
        <f>'Pseudo-load coefficients'!R300</f>
        <v>0.2411157093731077</v>
      </c>
      <c r="S112" s="255">
        <f>'Pseudo-load coefficients'!S300</f>
        <v>0.2411157093731077</v>
      </c>
      <c r="T112" s="255">
        <f>'Pseudo-load coefficients'!T300</f>
        <v>0.2411157093731077</v>
      </c>
      <c r="U112" s="255">
        <f>'Pseudo-load coefficients'!U300</f>
        <v>0.2411157093731077</v>
      </c>
      <c r="V112" s="255">
        <f>'Pseudo-load coefficients'!V300</f>
        <v>0.2411157093731077</v>
      </c>
      <c r="W112" s="255">
        <f>'Pseudo-load coefficients'!W300</f>
        <v>0.2411157093731077</v>
      </c>
      <c r="X112" s="255">
        <f>'Pseudo-load coefficients'!X300</f>
        <v>0.2411157093731077</v>
      </c>
      <c r="Y112" s="255">
        <f>'Pseudo-load coefficients'!Y300</f>
        <v>0.2411157093731077</v>
      </c>
    </row>
    <row r="113" spans="2:27" x14ac:dyDescent="0.25">
      <c r="C113" s="60"/>
      <c r="E113" s="60"/>
      <c r="F113" s="254" t="s">
        <v>197</v>
      </c>
      <c r="G113" s="89" t="s">
        <v>282</v>
      </c>
      <c r="J113" s="255">
        <f>'Pseudo-load coefficients'!J301</f>
        <v>0.32601008363004158</v>
      </c>
      <c r="K113" s="255">
        <f>'Pseudo-load coefficients'!K301</f>
        <v>0.32601008363004158</v>
      </c>
      <c r="L113" s="255">
        <f>'Pseudo-load coefficients'!L301</f>
        <v>0.39527876016281432</v>
      </c>
      <c r="M113" s="255">
        <f>'Pseudo-load coefficients'!M301</f>
        <v>0.39527876016281432</v>
      </c>
      <c r="N113" s="255">
        <f>'Pseudo-load coefficients'!N301</f>
        <v>0.32794917385976224</v>
      </c>
      <c r="O113" s="255">
        <f>'Pseudo-load coefficients'!O301</f>
        <v>0.30597369708173938</v>
      </c>
      <c r="P113" s="255">
        <f>'Pseudo-load coefficients'!P301</f>
        <v>0.26674910621749942</v>
      </c>
      <c r="Q113" s="255">
        <f>'Pseudo-load coefficients'!Q301</f>
        <v>0.28150794693039716</v>
      </c>
      <c r="R113" s="255">
        <f>'Pseudo-load coefficients'!R301</f>
        <v>0.2411157093731077</v>
      </c>
      <c r="S113" s="255">
        <f>'Pseudo-load coefficients'!S301</f>
        <v>0.2411157093731077</v>
      </c>
      <c r="T113" s="255">
        <f>'Pseudo-load coefficients'!T301</f>
        <v>0.2411157093731077</v>
      </c>
      <c r="U113" s="255">
        <f>'Pseudo-load coefficients'!U301</f>
        <v>0.2411157093731077</v>
      </c>
      <c r="V113" s="255">
        <f>'Pseudo-load coefficients'!V301</f>
        <v>0.2411157093731077</v>
      </c>
      <c r="W113" s="255">
        <f>'Pseudo-load coefficients'!W301</f>
        <v>0.2411157093731077</v>
      </c>
      <c r="X113" s="255">
        <f>'Pseudo-load coefficients'!X301</f>
        <v>0.2411157093731077</v>
      </c>
      <c r="Y113" s="255">
        <f>'Pseudo-load coefficients'!Y301</f>
        <v>0.2411157093731077</v>
      </c>
    </row>
    <row r="114" spans="2:27" x14ac:dyDescent="0.25">
      <c r="C114" s="60"/>
      <c r="E114" s="60"/>
      <c r="F114" s="256" t="s">
        <v>198</v>
      </c>
      <c r="G114" s="96" t="s">
        <v>282</v>
      </c>
      <c r="H114" s="91"/>
      <c r="I114" s="91"/>
      <c r="J114" s="257">
        <f>'Pseudo-load coefficients'!J302</f>
        <v>0.32601008363004158</v>
      </c>
      <c r="K114" s="257">
        <f>'Pseudo-load coefficients'!K302</f>
        <v>0.32601008363004158</v>
      </c>
      <c r="L114" s="257">
        <f>'Pseudo-load coefficients'!L302</f>
        <v>0.39527876016281432</v>
      </c>
      <c r="M114" s="257">
        <f>'Pseudo-load coefficients'!M302</f>
        <v>0.39527876016281432</v>
      </c>
      <c r="N114" s="257">
        <f>'Pseudo-load coefficients'!N302</f>
        <v>0.32794917385976224</v>
      </c>
      <c r="O114" s="257">
        <f>'Pseudo-load coefficients'!O302</f>
        <v>0.30597369708173938</v>
      </c>
      <c r="P114" s="257">
        <f>'Pseudo-load coefficients'!P302</f>
        <v>0.26674910621749942</v>
      </c>
      <c r="Q114" s="257">
        <f>'Pseudo-load coefficients'!Q302</f>
        <v>0.28150794693039716</v>
      </c>
      <c r="R114" s="257">
        <f>'Pseudo-load coefficients'!R302</f>
        <v>0.2411157093731077</v>
      </c>
      <c r="S114" s="257">
        <f>'Pseudo-load coefficients'!S302</f>
        <v>0.2411157093731077</v>
      </c>
      <c r="T114" s="257">
        <f>'Pseudo-load coefficients'!T302</f>
        <v>0.2411157093731077</v>
      </c>
      <c r="U114" s="257">
        <f>'Pseudo-load coefficients'!U302</f>
        <v>0.2411157093731077</v>
      </c>
      <c r="V114" s="257">
        <f>'Pseudo-load coefficients'!V302</f>
        <v>0.2411157093731077</v>
      </c>
      <c r="W114" s="257">
        <f>'Pseudo-load coefficients'!W302</f>
        <v>0.2411157093731077</v>
      </c>
      <c r="X114" s="257">
        <f>'Pseudo-load coefficients'!X302</f>
        <v>0.2411157093731077</v>
      </c>
      <c r="Y114" s="257">
        <f>'Pseudo-load coefficients'!Y302</f>
        <v>0.2411157093731077</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616</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617</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153</v>
      </c>
      <c r="J121" s="259"/>
      <c r="K121" s="259"/>
      <c r="L121" s="259"/>
      <c r="M121" s="259"/>
      <c r="N121" s="259"/>
      <c r="O121" s="259"/>
      <c r="P121" s="259"/>
      <c r="Q121" s="259"/>
      <c r="R121" s="259"/>
      <c r="S121" s="259"/>
      <c r="T121" s="259"/>
      <c r="U121" s="259"/>
      <c r="V121" s="259"/>
      <c r="W121" s="259"/>
      <c r="X121" s="259"/>
      <c r="Y121" s="259"/>
      <c r="AA121" t="s">
        <v>612</v>
      </c>
    </row>
    <row r="122" spans="2:27" x14ac:dyDescent="0.25">
      <c r="E122" s="60" t="s">
        <v>618</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188</v>
      </c>
      <c r="G123" s="90" t="s">
        <v>268</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190</v>
      </c>
      <c r="G124" t="s">
        <v>268</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191</v>
      </c>
      <c r="G125" t="s">
        <v>268</v>
      </c>
      <c r="H125" s="266"/>
      <c r="I125" s="266"/>
      <c r="J125" s="267">
        <f t="shared" ref="J125:Y125" si="2">hundred * $H20 * J57 / $H45 * J$78 * (1 - J69) / hours_in_year</f>
        <v>0.17475508782848376</v>
      </c>
      <c r="K125" s="267">
        <f t="shared" si="2"/>
        <v>0.17475508782848376</v>
      </c>
      <c r="L125" s="267">
        <f t="shared" si="2"/>
        <v>0.17033492075823092</v>
      </c>
      <c r="M125" s="267">
        <f t="shared" si="2"/>
        <v>0.17033492075823092</v>
      </c>
      <c r="N125" s="267">
        <f t="shared" si="2"/>
        <v>0.14478927252861901</v>
      </c>
      <c r="O125" s="267">
        <f t="shared" si="2"/>
        <v>0.12025054807603804</v>
      </c>
      <c r="P125" s="267">
        <f t="shared" si="2"/>
        <v>0.10082703309648372</v>
      </c>
      <c r="Q125" s="267">
        <f t="shared" si="2"/>
        <v>0.174476650895387</v>
      </c>
      <c r="R125" s="267">
        <f t="shared" si="2"/>
        <v>-9.420338961220738E-2</v>
      </c>
      <c r="S125" s="267">
        <f t="shared" si="2"/>
        <v>-8.6422090294503082E-2</v>
      </c>
      <c r="T125" s="267">
        <f t="shared" si="2"/>
        <v>-9.420338961220738E-2</v>
      </c>
      <c r="U125" s="267">
        <f t="shared" si="2"/>
        <v>-9.420338961220738E-2</v>
      </c>
      <c r="V125" s="267">
        <f t="shared" si="2"/>
        <v>-8.6422090294503082E-2</v>
      </c>
      <c r="W125" s="267">
        <f t="shared" si="2"/>
        <v>-8.6422090294503082E-2</v>
      </c>
      <c r="X125" s="267">
        <f t="shared" si="2"/>
        <v>-8.5180393594869397E-2</v>
      </c>
      <c r="Y125" s="267">
        <f t="shared" si="2"/>
        <v>-8.5180393594869397E-2</v>
      </c>
      <c r="Z125" s="266"/>
      <c r="AA125" s="266"/>
    </row>
    <row r="126" spans="2:27" x14ac:dyDescent="0.25">
      <c r="E126" s="60"/>
      <c r="F126" s="254" t="s">
        <v>192</v>
      </c>
      <c r="G126" t="s">
        <v>268</v>
      </c>
      <c r="H126" s="266"/>
      <c r="I126" s="266"/>
      <c r="J126" s="267">
        <f t="shared" ref="J126:Y126" si="3">hundred * $H21 * J58 / $H46 * J$78 * (1 - J70) / hours_in_year</f>
        <v>6.9934463430223512E-2</v>
      </c>
      <c r="K126" s="267">
        <f t="shared" si="3"/>
        <v>6.9934463430223512E-2</v>
      </c>
      <c r="L126" s="267">
        <f t="shared" si="3"/>
        <v>6.8165576377083925E-2</v>
      </c>
      <c r="M126" s="267">
        <f t="shared" si="3"/>
        <v>6.8165576377083925E-2</v>
      </c>
      <c r="N126" s="267">
        <f t="shared" si="3"/>
        <v>5.7942576725888886E-2</v>
      </c>
      <c r="O126" s="267">
        <f t="shared" si="3"/>
        <v>4.8122533434573365E-2</v>
      </c>
      <c r="P126" s="267">
        <f t="shared" si="3"/>
        <v>4.0349523132537209E-2</v>
      </c>
      <c r="Q126" s="267">
        <f t="shared" si="3"/>
        <v>6.982303698904091E-2</v>
      </c>
      <c r="R126" s="267">
        <f t="shared" si="3"/>
        <v>-3.769883662731454E-2</v>
      </c>
      <c r="S126" s="267">
        <f t="shared" si="3"/>
        <v>-3.4584872969170816E-2</v>
      </c>
      <c r="T126" s="267">
        <f t="shared" si="3"/>
        <v>-3.769883662731454E-2</v>
      </c>
      <c r="U126" s="267">
        <f t="shared" si="3"/>
        <v>-3.769883662731454E-2</v>
      </c>
      <c r="V126" s="267">
        <f t="shared" si="3"/>
        <v>-3.4584872969170816E-2</v>
      </c>
      <c r="W126" s="267">
        <f t="shared" si="3"/>
        <v>-3.4584872969170816E-2</v>
      </c>
      <c r="X126" s="267">
        <f t="shared" si="3"/>
        <v>-3.4087963874786173E-2</v>
      </c>
      <c r="Y126" s="267">
        <f t="shared" si="3"/>
        <v>-3.4087963874786173E-2</v>
      </c>
      <c r="Z126" s="266"/>
      <c r="AA126" s="266"/>
    </row>
    <row r="127" spans="2:27" x14ac:dyDescent="0.25">
      <c r="E127" s="60"/>
      <c r="F127" s="254" t="s">
        <v>193</v>
      </c>
      <c r="G127" t="s">
        <v>268</v>
      </c>
      <c r="H127" s="266"/>
      <c r="I127" s="266"/>
      <c r="J127" s="267">
        <f t="shared" ref="J127:Y127" si="4">hundred * $H22 * J59 / $H47 * J$78 * (1 - J71) / hours_in_year</f>
        <v>0.24052068188888392</v>
      </c>
      <c r="K127" s="267">
        <f t="shared" si="4"/>
        <v>0.24052068188888392</v>
      </c>
      <c r="L127" s="267">
        <f t="shared" si="4"/>
        <v>0.2344370730451549</v>
      </c>
      <c r="M127" s="267">
        <f t="shared" si="4"/>
        <v>0.2344370730451549</v>
      </c>
      <c r="N127" s="267">
        <f t="shared" si="4"/>
        <v>0.19927782928390778</v>
      </c>
      <c r="O127" s="267">
        <f t="shared" si="4"/>
        <v>0.16550444499302583</v>
      </c>
      <c r="P127" s="267">
        <f t="shared" si="4"/>
        <v>0.13877127730324432</v>
      </c>
      <c r="Q127" s="267">
        <f t="shared" si="4"/>
        <v>0.24013746076586168</v>
      </c>
      <c r="R127" s="267">
        <f t="shared" si="4"/>
        <v>-0.12965495761708667</v>
      </c>
      <c r="S127" s="267">
        <f t="shared" si="4"/>
        <v>-0.1189453213991551</v>
      </c>
      <c r="T127" s="267">
        <f t="shared" si="4"/>
        <v>-0.12965495761708667</v>
      </c>
      <c r="U127" s="267">
        <f t="shared" si="4"/>
        <v>-0.12965495761708667</v>
      </c>
      <c r="V127" s="267">
        <f t="shared" si="4"/>
        <v>-0.1189453213991551</v>
      </c>
      <c r="W127" s="267">
        <f t="shared" si="4"/>
        <v>-0.1189453213991551</v>
      </c>
      <c r="X127" s="267">
        <f t="shared" si="4"/>
        <v>-0.11723633689629367</v>
      </c>
      <c r="Y127" s="267">
        <f t="shared" si="4"/>
        <v>-0.11723633689629367</v>
      </c>
      <c r="Z127" s="266"/>
      <c r="AA127" s="266"/>
    </row>
    <row r="128" spans="2:27" x14ac:dyDescent="0.25">
      <c r="E128" s="60"/>
      <c r="F128" s="254" t="s">
        <v>194</v>
      </c>
      <c r="G128" t="s">
        <v>268</v>
      </c>
      <c r="H128" s="266"/>
      <c r="I128" s="266"/>
      <c r="J128" s="267">
        <f t="shared" ref="J128:Y128" si="5">hundred * $H23 * J60 / $H48 * J$78 * (1 - J72) / hours_in_year</f>
        <v>0.11758373303524239</v>
      </c>
      <c r="K128" s="267">
        <f t="shared" si="5"/>
        <v>0.11758373303524239</v>
      </c>
      <c r="L128" s="267">
        <f t="shared" si="5"/>
        <v>0.11460962938413791</v>
      </c>
      <c r="M128" s="267">
        <f t="shared" si="5"/>
        <v>0.11460962938413791</v>
      </c>
      <c r="N128" s="267">
        <f t="shared" si="5"/>
        <v>9.7421273274065842E-2</v>
      </c>
      <c r="O128" s="267">
        <f t="shared" si="5"/>
        <v>8.0910424514746532E-2</v>
      </c>
      <c r="P128" s="267">
        <f t="shared" si="5"/>
        <v>6.7841337781183134E-2</v>
      </c>
      <c r="Q128" s="267">
        <f t="shared" si="5"/>
        <v>0.11739638710777768</v>
      </c>
      <c r="R128" s="267">
        <f t="shared" si="5"/>
        <v>-6.3384627897347459E-2</v>
      </c>
      <c r="S128" s="267">
        <f t="shared" si="5"/>
        <v>-5.8148990795106111E-2</v>
      </c>
      <c r="T128" s="267">
        <f t="shared" si="5"/>
        <v>-6.3384627897347459E-2</v>
      </c>
      <c r="U128" s="267">
        <f t="shared" si="5"/>
        <v>-6.3384627897347459E-2</v>
      </c>
      <c r="V128" s="267">
        <f t="shared" si="5"/>
        <v>-5.8148990795106111E-2</v>
      </c>
      <c r="W128" s="267">
        <f t="shared" si="5"/>
        <v>-5.8148990795106111E-2</v>
      </c>
      <c r="X128" s="267">
        <f t="shared" si="5"/>
        <v>-5.7313516789429295E-2</v>
      </c>
      <c r="Y128" s="267">
        <f t="shared" si="5"/>
        <v>-5.7313516789429295E-2</v>
      </c>
      <c r="Z128" s="266"/>
      <c r="AA128" s="266"/>
    </row>
    <row r="129" spans="4:27" x14ac:dyDescent="0.25">
      <c r="E129" s="60"/>
      <c r="F129" s="254" t="s">
        <v>195</v>
      </c>
      <c r="G129" t="s">
        <v>268</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25">
      <c r="E130" s="60"/>
      <c r="F130" s="254" t="s">
        <v>196</v>
      </c>
      <c r="G130" t="s">
        <v>268</v>
      </c>
      <c r="H130" s="266"/>
      <c r="I130" s="266"/>
      <c r="J130" s="267">
        <f t="shared" ref="J130:Y130" si="7">hundred * $H25 * J62 / $H50 * J$78 * (1 - J74) / hours_in_year</f>
        <v>0.36282683155050571</v>
      </c>
      <c r="K130" s="267">
        <f t="shared" si="7"/>
        <v>0.36282683155050571</v>
      </c>
      <c r="L130" s="267">
        <f t="shared" si="7"/>
        <v>0.35364967263083091</v>
      </c>
      <c r="M130" s="267">
        <f t="shared" si="7"/>
        <v>0.35364967263083091</v>
      </c>
      <c r="N130" s="267">
        <f t="shared" si="7"/>
        <v>0.30061175126197931</v>
      </c>
      <c r="O130" s="267">
        <f t="shared" si="7"/>
        <v>0.24966440687244623</v>
      </c>
      <c r="P130" s="267">
        <f t="shared" si="7"/>
        <v>0.20933726970478772</v>
      </c>
      <c r="Q130" s="267">
        <f t="shared" si="7"/>
        <v>0.36224874028302123</v>
      </c>
      <c r="R130" s="267">
        <f t="shared" si="7"/>
        <v>-0.19558524904213989</v>
      </c>
      <c r="S130" s="267">
        <f t="shared" si="7"/>
        <v>-0.17942970123022328</v>
      </c>
      <c r="T130" s="267">
        <f t="shared" si="7"/>
        <v>-0.19558524904213989</v>
      </c>
      <c r="U130" s="267">
        <f t="shared" si="7"/>
        <v>-0.19558524904213989</v>
      </c>
      <c r="V130" s="267">
        <f t="shared" si="7"/>
        <v>-0.17942970123022328</v>
      </c>
      <c r="W130" s="267">
        <f t="shared" si="7"/>
        <v>-0.17942970123022328</v>
      </c>
      <c r="X130" s="267">
        <f t="shared" si="7"/>
        <v>0</v>
      </c>
      <c r="Y130" s="267">
        <f t="shared" si="7"/>
        <v>0</v>
      </c>
      <c r="Z130" s="266"/>
      <c r="AA130" s="266"/>
    </row>
    <row r="131" spans="4:27" x14ac:dyDescent="0.25">
      <c r="E131" s="60"/>
      <c r="F131" s="254" t="s">
        <v>197</v>
      </c>
      <c r="G131" t="s">
        <v>268</v>
      </c>
      <c r="H131" s="266"/>
      <c r="I131" s="266"/>
      <c r="J131" s="267">
        <f t="shared" ref="J131:Y131" si="8">hundred * $H26 * J63 / $H51 * J$78 * (1 - J75) / hours_in_year</f>
        <v>0.12817349663376787</v>
      </c>
      <c r="K131" s="267">
        <f t="shared" si="8"/>
        <v>0.12817349663376787</v>
      </c>
      <c r="L131" s="267">
        <f t="shared" si="8"/>
        <v>0.12493154084215287</v>
      </c>
      <c r="M131" s="267">
        <f t="shared" si="8"/>
        <v>0.12493154084215287</v>
      </c>
      <c r="N131" s="267">
        <f t="shared" si="8"/>
        <v>0.10619517614998908</v>
      </c>
      <c r="O131" s="267">
        <f t="shared" si="8"/>
        <v>8.8197336115101138E-2</v>
      </c>
      <c r="P131" s="267">
        <f t="shared" si="8"/>
        <v>0</v>
      </c>
      <c r="Q131" s="267">
        <f t="shared" si="8"/>
        <v>0.12796927805707028</v>
      </c>
      <c r="R131" s="267">
        <f t="shared" si="8"/>
        <v>-6.9093140528190974E-2</v>
      </c>
      <c r="S131" s="267">
        <f t="shared" si="8"/>
        <v>0</v>
      </c>
      <c r="T131" s="267">
        <f t="shared" si="8"/>
        <v>-6.9093140528190974E-2</v>
      </c>
      <c r="U131" s="267">
        <f t="shared" si="8"/>
        <v>-6.9093140528190974E-2</v>
      </c>
      <c r="V131" s="267">
        <f t="shared" si="8"/>
        <v>0</v>
      </c>
      <c r="W131" s="267">
        <f t="shared" si="8"/>
        <v>0</v>
      </c>
      <c r="X131" s="267">
        <f t="shared" si="8"/>
        <v>0</v>
      </c>
      <c r="Y131" s="267">
        <f t="shared" si="8"/>
        <v>0</v>
      </c>
      <c r="Z131" s="266"/>
      <c r="AA131" s="266"/>
    </row>
    <row r="132" spans="4:27" x14ac:dyDescent="0.25">
      <c r="E132" s="60"/>
      <c r="F132" s="256" t="s">
        <v>198</v>
      </c>
      <c r="G132" s="91" t="s">
        <v>268</v>
      </c>
      <c r="H132" s="268"/>
      <c r="I132" s="268"/>
      <c r="J132" s="269">
        <f t="shared" ref="J132:Y132" si="9">hundred * $H27 * J64 / $H52 * J$78 * (1 - J76) / hours_in_year</f>
        <v>0.25774862291395317</v>
      </c>
      <c r="K132" s="269">
        <f t="shared" si="9"/>
        <v>0.25774862291395317</v>
      </c>
      <c r="L132" s="269">
        <f t="shared" si="9"/>
        <v>0.25122925921722661</v>
      </c>
      <c r="M132" s="269">
        <f t="shared" si="9"/>
        <v>0.25122925921722661</v>
      </c>
      <c r="N132" s="269">
        <f t="shared" si="9"/>
        <v>0.21355164001629634</v>
      </c>
      <c r="O132" s="269">
        <f t="shared" si="9"/>
        <v>0</v>
      </c>
      <c r="P132" s="269">
        <f t="shared" si="9"/>
        <v>0</v>
      </c>
      <c r="Q132" s="269">
        <f t="shared" si="9"/>
        <v>0.25733795254683622</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619</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188</v>
      </c>
      <c r="G135" s="90" t="s">
        <v>268</v>
      </c>
      <c r="H135" s="264"/>
      <c r="I135" s="264"/>
      <c r="J135" s="265">
        <f t="shared" ref="J135:Y135" si="10">hundred * $H30 * J55 / $H43 * J$78 / hours_in_year</f>
        <v>0.13178420119111633</v>
      </c>
      <c r="K135" s="265">
        <f t="shared" si="10"/>
        <v>0.13178420119111633</v>
      </c>
      <c r="L135" s="265">
        <f t="shared" si="10"/>
        <v>0.12845091805914677</v>
      </c>
      <c r="M135" s="265">
        <f t="shared" si="10"/>
        <v>0.12845091805914677</v>
      </c>
      <c r="N135" s="265">
        <f t="shared" si="10"/>
        <v>0.10918674161838537</v>
      </c>
      <c r="O135" s="265">
        <f t="shared" si="10"/>
        <v>9.0681894403829996E-2</v>
      </c>
      <c r="P135" s="265">
        <f t="shared" si="10"/>
        <v>7.6034467323386326E-2</v>
      </c>
      <c r="Q135" s="265">
        <f t="shared" si="10"/>
        <v>0.13157422968604476</v>
      </c>
      <c r="R135" s="265">
        <f t="shared" si="10"/>
        <v>-7.1039525107988194E-2</v>
      </c>
      <c r="S135" s="265">
        <f t="shared" si="10"/>
        <v>-6.5171585424200068E-2</v>
      </c>
      <c r="T135" s="265">
        <f t="shared" si="10"/>
        <v>-7.1039525107988194E-2</v>
      </c>
      <c r="U135" s="265">
        <f t="shared" si="10"/>
        <v>-7.1039525107988194E-2</v>
      </c>
      <c r="V135" s="265">
        <f t="shared" si="10"/>
        <v>-6.5171585424200068E-2</v>
      </c>
      <c r="W135" s="265">
        <f t="shared" si="10"/>
        <v>-6.5171585424200068E-2</v>
      </c>
      <c r="X135" s="265">
        <f t="shared" si="10"/>
        <v>-6.4235212070404085E-2</v>
      </c>
      <c r="Y135" s="265">
        <f t="shared" si="10"/>
        <v>-6.4235212070404085E-2</v>
      </c>
      <c r="Z135" s="266"/>
      <c r="AA135" s="266"/>
    </row>
    <row r="136" spans="4:27" x14ac:dyDescent="0.25">
      <c r="D136" s="60"/>
      <c r="E136" s="60"/>
      <c r="F136" s="254" t="s">
        <v>190</v>
      </c>
      <c r="G136" t="s">
        <v>268</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191</v>
      </c>
      <c r="G137" t="s">
        <v>268</v>
      </c>
      <c r="H137" s="266"/>
      <c r="I137" s="266"/>
      <c r="J137" s="267">
        <f t="shared" ref="J137:Y137" si="12">hundred * $H32 * J57 / $H45 * J$78 / hours_in_year</f>
        <v>7.7477212264483203E-2</v>
      </c>
      <c r="K137" s="267">
        <f t="shared" si="12"/>
        <v>7.7477212264483203E-2</v>
      </c>
      <c r="L137" s="267">
        <f t="shared" si="12"/>
        <v>7.5517542725805326E-2</v>
      </c>
      <c r="M137" s="267">
        <f t="shared" si="12"/>
        <v>7.5517542725805326E-2</v>
      </c>
      <c r="N137" s="267">
        <f t="shared" si="12"/>
        <v>6.4191946230085631E-2</v>
      </c>
      <c r="O137" s="267">
        <f t="shared" si="12"/>
        <v>5.3312766763916171E-2</v>
      </c>
      <c r="P137" s="267">
        <f t="shared" si="12"/>
        <v>4.4701402072375482E-2</v>
      </c>
      <c r="Q137" s="267">
        <f t="shared" si="12"/>
        <v>7.7353767976617985E-2</v>
      </c>
      <c r="R137" s="267">
        <f t="shared" si="12"/>
        <v>-4.1764827014262089E-2</v>
      </c>
      <c r="S137" s="267">
        <f t="shared" si="12"/>
        <v>-3.8315008262644661E-2</v>
      </c>
      <c r="T137" s="267">
        <f t="shared" si="12"/>
        <v>-4.1764827014262089E-2</v>
      </c>
      <c r="U137" s="267">
        <f t="shared" si="12"/>
        <v>-4.1764827014262089E-2</v>
      </c>
      <c r="V137" s="267">
        <f t="shared" si="12"/>
        <v>-3.8315008262644661E-2</v>
      </c>
      <c r="W137" s="267">
        <f t="shared" si="12"/>
        <v>-3.8315008262644661E-2</v>
      </c>
      <c r="X137" s="267">
        <f t="shared" si="12"/>
        <v>-3.7764505270365276E-2</v>
      </c>
      <c r="Y137" s="267">
        <f t="shared" si="12"/>
        <v>-3.7764505270365276E-2</v>
      </c>
      <c r="Z137" s="266"/>
      <c r="AA137" s="266"/>
    </row>
    <row r="138" spans="4:27" x14ac:dyDescent="0.25">
      <c r="D138" s="60"/>
      <c r="E138" s="60"/>
      <c r="F138" s="254" t="s">
        <v>192</v>
      </c>
      <c r="G138" t="s">
        <v>268</v>
      </c>
      <c r="H138" s="266"/>
      <c r="I138" s="266"/>
      <c r="J138" s="267">
        <f t="shared" ref="J138:Y138" si="13">hundred * $H33 * J58 / $H46 * J$78 / hours_in_year</f>
        <v>3.1005261907476302E-2</v>
      </c>
      <c r="K138" s="267">
        <f t="shared" si="13"/>
        <v>3.1005261907476302E-2</v>
      </c>
      <c r="L138" s="267">
        <f t="shared" si="13"/>
        <v>3.0221030447374266E-2</v>
      </c>
      <c r="M138" s="267">
        <f t="shared" si="13"/>
        <v>3.0221030447374266E-2</v>
      </c>
      <c r="N138" s="267">
        <f t="shared" si="13"/>
        <v>2.5688690223135729E-2</v>
      </c>
      <c r="O138" s="267">
        <f t="shared" si="13"/>
        <v>2.1334999649763722E-2</v>
      </c>
      <c r="P138" s="267">
        <f t="shared" si="13"/>
        <v>1.7888855811617276E-2</v>
      </c>
      <c r="Q138" s="267">
        <f t="shared" si="13"/>
        <v>3.0955861285482094E-2</v>
      </c>
      <c r="R138" s="267">
        <f t="shared" si="13"/>
        <v>-1.6713680864989693E-2</v>
      </c>
      <c r="S138" s="267">
        <f t="shared" si="13"/>
        <v>-1.5333113201273497E-2</v>
      </c>
      <c r="T138" s="267">
        <f t="shared" si="13"/>
        <v>-1.6713680864989693E-2</v>
      </c>
      <c r="U138" s="267">
        <f t="shared" si="13"/>
        <v>-1.6713680864989693E-2</v>
      </c>
      <c r="V138" s="267">
        <f t="shared" si="13"/>
        <v>-1.5333113201273497E-2</v>
      </c>
      <c r="W138" s="267">
        <f t="shared" si="13"/>
        <v>-1.5333113201273497E-2</v>
      </c>
      <c r="X138" s="267">
        <f t="shared" si="13"/>
        <v>-1.5112809850680486E-2</v>
      </c>
      <c r="Y138" s="267">
        <f t="shared" si="13"/>
        <v>-1.5112809850680486E-2</v>
      </c>
      <c r="Z138" s="266"/>
      <c r="AA138" s="266"/>
    </row>
    <row r="139" spans="4:27" x14ac:dyDescent="0.25">
      <c r="D139" s="60"/>
      <c r="E139" s="60"/>
      <c r="F139" s="254" t="s">
        <v>193</v>
      </c>
      <c r="G139" t="s">
        <v>268</v>
      </c>
      <c r="H139" s="266"/>
      <c r="I139" s="266"/>
      <c r="J139" s="267">
        <f t="shared" ref="J139:Y139" si="14">hundred * $H34 * J59 / $H47 * J$78 / hours_in_year</f>
        <v>0.10663421681314819</v>
      </c>
      <c r="K139" s="267">
        <f t="shared" si="14"/>
        <v>0.10663421681314819</v>
      </c>
      <c r="L139" s="267">
        <f t="shared" si="14"/>
        <v>0.1039370647040074</v>
      </c>
      <c r="M139" s="267">
        <f t="shared" si="14"/>
        <v>0.1039370647040074</v>
      </c>
      <c r="N139" s="267">
        <f t="shared" si="14"/>
        <v>8.8349305710561626E-2</v>
      </c>
      <c r="O139" s="267">
        <f t="shared" si="14"/>
        <v>7.3375963897688107E-2</v>
      </c>
      <c r="P139" s="267">
        <f t="shared" si="14"/>
        <v>6.1523883747460685E-2</v>
      </c>
      <c r="Q139" s="267">
        <f t="shared" si="14"/>
        <v>0.10646431672805443</v>
      </c>
      <c r="R139" s="267">
        <f t="shared" si="14"/>
        <v>-5.7482187198467843E-2</v>
      </c>
      <c r="S139" s="267">
        <f t="shared" si="14"/>
        <v>-5.2734097921968752E-2</v>
      </c>
      <c r="T139" s="267">
        <f t="shared" si="14"/>
        <v>-5.7482187198467843E-2</v>
      </c>
      <c r="U139" s="267">
        <f t="shared" si="14"/>
        <v>-5.7482187198467843E-2</v>
      </c>
      <c r="V139" s="267">
        <f t="shared" si="14"/>
        <v>-5.2734097921968752E-2</v>
      </c>
      <c r="W139" s="267">
        <f t="shared" si="14"/>
        <v>-5.2734097921968752E-2</v>
      </c>
      <c r="X139" s="267">
        <f t="shared" si="14"/>
        <v>-5.1976424101250807E-2</v>
      </c>
      <c r="Y139" s="267">
        <f t="shared" si="14"/>
        <v>-5.1976424101250807E-2</v>
      </c>
      <c r="Z139" s="266"/>
      <c r="AA139" s="266"/>
    </row>
    <row r="140" spans="4:27" x14ac:dyDescent="0.25">
      <c r="D140" s="60"/>
      <c r="E140" s="60"/>
      <c r="F140" s="254" t="s">
        <v>194</v>
      </c>
      <c r="G140" t="s">
        <v>268</v>
      </c>
      <c r="H140" s="266"/>
      <c r="I140" s="266"/>
      <c r="J140" s="267">
        <f t="shared" ref="J140:Y140" si="15">hundred * $H35 * J60 / $H48 * J$78 / hours_in_year</f>
        <v>5.213044127312056E-2</v>
      </c>
      <c r="K140" s="267">
        <f t="shared" si="15"/>
        <v>5.213044127312056E-2</v>
      </c>
      <c r="L140" s="267">
        <f t="shared" si="15"/>
        <v>5.0811880178639857E-2</v>
      </c>
      <c r="M140" s="267">
        <f t="shared" si="15"/>
        <v>5.0811880178639857E-2</v>
      </c>
      <c r="N140" s="267">
        <f t="shared" si="15"/>
        <v>4.3191467340504899E-2</v>
      </c>
      <c r="O140" s="267">
        <f t="shared" si="15"/>
        <v>3.5871425618755053E-2</v>
      </c>
      <c r="P140" s="267">
        <f t="shared" si="15"/>
        <v>3.007728011179835E-2</v>
      </c>
      <c r="Q140" s="267">
        <f t="shared" si="15"/>
        <v>5.2047381944952016E-2</v>
      </c>
      <c r="R140" s="267">
        <f t="shared" si="15"/>
        <v>-2.8101409412056261E-2</v>
      </c>
      <c r="S140" s="267">
        <f t="shared" si="15"/>
        <v>-2.5780203362202759E-2</v>
      </c>
      <c r="T140" s="267">
        <f t="shared" si="15"/>
        <v>-2.8101409412056261E-2</v>
      </c>
      <c r="U140" s="267">
        <f t="shared" si="15"/>
        <v>-2.8101409412056261E-2</v>
      </c>
      <c r="V140" s="267">
        <f t="shared" si="15"/>
        <v>-2.5780203362202759E-2</v>
      </c>
      <c r="W140" s="267">
        <f t="shared" si="15"/>
        <v>-2.5780203362202759E-2</v>
      </c>
      <c r="X140" s="267">
        <f t="shared" si="15"/>
        <v>-2.5409798141481452E-2</v>
      </c>
      <c r="Y140" s="267">
        <f t="shared" si="15"/>
        <v>-2.5409798141481452E-2</v>
      </c>
      <c r="Z140" s="266"/>
      <c r="AA140" s="266"/>
    </row>
    <row r="141" spans="4:27" x14ac:dyDescent="0.25">
      <c r="D141" s="60"/>
      <c r="E141" s="60"/>
      <c r="F141" s="254" t="s">
        <v>195</v>
      </c>
      <c r="G141" t="s">
        <v>268</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25">
      <c r="D142" s="60"/>
      <c r="E142" s="60"/>
      <c r="F142" s="254" t="s">
        <v>196</v>
      </c>
      <c r="G142" t="s">
        <v>268</v>
      </c>
      <c r="H142" s="266"/>
      <c r="I142" s="266"/>
      <c r="J142" s="267">
        <f t="shared" ref="J142:Y142" si="17">hundred * $H37 * J62 / $H50 * J$78 / hours_in_year</f>
        <v>0.16085832917710663</v>
      </c>
      <c r="K142" s="267">
        <f t="shared" si="17"/>
        <v>0.16085832917710663</v>
      </c>
      <c r="L142" s="267">
        <f t="shared" si="17"/>
        <v>0.15678965971265943</v>
      </c>
      <c r="M142" s="267">
        <f t="shared" si="17"/>
        <v>0.15678965971265943</v>
      </c>
      <c r="N142" s="267">
        <f t="shared" si="17"/>
        <v>0.13327543564615013</v>
      </c>
      <c r="O142" s="267">
        <f t="shared" si="17"/>
        <v>0.11068806342924684</v>
      </c>
      <c r="P142" s="267">
        <f t="shared" si="17"/>
        <v>9.2809132376755046E-2</v>
      </c>
      <c r="Q142" s="267">
        <f t="shared" si="17"/>
        <v>0.16060203392186861</v>
      </c>
      <c r="R142" s="267">
        <f t="shared" si="17"/>
        <v>-8.6712209894067485E-2</v>
      </c>
      <c r="S142" s="267">
        <f t="shared" si="17"/>
        <v>-7.9549689920392325E-2</v>
      </c>
      <c r="T142" s="267">
        <f t="shared" si="17"/>
        <v>-8.6712209894067485E-2</v>
      </c>
      <c r="U142" s="267">
        <f t="shared" si="17"/>
        <v>-8.6712209894067485E-2</v>
      </c>
      <c r="V142" s="267">
        <f t="shared" si="17"/>
        <v>-7.9549689920392325E-2</v>
      </c>
      <c r="W142" s="267">
        <f t="shared" si="17"/>
        <v>-7.9549689920392325E-2</v>
      </c>
      <c r="X142" s="267">
        <f t="shared" si="17"/>
        <v>0</v>
      </c>
      <c r="Y142" s="267">
        <f t="shared" si="17"/>
        <v>0</v>
      </c>
      <c r="Z142" s="266"/>
      <c r="AA142" s="266"/>
    </row>
    <row r="143" spans="4:27" x14ac:dyDescent="0.25">
      <c r="D143" s="60"/>
      <c r="E143" s="60"/>
      <c r="F143" s="254" t="s">
        <v>197</v>
      </c>
      <c r="G143" t="s">
        <v>268</v>
      </c>
      <c r="H143" s="266"/>
      <c r="I143" s="266"/>
      <c r="J143" s="267">
        <f t="shared" ref="J143:Y143" si="18">hundred * $H38 * J63 / $H51 * J$78 / hours_in_year</f>
        <v>5.6825385336545575E-2</v>
      </c>
      <c r="K143" s="267">
        <f t="shared" si="18"/>
        <v>5.6825385336545575E-2</v>
      </c>
      <c r="L143" s="267">
        <f t="shared" si="18"/>
        <v>5.5388072694377753E-2</v>
      </c>
      <c r="M143" s="267">
        <f t="shared" si="18"/>
        <v>5.5388072694377753E-2</v>
      </c>
      <c r="N143" s="267">
        <f t="shared" si="18"/>
        <v>4.7081354290022755E-2</v>
      </c>
      <c r="O143" s="267">
        <f t="shared" si="18"/>
        <v>3.9102058865709811E-2</v>
      </c>
      <c r="P143" s="267">
        <f t="shared" si="18"/>
        <v>0</v>
      </c>
      <c r="Q143" s="267">
        <f t="shared" si="18"/>
        <v>5.673484556335924E-2</v>
      </c>
      <c r="R143" s="267">
        <f t="shared" si="18"/>
        <v>-3.0632263593815073E-2</v>
      </c>
      <c r="S143" s="267">
        <f t="shared" si="18"/>
        <v>0</v>
      </c>
      <c r="T143" s="267">
        <f t="shared" si="18"/>
        <v>-3.0632263593815073E-2</v>
      </c>
      <c r="U143" s="267">
        <f t="shared" si="18"/>
        <v>-3.0632263593815073E-2</v>
      </c>
      <c r="V143" s="267">
        <f t="shared" si="18"/>
        <v>0</v>
      </c>
      <c r="W143" s="267">
        <f t="shared" si="18"/>
        <v>0</v>
      </c>
      <c r="X143" s="267">
        <f t="shared" si="18"/>
        <v>0</v>
      </c>
      <c r="Y143" s="267">
        <f t="shared" si="18"/>
        <v>0</v>
      </c>
      <c r="Z143" s="266"/>
      <c r="AA143" s="266"/>
    </row>
    <row r="144" spans="4:27" x14ac:dyDescent="0.25">
      <c r="D144" s="60"/>
      <c r="E144" s="60"/>
      <c r="F144" s="256" t="s">
        <v>198</v>
      </c>
      <c r="G144" s="91" t="s">
        <v>268</v>
      </c>
      <c r="H144" s="268"/>
      <c r="I144" s="268"/>
      <c r="J144" s="269">
        <f t="shared" ref="J144:Y144" si="19">hundred * $H39 * J64 / $H52 * J$78 / hours_in_year</f>
        <v>0.11427217952007276</v>
      </c>
      <c r="K144" s="269">
        <f t="shared" si="19"/>
        <v>0.11427217952007276</v>
      </c>
      <c r="L144" s="269">
        <f t="shared" si="19"/>
        <v>0.11138183663371065</v>
      </c>
      <c r="M144" s="269">
        <f t="shared" si="19"/>
        <v>0.11138183663371065</v>
      </c>
      <c r="N144" s="269">
        <f t="shared" si="19"/>
        <v>9.4677562459353576E-2</v>
      </c>
      <c r="O144" s="269">
        <f t="shared" si="19"/>
        <v>0</v>
      </c>
      <c r="P144" s="269">
        <f t="shared" si="19"/>
        <v>0</v>
      </c>
      <c r="Q144" s="269">
        <f t="shared" si="19"/>
        <v>0.11409010988422286</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620</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621</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153</v>
      </c>
      <c r="J150" s="259"/>
      <c r="K150" s="259"/>
      <c r="L150" s="259"/>
      <c r="M150" s="259"/>
      <c r="N150" s="259"/>
      <c r="O150" s="259"/>
      <c r="P150" s="259"/>
      <c r="Q150" s="259"/>
      <c r="R150" s="259"/>
      <c r="S150" s="259"/>
      <c r="T150" s="259"/>
      <c r="U150" s="259"/>
      <c r="V150" s="259"/>
      <c r="W150" s="259"/>
      <c r="X150" s="259"/>
      <c r="Y150" s="259"/>
      <c r="AA150" t="s">
        <v>622</v>
      </c>
    </row>
    <row r="151" spans="3:27" x14ac:dyDescent="0.25">
      <c r="E151" s="60" t="s">
        <v>618</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188</v>
      </c>
      <c r="G152" s="90" t="s">
        <v>268</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190</v>
      </c>
      <c r="G153" t="s">
        <v>268</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191</v>
      </c>
      <c r="G154" t="s">
        <v>268</v>
      </c>
      <c r="H154" s="266"/>
      <c r="I154" s="266"/>
      <c r="J154" s="267">
        <f t="shared" ref="J154:Y154" si="22">hundred * $H20 * J57 / $H45 * J83 * (1 - J69) / hours_in_year</f>
        <v>0.61797964748237277</v>
      </c>
      <c r="K154" s="267">
        <f t="shared" si="22"/>
        <v>0.61797964748237277</v>
      </c>
      <c r="L154" s="267">
        <f t="shared" si="22"/>
        <v>0.74928427410205323</v>
      </c>
      <c r="M154" s="267">
        <f t="shared" si="22"/>
        <v>0.74928427410205323</v>
      </c>
      <c r="N154" s="267">
        <f t="shared" si="22"/>
        <v>0.62165535678331307</v>
      </c>
      <c r="O154" s="267">
        <f t="shared" si="22"/>
        <v>0.53209045683629275</v>
      </c>
      <c r="P154" s="267">
        <f t="shared" si="22"/>
        <v>0.45721368901807707</v>
      </c>
      <c r="Q154" s="267">
        <f t="shared" si="22"/>
        <v>1.5561344595138635</v>
      </c>
      <c r="R154" s="267">
        <f t="shared" si="22"/>
        <v>-0.4570551911208573</v>
      </c>
      <c r="S154" s="267">
        <f t="shared" si="22"/>
        <v>-0.41930195037800977</v>
      </c>
      <c r="T154" s="267">
        <f t="shared" si="22"/>
        <v>-0.4570551911208573</v>
      </c>
      <c r="U154" s="267">
        <f t="shared" si="22"/>
        <v>-0.4570551911208573</v>
      </c>
      <c r="V154" s="267">
        <f t="shared" si="22"/>
        <v>-0.41930195037800977</v>
      </c>
      <c r="W154" s="267">
        <f t="shared" si="22"/>
        <v>-0.41930195037800977</v>
      </c>
      <c r="X154" s="267">
        <f t="shared" si="22"/>
        <v>-0.41327749706798078</v>
      </c>
      <c r="Y154" s="267">
        <f t="shared" si="22"/>
        <v>-0.41327749706798078</v>
      </c>
      <c r="Z154" s="266"/>
      <c r="AA154" s="266"/>
    </row>
    <row r="155" spans="3:27" x14ac:dyDescent="0.25">
      <c r="E155" s="60"/>
      <c r="F155" s="254" t="s">
        <v>192</v>
      </c>
      <c r="G155" t="s">
        <v>268</v>
      </c>
      <c r="H155" s="266"/>
      <c r="I155" s="266"/>
      <c r="J155" s="267">
        <f t="shared" ref="J155:Y155" si="23">hundred * $H21 * J58 / $H46 * J84 * (1 - J70) / hours_in_year</f>
        <v>0.24730653392990481</v>
      </c>
      <c r="K155" s="267">
        <f t="shared" si="23"/>
        <v>0.24730653392990481</v>
      </c>
      <c r="L155" s="267">
        <f t="shared" si="23"/>
        <v>0.29985275002385747</v>
      </c>
      <c r="M155" s="267">
        <f t="shared" si="23"/>
        <v>0.29985275002385747</v>
      </c>
      <c r="N155" s="267">
        <f t="shared" si="23"/>
        <v>0.24877749973056312</v>
      </c>
      <c r="O155" s="267">
        <f t="shared" si="23"/>
        <v>0.21293491970723297</v>
      </c>
      <c r="P155" s="267">
        <f t="shared" si="23"/>
        <v>0.18297031812781714</v>
      </c>
      <c r="Q155" s="267">
        <f t="shared" si="23"/>
        <v>0.62274254674744223</v>
      </c>
      <c r="R155" s="267">
        <f t="shared" si="23"/>
        <v>-0.18290688955738393</v>
      </c>
      <c r="S155" s="267">
        <f t="shared" si="23"/>
        <v>-0.16779858760800426</v>
      </c>
      <c r="T155" s="267">
        <f t="shared" si="23"/>
        <v>-0.18290688955738393</v>
      </c>
      <c r="U155" s="267">
        <f t="shared" si="23"/>
        <v>-0.18290688955738393</v>
      </c>
      <c r="V155" s="267">
        <f t="shared" si="23"/>
        <v>-0.16779858760800426</v>
      </c>
      <c r="W155" s="267">
        <f t="shared" si="23"/>
        <v>-0.16779858760800426</v>
      </c>
      <c r="X155" s="267">
        <f t="shared" si="23"/>
        <v>-0.16538768836076281</v>
      </c>
      <c r="Y155" s="267">
        <f t="shared" si="23"/>
        <v>-0.16538768836076281</v>
      </c>
      <c r="Z155" s="266"/>
      <c r="AA155" s="266"/>
    </row>
    <row r="156" spans="3:27" x14ac:dyDescent="0.25">
      <c r="E156" s="60"/>
      <c r="F156" s="254" t="s">
        <v>193</v>
      </c>
      <c r="G156" t="s">
        <v>268</v>
      </c>
      <c r="H156" s="266"/>
      <c r="I156" s="266"/>
      <c r="J156" s="267">
        <f t="shared" ref="J156:Y156" si="24">hundred * $H22 * J59 / $H47 * J85 * (1 - J71) / hours_in_year</f>
        <v>0.68129855196236522</v>
      </c>
      <c r="K156" s="267">
        <f t="shared" si="24"/>
        <v>0.68129855196236522</v>
      </c>
      <c r="L156" s="267">
        <f t="shared" si="24"/>
        <v>0.82605680143934179</v>
      </c>
      <c r="M156" s="267">
        <f t="shared" si="24"/>
        <v>0.82605680143934179</v>
      </c>
      <c r="N156" s="267">
        <f t="shared" si="24"/>
        <v>0.68535087866012556</v>
      </c>
      <c r="O156" s="267">
        <f t="shared" si="24"/>
        <v>0.58660905619209736</v>
      </c>
      <c r="P156" s="267">
        <f t="shared" si="24"/>
        <v>0.50406032874128326</v>
      </c>
      <c r="Q156" s="267">
        <f t="shared" si="24"/>
        <v>1.6190979626033553</v>
      </c>
      <c r="R156" s="267">
        <f t="shared" si="24"/>
        <v>-0.50388559096746688</v>
      </c>
      <c r="S156" s="267">
        <f t="shared" si="24"/>
        <v>-0.46226410981549687</v>
      </c>
      <c r="T156" s="267">
        <f t="shared" si="24"/>
        <v>-0.50388559096746688</v>
      </c>
      <c r="U156" s="267">
        <f t="shared" si="24"/>
        <v>-0.50388559096746688</v>
      </c>
      <c r="V156" s="267">
        <f t="shared" si="24"/>
        <v>-0.46226410981549687</v>
      </c>
      <c r="W156" s="267">
        <f t="shared" si="24"/>
        <v>-0.46226410981549687</v>
      </c>
      <c r="X156" s="267">
        <f t="shared" si="24"/>
        <v>-0.45562238409975692</v>
      </c>
      <c r="Y156" s="267">
        <f t="shared" si="24"/>
        <v>-0.45562238409975692</v>
      </c>
      <c r="Z156" s="266"/>
      <c r="AA156" s="266"/>
    </row>
    <row r="157" spans="3:27" x14ac:dyDescent="0.25">
      <c r="E157" s="60"/>
      <c r="F157" s="254" t="s">
        <v>194</v>
      </c>
      <c r="G157" t="s">
        <v>268</v>
      </c>
      <c r="H157" s="266"/>
      <c r="I157" s="266"/>
      <c r="J157" s="267">
        <f t="shared" ref="J157:Y157" si="25">hundred * $H23 * J60 / $H48 * J86 * (1 - J72) / hours_in_year</f>
        <v>0.33306752010726931</v>
      </c>
      <c r="K157" s="267">
        <f t="shared" si="25"/>
        <v>0.33306752010726931</v>
      </c>
      <c r="L157" s="267">
        <f t="shared" si="25"/>
        <v>0.40383571861509376</v>
      </c>
      <c r="M157" s="267">
        <f t="shared" si="25"/>
        <v>0.40383571861509376</v>
      </c>
      <c r="N157" s="267">
        <f t="shared" si="25"/>
        <v>0.3350485875849557</v>
      </c>
      <c r="O157" s="267">
        <f t="shared" si="25"/>
        <v>0.28677651384346459</v>
      </c>
      <c r="P157" s="267">
        <f t="shared" si="25"/>
        <v>0.24642078453674462</v>
      </c>
      <c r="Q157" s="267">
        <f t="shared" si="25"/>
        <v>0.7915310280078518</v>
      </c>
      <c r="R157" s="267">
        <f t="shared" si="25"/>
        <v>-0.24633536019990074</v>
      </c>
      <c r="S157" s="267">
        <f t="shared" si="25"/>
        <v>-0.22598779969129734</v>
      </c>
      <c r="T157" s="267">
        <f t="shared" si="25"/>
        <v>-0.24633536019990074</v>
      </c>
      <c r="U157" s="267">
        <f t="shared" si="25"/>
        <v>-0.24633536019990074</v>
      </c>
      <c r="V157" s="267">
        <f t="shared" si="25"/>
        <v>-0.22598779969129734</v>
      </c>
      <c r="W157" s="267">
        <f t="shared" si="25"/>
        <v>-0.22598779969129734</v>
      </c>
      <c r="X157" s="267">
        <f t="shared" si="25"/>
        <v>-0.22274084854630741</v>
      </c>
      <c r="Y157" s="267">
        <f t="shared" si="25"/>
        <v>-0.22274084854630741</v>
      </c>
      <c r="Z157" s="266"/>
      <c r="AA157" s="266"/>
    </row>
    <row r="158" spans="3:27" x14ac:dyDescent="0.25">
      <c r="E158" s="60"/>
      <c r="F158" s="254" t="s">
        <v>195</v>
      </c>
      <c r="G158" t="s">
        <v>268</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25">
      <c r="E159" s="60"/>
      <c r="F159" s="254" t="s">
        <v>196</v>
      </c>
      <c r="G159" t="s">
        <v>268</v>
      </c>
      <c r="H159" s="266"/>
      <c r="I159" s="266"/>
      <c r="J159" s="267">
        <f t="shared" ref="J159:Y159" si="27">hundred * $H25 * J62 / $H50 * J88 * (1 - J74) / hours_in_year</f>
        <v>1.0277427828956982</v>
      </c>
      <c r="K159" s="267">
        <f t="shared" si="27"/>
        <v>1.0277427828956982</v>
      </c>
      <c r="L159" s="267">
        <f t="shared" si="27"/>
        <v>1.2461114345478392</v>
      </c>
      <c r="M159" s="267">
        <f t="shared" si="27"/>
        <v>1.2461114345478392</v>
      </c>
      <c r="N159" s="267">
        <f t="shared" si="27"/>
        <v>1.0338557410189217</v>
      </c>
      <c r="O159" s="267">
        <f t="shared" si="27"/>
        <v>0.88490313409030752</v>
      </c>
      <c r="P159" s="267">
        <f t="shared" si="27"/>
        <v>0.76037790410055606</v>
      </c>
      <c r="Q159" s="267">
        <f t="shared" si="27"/>
        <v>2.4424185859104064</v>
      </c>
      <c r="R159" s="267">
        <f t="shared" si="27"/>
        <v>-0.76011431116406458</v>
      </c>
      <c r="S159" s="267">
        <f t="shared" si="27"/>
        <v>-0.69732806753539855</v>
      </c>
      <c r="T159" s="267">
        <f t="shared" si="27"/>
        <v>-0.76011431116406458</v>
      </c>
      <c r="U159" s="267">
        <f t="shared" si="27"/>
        <v>-0.76011431116406458</v>
      </c>
      <c r="V159" s="267">
        <f t="shared" si="27"/>
        <v>-0.69732806753539855</v>
      </c>
      <c r="W159" s="267">
        <f t="shared" si="27"/>
        <v>-0.69732806753539855</v>
      </c>
      <c r="X159" s="267">
        <f t="shared" si="27"/>
        <v>0</v>
      </c>
      <c r="Y159" s="267">
        <f t="shared" si="27"/>
        <v>0</v>
      </c>
      <c r="Z159" s="266"/>
      <c r="AA159" s="266"/>
    </row>
    <row r="160" spans="3:27" x14ac:dyDescent="0.25">
      <c r="E160" s="60"/>
      <c r="F160" s="254" t="s">
        <v>197</v>
      </c>
      <c r="G160" t="s">
        <v>268</v>
      </c>
      <c r="H160" s="266"/>
      <c r="I160" s="266"/>
      <c r="J160" s="267">
        <f t="shared" ref="J160:Y160" si="28">hundred * $H26 * J63 / $H51 * J89 * (1 - J75) / hours_in_year</f>
        <v>0.36306406987853712</v>
      </c>
      <c r="K160" s="267">
        <f t="shared" si="28"/>
        <v>0.36306406987853712</v>
      </c>
      <c r="L160" s="267">
        <f t="shared" si="28"/>
        <v>0.44020575622474112</v>
      </c>
      <c r="M160" s="267">
        <f t="shared" si="28"/>
        <v>0.44020575622474112</v>
      </c>
      <c r="N160" s="267">
        <f t="shared" si="28"/>
        <v>0.36522355520127647</v>
      </c>
      <c r="O160" s="267">
        <f t="shared" si="28"/>
        <v>0.31260402763996348</v>
      </c>
      <c r="P160" s="267">
        <f t="shared" si="28"/>
        <v>0</v>
      </c>
      <c r="Q160" s="267">
        <f t="shared" si="28"/>
        <v>0.86281747428004729</v>
      </c>
      <c r="R160" s="267">
        <f t="shared" si="28"/>
        <v>-0.26852068433561865</v>
      </c>
      <c r="S160" s="267">
        <f t="shared" si="28"/>
        <v>0</v>
      </c>
      <c r="T160" s="267">
        <f t="shared" si="28"/>
        <v>-0.26852068433561865</v>
      </c>
      <c r="U160" s="267">
        <f t="shared" si="28"/>
        <v>-0.26852068433561865</v>
      </c>
      <c r="V160" s="267">
        <f t="shared" si="28"/>
        <v>0</v>
      </c>
      <c r="W160" s="267">
        <f t="shared" si="28"/>
        <v>0</v>
      </c>
      <c r="X160" s="267">
        <f t="shared" si="28"/>
        <v>0</v>
      </c>
      <c r="Y160" s="267">
        <f t="shared" si="28"/>
        <v>0</v>
      </c>
      <c r="Z160" s="266"/>
      <c r="AA160" s="266"/>
    </row>
    <row r="161" spans="3:27" x14ac:dyDescent="0.25">
      <c r="E161" s="60"/>
      <c r="F161" s="256" t="s">
        <v>198</v>
      </c>
      <c r="G161" s="91" t="s">
        <v>268</v>
      </c>
      <c r="H161" s="268"/>
      <c r="I161" s="268"/>
      <c r="J161" s="269">
        <f t="shared" ref="J161:Y161" si="29">hundred * $H27 * J64 / $H52 * J90 * (1 - J76) / hours_in_year</f>
        <v>0.73009839396137943</v>
      </c>
      <c r="K161" s="269">
        <f t="shared" si="29"/>
        <v>0.73009839396137943</v>
      </c>
      <c r="L161" s="269">
        <f t="shared" si="29"/>
        <v>0.88522534256766305</v>
      </c>
      <c r="M161" s="269">
        <f t="shared" si="29"/>
        <v>0.88522534256766305</v>
      </c>
      <c r="N161" s="269">
        <f t="shared" si="29"/>
        <v>0.73444097946272802</v>
      </c>
      <c r="O161" s="269">
        <f t="shared" si="29"/>
        <v>0</v>
      </c>
      <c r="P161" s="269">
        <f t="shared" si="29"/>
        <v>0</v>
      </c>
      <c r="Q161" s="269">
        <f t="shared" si="29"/>
        <v>1.7350702107879281</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619</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188</v>
      </c>
      <c r="G164" s="90" t="s">
        <v>268</v>
      </c>
      <c r="H164" s="264"/>
      <c r="I164" s="264"/>
      <c r="J164" s="265">
        <f t="shared" ref="J164:Y164" si="30">hundred * $H30 * J55 / $H43 * J81 / hours_in_year</f>
        <v>0.57345052898012894</v>
      </c>
      <c r="K164" s="265">
        <f t="shared" si="30"/>
        <v>0.57345052898012894</v>
      </c>
      <c r="L164" s="265">
        <f t="shared" si="30"/>
        <v>0.69529387430606349</v>
      </c>
      <c r="M164" s="265">
        <f t="shared" si="30"/>
        <v>0.69529387430606349</v>
      </c>
      <c r="N164" s="265">
        <f t="shared" si="30"/>
        <v>0.57686138150834532</v>
      </c>
      <c r="O164" s="265">
        <f t="shared" si="30"/>
        <v>0.49375016666184618</v>
      </c>
      <c r="P164" s="265">
        <f t="shared" si="30"/>
        <v>0.42426871644158987</v>
      </c>
      <c r="Q164" s="265">
        <f t="shared" si="30"/>
        <v>1.4150190772213356</v>
      </c>
      <c r="R164" s="265">
        <f t="shared" si="30"/>
        <v>-0.4241216392629592</v>
      </c>
      <c r="S164" s="265">
        <f t="shared" si="30"/>
        <v>-0.38908874463139659</v>
      </c>
      <c r="T164" s="265">
        <f t="shared" si="30"/>
        <v>-0.4241216392629592</v>
      </c>
      <c r="U164" s="265">
        <f t="shared" si="30"/>
        <v>-0.4241216392629592</v>
      </c>
      <c r="V164" s="265">
        <f t="shared" si="30"/>
        <v>-0.38908874463139659</v>
      </c>
      <c r="W164" s="265">
        <f t="shared" si="30"/>
        <v>-0.38908874463139659</v>
      </c>
      <c r="X164" s="265">
        <f t="shared" si="30"/>
        <v>-0.38349838910508344</v>
      </c>
      <c r="Y164" s="265">
        <f t="shared" si="30"/>
        <v>-0.38349838910508344</v>
      </c>
      <c r="Z164" s="266"/>
      <c r="AA164" s="266"/>
    </row>
    <row r="165" spans="3:27" x14ac:dyDescent="0.25">
      <c r="D165" s="60"/>
      <c r="E165" s="60"/>
      <c r="F165" s="254" t="s">
        <v>190</v>
      </c>
      <c r="G165" t="s">
        <v>268</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191</v>
      </c>
      <c r="G166" t="s">
        <v>268</v>
      </c>
      <c r="H166" s="266"/>
      <c r="I166" s="266"/>
      <c r="J166" s="267">
        <f t="shared" ref="J166:Y166" si="32">hundred * $H32 * J57 / $H45 * J83 / hours_in_year</f>
        <v>0.27397966444395749</v>
      </c>
      <c r="K166" s="267">
        <f t="shared" si="32"/>
        <v>0.27397966444395749</v>
      </c>
      <c r="L166" s="267">
        <f t="shared" si="32"/>
        <v>0.33219322809084972</v>
      </c>
      <c r="M166" s="267">
        <f t="shared" si="32"/>
        <v>0.33219322809084972</v>
      </c>
      <c r="N166" s="267">
        <f t="shared" si="32"/>
        <v>0.27560928057285095</v>
      </c>
      <c r="O166" s="267">
        <f t="shared" si="32"/>
        <v>0.23590091585014183</v>
      </c>
      <c r="P166" s="267">
        <f t="shared" si="32"/>
        <v>0.20270449618638905</v>
      </c>
      <c r="Q166" s="267">
        <f t="shared" si="32"/>
        <v>0.68990815277528805</v>
      </c>
      <c r="R166" s="267">
        <f t="shared" si="32"/>
        <v>-0.20263422655716704</v>
      </c>
      <c r="S166" s="267">
        <f t="shared" si="32"/>
        <v>-0.18589642576949245</v>
      </c>
      <c r="T166" s="267">
        <f t="shared" si="32"/>
        <v>-0.20263422655716704</v>
      </c>
      <c r="U166" s="267">
        <f t="shared" si="32"/>
        <v>-0.20263422655716704</v>
      </c>
      <c r="V166" s="267">
        <f t="shared" si="32"/>
        <v>-0.18589642576949245</v>
      </c>
      <c r="W166" s="267">
        <f t="shared" si="32"/>
        <v>-0.18589642576949245</v>
      </c>
      <c r="X166" s="267">
        <f t="shared" si="32"/>
        <v>-0.18322550011188474</v>
      </c>
      <c r="Y166" s="267">
        <f t="shared" si="32"/>
        <v>-0.18322550011188474</v>
      </c>
      <c r="Z166" s="266"/>
      <c r="AA166" s="266"/>
    </row>
    <row r="167" spans="3:27" x14ac:dyDescent="0.25">
      <c r="D167" s="60"/>
      <c r="E167" s="60"/>
      <c r="F167" s="254" t="s">
        <v>192</v>
      </c>
      <c r="G167" t="s">
        <v>268</v>
      </c>
      <c r="H167" s="266"/>
      <c r="I167" s="266"/>
      <c r="J167" s="267">
        <f t="shared" ref="J167:Y167" si="33">hundred * $H33 * J58 / $H46 * J84 / hours_in_year</f>
        <v>0.10964270661170306</v>
      </c>
      <c r="K167" s="267">
        <f t="shared" si="33"/>
        <v>0.10964270661170306</v>
      </c>
      <c r="L167" s="267">
        <f t="shared" si="33"/>
        <v>0.13293893442741198</v>
      </c>
      <c r="M167" s="267">
        <f t="shared" si="33"/>
        <v>0.13293893442741198</v>
      </c>
      <c r="N167" s="267">
        <f t="shared" si="33"/>
        <v>0.11029485546177406</v>
      </c>
      <c r="O167" s="267">
        <f t="shared" si="33"/>
        <v>9.4404141119312154E-2</v>
      </c>
      <c r="P167" s="267">
        <f t="shared" si="33"/>
        <v>8.111941318470911E-2</v>
      </c>
      <c r="Q167" s="267">
        <f t="shared" si="33"/>
        <v>0.27609128340704198</v>
      </c>
      <c r="R167" s="267">
        <f t="shared" si="33"/>
        <v>-8.1091292293488423E-2</v>
      </c>
      <c r="S167" s="267">
        <f t="shared" si="33"/>
        <v>-7.4393066040774974E-2</v>
      </c>
      <c r="T167" s="267">
        <f t="shared" si="33"/>
        <v>-8.1091292293488423E-2</v>
      </c>
      <c r="U167" s="267">
        <f t="shared" si="33"/>
        <v>-8.1091292293488423E-2</v>
      </c>
      <c r="V167" s="267">
        <f t="shared" si="33"/>
        <v>-7.4393066040774974E-2</v>
      </c>
      <c r="W167" s="267">
        <f t="shared" si="33"/>
        <v>-7.4393066040774974E-2</v>
      </c>
      <c r="X167" s="267">
        <f t="shared" si="33"/>
        <v>-7.3324200149384525E-2</v>
      </c>
      <c r="Y167" s="267">
        <f t="shared" si="33"/>
        <v>-7.3324200149384525E-2</v>
      </c>
      <c r="Z167" s="266"/>
      <c r="AA167" s="266"/>
    </row>
    <row r="168" spans="3:27" x14ac:dyDescent="0.25">
      <c r="D168" s="60"/>
      <c r="E168" s="60"/>
      <c r="F168" s="254" t="s">
        <v>193</v>
      </c>
      <c r="G168" t="s">
        <v>268</v>
      </c>
      <c r="H168" s="266"/>
      <c r="I168" s="266"/>
      <c r="J168" s="267">
        <f t="shared" ref="J168:Y168" si="34">hundred * $H34 * J59 / $H47 * J85 / hours_in_year</f>
        <v>0.30205193555039728</v>
      </c>
      <c r="K168" s="267">
        <f t="shared" si="34"/>
        <v>0.30205193555039728</v>
      </c>
      <c r="L168" s="267">
        <f t="shared" si="34"/>
        <v>0.36623012779147424</v>
      </c>
      <c r="M168" s="267">
        <f t="shared" si="34"/>
        <v>0.36623012779147424</v>
      </c>
      <c r="N168" s="267">
        <f t="shared" si="34"/>
        <v>0.30384852401960138</v>
      </c>
      <c r="O168" s="267">
        <f t="shared" si="34"/>
        <v>0.26007159463917728</v>
      </c>
      <c r="P168" s="267">
        <f t="shared" si="34"/>
        <v>0.22347383168793897</v>
      </c>
      <c r="Q168" s="267">
        <f t="shared" si="34"/>
        <v>0.71782285760246745</v>
      </c>
      <c r="R168" s="267">
        <f t="shared" si="34"/>
        <v>-0.22339636215179651</v>
      </c>
      <c r="S168" s="267">
        <f t="shared" si="34"/>
        <v>-0.20494358707071669</v>
      </c>
      <c r="T168" s="267">
        <f t="shared" si="34"/>
        <v>-0.22339636215179651</v>
      </c>
      <c r="U168" s="267">
        <f t="shared" si="34"/>
        <v>-0.22339636215179651</v>
      </c>
      <c r="V168" s="267">
        <f t="shared" si="34"/>
        <v>-0.20494358707071669</v>
      </c>
      <c r="W168" s="267">
        <f t="shared" si="34"/>
        <v>-0.20494358707071669</v>
      </c>
      <c r="X168" s="267">
        <f t="shared" si="34"/>
        <v>-0.20199899530245927</v>
      </c>
      <c r="Y168" s="267">
        <f t="shared" si="34"/>
        <v>-0.20199899530245927</v>
      </c>
      <c r="Z168" s="266"/>
      <c r="AA168" s="266"/>
    </row>
    <row r="169" spans="3:27" x14ac:dyDescent="0.25">
      <c r="D169" s="60"/>
      <c r="E169" s="60"/>
      <c r="F169" s="254" t="s">
        <v>194</v>
      </c>
      <c r="G169" t="s">
        <v>268</v>
      </c>
      <c r="H169" s="266"/>
      <c r="I169" s="266"/>
      <c r="J169" s="267">
        <f t="shared" ref="J169:Y169" si="35">hundred * $H35 * J60 / $H48 * J86 / hours_in_year</f>
        <v>0.14766461608879053</v>
      </c>
      <c r="K169" s="267">
        <f t="shared" si="35"/>
        <v>0.14766461608879053</v>
      </c>
      <c r="L169" s="267">
        <f t="shared" si="35"/>
        <v>0.17903951226776244</v>
      </c>
      <c r="M169" s="267">
        <f t="shared" si="35"/>
        <v>0.17903951226776244</v>
      </c>
      <c r="N169" s="267">
        <f t="shared" si="35"/>
        <v>0.14854291718655094</v>
      </c>
      <c r="O169" s="267">
        <f t="shared" si="35"/>
        <v>0.12714161923185585</v>
      </c>
      <c r="P169" s="267">
        <f t="shared" si="35"/>
        <v>0.10925001192910612</v>
      </c>
      <c r="Q169" s="267">
        <f t="shared" si="35"/>
        <v>0.35092321621604489</v>
      </c>
      <c r="R169" s="267">
        <f t="shared" si="35"/>
        <v>-0.10921213927223274</v>
      </c>
      <c r="S169" s="267">
        <f t="shared" si="35"/>
        <v>-0.1001911014061608</v>
      </c>
      <c r="T169" s="267">
        <f t="shared" si="35"/>
        <v>-0.10921213927223274</v>
      </c>
      <c r="U169" s="267">
        <f t="shared" si="35"/>
        <v>-0.10921213927223274</v>
      </c>
      <c r="V169" s="267">
        <f t="shared" si="35"/>
        <v>-0.1001911014061608</v>
      </c>
      <c r="W169" s="267">
        <f t="shared" si="35"/>
        <v>-0.1001911014061608</v>
      </c>
      <c r="X169" s="267">
        <f t="shared" si="35"/>
        <v>-9.8751574087106747E-2</v>
      </c>
      <c r="Y169" s="267">
        <f t="shared" si="35"/>
        <v>-9.8751574087106747E-2</v>
      </c>
      <c r="Z169" s="266"/>
      <c r="AA169" s="266"/>
    </row>
    <row r="170" spans="3:27" x14ac:dyDescent="0.25">
      <c r="D170" s="60"/>
      <c r="E170" s="60"/>
      <c r="F170" s="254" t="s">
        <v>195</v>
      </c>
      <c r="G170" t="s">
        <v>268</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25">
      <c r="D171" s="60"/>
      <c r="E171" s="60"/>
      <c r="F171" s="254" t="s">
        <v>196</v>
      </c>
      <c r="G171" t="s">
        <v>268</v>
      </c>
      <c r="H171" s="266"/>
      <c r="I171" s="266"/>
      <c r="J171" s="267">
        <f t="shared" ref="J171:Y171" si="37">hundred * $H37 * J62 / $H50 * J88 / hours_in_year</f>
        <v>0.45564708148498412</v>
      </c>
      <c r="K171" s="267">
        <f t="shared" si="37"/>
        <v>0.45564708148498412</v>
      </c>
      <c r="L171" s="267">
        <f t="shared" si="37"/>
        <v>0.55246025348582983</v>
      </c>
      <c r="M171" s="267">
        <f t="shared" si="37"/>
        <v>0.55246025348582983</v>
      </c>
      <c r="N171" s="267">
        <f t="shared" si="37"/>
        <v>0.45835724552061841</v>
      </c>
      <c r="O171" s="267">
        <f t="shared" si="37"/>
        <v>0.39231949584615439</v>
      </c>
      <c r="P171" s="267">
        <f t="shared" si="37"/>
        <v>0.33711156000815112</v>
      </c>
      <c r="Q171" s="267">
        <f t="shared" si="37"/>
        <v>1.0828399079574957</v>
      </c>
      <c r="R171" s="267">
        <f t="shared" si="37"/>
        <v>-0.33699469676745392</v>
      </c>
      <c r="S171" s="267">
        <f t="shared" si="37"/>
        <v>-0.30915857945977321</v>
      </c>
      <c r="T171" s="267">
        <f t="shared" si="37"/>
        <v>-0.33699469676745392</v>
      </c>
      <c r="U171" s="267">
        <f t="shared" si="37"/>
        <v>-0.33699469676745392</v>
      </c>
      <c r="V171" s="267">
        <f t="shared" si="37"/>
        <v>-0.30915857945977321</v>
      </c>
      <c r="W171" s="267">
        <f t="shared" si="37"/>
        <v>-0.30915857945977321</v>
      </c>
      <c r="X171" s="267">
        <f t="shared" si="37"/>
        <v>0</v>
      </c>
      <c r="Y171" s="267">
        <f t="shared" si="37"/>
        <v>0</v>
      </c>
      <c r="Z171" s="266"/>
      <c r="AA171" s="266"/>
    </row>
    <row r="172" spans="3:27" x14ac:dyDescent="0.25">
      <c r="D172" s="60"/>
      <c r="E172" s="60"/>
      <c r="F172" s="254" t="s">
        <v>197</v>
      </c>
      <c r="G172" t="s">
        <v>268</v>
      </c>
      <c r="H172" s="266"/>
      <c r="I172" s="266"/>
      <c r="J172" s="267">
        <f t="shared" ref="J172:Y172" si="38">hundred * $H38 * J63 / $H51 * J89 / hours_in_year</f>
        <v>0.16096350817090047</v>
      </c>
      <c r="K172" s="267">
        <f t="shared" si="38"/>
        <v>0.16096350817090047</v>
      </c>
      <c r="L172" s="267">
        <f t="shared" si="38"/>
        <v>0.19516407355501669</v>
      </c>
      <c r="M172" s="267">
        <f t="shared" si="38"/>
        <v>0.19516407355501669</v>
      </c>
      <c r="N172" s="267">
        <f t="shared" si="38"/>
        <v>0.16192091035478495</v>
      </c>
      <c r="O172" s="267">
        <f t="shared" si="38"/>
        <v>0.13859218009128654</v>
      </c>
      <c r="P172" s="267">
        <f t="shared" si="38"/>
        <v>0</v>
      </c>
      <c r="Q172" s="267">
        <f t="shared" si="38"/>
        <v>0.38252787618927719</v>
      </c>
      <c r="R172" s="267">
        <f t="shared" si="38"/>
        <v>-0.11904794484778415</v>
      </c>
      <c r="S172" s="267">
        <f t="shared" si="38"/>
        <v>0</v>
      </c>
      <c r="T172" s="267">
        <f t="shared" si="38"/>
        <v>-0.11904794484778415</v>
      </c>
      <c r="U172" s="267">
        <f t="shared" si="38"/>
        <v>-0.11904794484778415</v>
      </c>
      <c r="V172" s="267">
        <f t="shared" si="38"/>
        <v>0</v>
      </c>
      <c r="W172" s="267">
        <f t="shared" si="38"/>
        <v>0</v>
      </c>
      <c r="X172" s="267">
        <f t="shared" si="38"/>
        <v>0</v>
      </c>
      <c r="Y172" s="267">
        <f t="shared" si="38"/>
        <v>0</v>
      </c>
      <c r="Z172" s="266"/>
      <c r="AA172" s="266"/>
    </row>
    <row r="173" spans="3:27" x14ac:dyDescent="0.25">
      <c r="D173" s="60"/>
      <c r="E173" s="60"/>
      <c r="F173" s="256" t="s">
        <v>198</v>
      </c>
      <c r="G173" s="91" t="s">
        <v>268</v>
      </c>
      <c r="H173" s="268"/>
      <c r="I173" s="268"/>
      <c r="J173" s="269">
        <f t="shared" ref="J173:Y173" si="39">hundred * $H39 * J64 / $H52 * J90 / hours_in_year</f>
        <v>0.32368721818515334</v>
      </c>
      <c r="K173" s="269">
        <f t="shared" si="39"/>
        <v>0.32368721818515334</v>
      </c>
      <c r="L173" s="269">
        <f t="shared" si="39"/>
        <v>0.39246234613396963</v>
      </c>
      <c r="M173" s="269">
        <f t="shared" si="39"/>
        <v>0.39246234613396963</v>
      </c>
      <c r="N173" s="269">
        <f t="shared" si="39"/>
        <v>0.32561249213766263</v>
      </c>
      <c r="O173" s="269">
        <f t="shared" si="39"/>
        <v>0</v>
      </c>
      <c r="P173" s="269">
        <f t="shared" si="39"/>
        <v>0</v>
      </c>
      <c r="Q173" s="269">
        <f t="shared" si="39"/>
        <v>0.76923885127129921</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623</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621</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153</v>
      </c>
      <c r="J179" s="259"/>
      <c r="K179" s="259"/>
      <c r="L179" s="259"/>
      <c r="M179" s="259"/>
      <c r="N179" s="259"/>
      <c r="O179" s="259"/>
      <c r="P179" s="259"/>
      <c r="Q179" s="259"/>
      <c r="R179" s="259"/>
      <c r="S179" s="259"/>
      <c r="T179" s="259"/>
      <c r="U179" s="259"/>
      <c r="V179" s="259"/>
      <c r="W179" s="259"/>
      <c r="X179" s="259"/>
      <c r="Y179" s="259"/>
      <c r="AA179" t="s">
        <v>622</v>
      </c>
    </row>
    <row r="180" spans="4:27" x14ac:dyDescent="0.25">
      <c r="E180" s="60" t="s">
        <v>618</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188</v>
      </c>
      <c r="G181" s="90" t="s">
        <v>268</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190</v>
      </c>
      <c r="G182" t="s">
        <v>268</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191</v>
      </c>
      <c r="G183" t="s">
        <v>268</v>
      </c>
      <c r="H183" s="266"/>
      <c r="I183" s="266"/>
      <c r="J183" s="267">
        <f t="shared" ref="J183:Y183" si="42">hundred * $H20 * J57 / $H45 * J95 * (1 - J69) / hours_in_year</f>
        <v>0.17136157881403721</v>
      </c>
      <c r="K183" s="267">
        <f t="shared" si="42"/>
        <v>0.17136157881403721</v>
      </c>
      <c r="L183" s="267">
        <f t="shared" si="42"/>
        <v>0.20777146417968415</v>
      </c>
      <c r="M183" s="267">
        <f t="shared" si="42"/>
        <v>0.20777146417968415</v>
      </c>
      <c r="N183" s="267">
        <f t="shared" si="42"/>
        <v>0.17238082815604491</v>
      </c>
      <c r="O183" s="267">
        <f t="shared" si="42"/>
        <v>0.14754508684357645</v>
      </c>
      <c r="P183" s="267">
        <f t="shared" si="42"/>
        <v>0.12678226528125705</v>
      </c>
      <c r="Q183" s="267">
        <f t="shared" si="42"/>
        <v>0.12811708862829693</v>
      </c>
      <c r="R183" s="267">
        <f t="shared" si="42"/>
        <v>-0.12673831488577569</v>
      </c>
      <c r="S183" s="267">
        <f t="shared" si="42"/>
        <v>-0.11626959643299635</v>
      </c>
      <c r="T183" s="267">
        <f t="shared" si="42"/>
        <v>-0.12673831488577569</v>
      </c>
      <c r="U183" s="267">
        <f t="shared" si="42"/>
        <v>-0.12673831488577569</v>
      </c>
      <c r="V183" s="267">
        <f t="shared" si="42"/>
        <v>-0.11626959643299635</v>
      </c>
      <c r="W183" s="267">
        <f t="shared" si="42"/>
        <v>-0.11626959643299635</v>
      </c>
      <c r="X183" s="267">
        <f t="shared" si="42"/>
        <v>-0.11459905625436133</v>
      </c>
      <c r="Y183" s="267">
        <f t="shared" si="42"/>
        <v>-0.11459905625436133</v>
      </c>
      <c r="Z183" s="266"/>
      <c r="AA183" s="266"/>
    </row>
    <row r="184" spans="4:27" x14ac:dyDescent="0.25">
      <c r="E184" s="60"/>
      <c r="F184" s="254" t="s">
        <v>192</v>
      </c>
      <c r="G184" t="s">
        <v>268</v>
      </c>
      <c r="H184" s="266"/>
      <c r="I184" s="266"/>
      <c r="J184" s="267">
        <f t="shared" ref="J184:Y184" si="43">hundred * $H21 * J58 / $H46 * J96 * (1 - J70) / hours_in_year</f>
        <v>6.8576430110450448E-2</v>
      </c>
      <c r="K184" s="267">
        <f t="shared" si="43"/>
        <v>6.8576430110450448E-2</v>
      </c>
      <c r="L184" s="267">
        <f t="shared" si="43"/>
        <v>8.3147140630201274E-2</v>
      </c>
      <c r="M184" s="267">
        <f t="shared" si="43"/>
        <v>8.3147140630201274E-2</v>
      </c>
      <c r="N184" s="267">
        <f t="shared" si="43"/>
        <v>6.8984318983505058E-2</v>
      </c>
      <c r="O184" s="267">
        <f t="shared" si="43"/>
        <v>5.9045413832520245E-2</v>
      </c>
      <c r="P184" s="267">
        <f t="shared" si="43"/>
        <v>5.0736432369941013E-2</v>
      </c>
      <c r="Q184" s="267">
        <f t="shared" si="43"/>
        <v>5.1270609404265678E-2</v>
      </c>
      <c r="R184" s="267">
        <f t="shared" si="43"/>
        <v>-5.0718844056125777E-2</v>
      </c>
      <c r="S184" s="267">
        <f t="shared" si="43"/>
        <v>-4.6529414055004673E-2</v>
      </c>
      <c r="T184" s="267">
        <f t="shared" si="43"/>
        <v>-5.0718844056125777E-2</v>
      </c>
      <c r="U184" s="267">
        <f t="shared" si="43"/>
        <v>-5.0718844056125777E-2</v>
      </c>
      <c r="V184" s="267">
        <f t="shared" si="43"/>
        <v>-4.6529414055004673E-2</v>
      </c>
      <c r="W184" s="267">
        <f t="shared" si="43"/>
        <v>-4.6529414055004673E-2</v>
      </c>
      <c r="X184" s="267">
        <f t="shared" si="43"/>
        <v>-4.5860887990995983E-2</v>
      </c>
      <c r="Y184" s="267">
        <f t="shared" si="43"/>
        <v>-4.5860887990995983E-2</v>
      </c>
      <c r="Z184" s="266"/>
      <c r="AA184" s="266"/>
    </row>
    <row r="185" spans="4:27" x14ac:dyDescent="0.25">
      <c r="E185" s="60"/>
      <c r="F185" s="254" t="s">
        <v>193</v>
      </c>
      <c r="G185" t="s">
        <v>268</v>
      </c>
      <c r="H185" s="266"/>
      <c r="I185" s="266"/>
      <c r="J185" s="267">
        <f t="shared" ref="J185:Y185" si="44">hundred * $H22 * J59 / $H47 * J97 * (1 - J71) / hours_in_year</f>
        <v>0.25450910421412082</v>
      </c>
      <c r="K185" s="267">
        <f t="shared" si="44"/>
        <v>0.25450910421412082</v>
      </c>
      <c r="L185" s="267">
        <f t="shared" si="44"/>
        <v>0.30858567944809356</v>
      </c>
      <c r="M185" s="267">
        <f t="shared" si="44"/>
        <v>0.30858567944809356</v>
      </c>
      <c r="N185" s="267">
        <f t="shared" si="44"/>
        <v>0.2560229105107279</v>
      </c>
      <c r="O185" s="267">
        <f t="shared" si="44"/>
        <v>0.21913644904325102</v>
      </c>
      <c r="P185" s="267">
        <f t="shared" si="44"/>
        <v>0.18829915661541849</v>
      </c>
      <c r="Q185" s="267">
        <f t="shared" si="44"/>
        <v>0.19603764237187893</v>
      </c>
      <c r="R185" s="267">
        <f t="shared" si="44"/>
        <v>-0.18823388074750669</v>
      </c>
      <c r="S185" s="267">
        <f t="shared" si="44"/>
        <v>-0.17268556370860896</v>
      </c>
      <c r="T185" s="267">
        <f t="shared" si="44"/>
        <v>-0.18823388074750669</v>
      </c>
      <c r="U185" s="267">
        <f t="shared" si="44"/>
        <v>-0.18823388074750669</v>
      </c>
      <c r="V185" s="267">
        <f t="shared" si="44"/>
        <v>-0.17268556370860896</v>
      </c>
      <c r="W185" s="267">
        <f t="shared" si="44"/>
        <v>-0.17268556370860896</v>
      </c>
      <c r="X185" s="267">
        <f t="shared" si="44"/>
        <v>-0.17020444928750827</v>
      </c>
      <c r="Y185" s="267">
        <f t="shared" si="44"/>
        <v>-0.17020444928750827</v>
      </c>
      <c r="Z185" s="266"/>
      <c r="AA185" s="266"/>
    </row>
    <row r="186" spans="4:27" x14ac:dyDescent="0.25">
      <c r="E186" s="60"/>
      <c r="F186" s="254" t="s">
        <v>194</v>
      </c>
      <c r="G186" t="s">
        <v>268</v>
      </c>
      <c r="H186" s="266"/>
      <c r="I186" s="266"/>
      <c r="J186" s="267">
        <f t="shared" ref="J186:Y186" si="45">hundred * $H23 * J60 / $H48 * J98 * (1 - J72) / hours_in_year</f>
        <v>0.12442227558117927</v>
      </c>
      <c r="K186" s="267">
        <f t="shared" si="45"/>
        <v>0.12442227558117927</v>
      </c>
      <c r="L186" s="267">
        <f t="shared" si="45"/>
        <v>0.15085877798852387</v>
      </c>
      <c r="M186" s="267">
        <f t="shared" si="45"/>
        <v>0.15085877798852387</v>
      </c>
      <c r="N186" s="267">
        <f t="shared" si="45"/>
        <v>0.12516233250289358</v>
      </c>
      <c r="O186" s="267">
        <f t="shared" si="45"/>
        <v>0.10712958869165538</v>
      </c>
      <c r="P186" s="267">
        <f t="shared" si="45"/>
        <v>9.2054111889044762E-2</v>
      </c>
      <c r="Q186" s="267">
        <f t="shared" si="45"/>
        <v>9.583723788111656E-2</v>
      </c>
      <c r="R186" s="267">
        <f t="shared" si="45"/>
        <v>-9.2022200370393201E-2</v>
      </c>
      <c r="S186" s="267">
        <f t="shared" si="45"/>
        <v>-8.4421069584086572E-2</v>
      </c>
      <c r="T186" s="267">
        <f t="shared" si="45"/>
        <v>-9.2022200370393201E-2</v>
      </c>
      <c r="U186" s="267">
        <f t="shared" si="45"/>
        <v>-9.2022200370393201E-2</v>
      </c>
      <c r="V186" s="267">
        <f t="shared" si="45"/>
        <v>-8.4421069584086572E-2</v>
      </c>
      <c r="W186" s="267">
        <f t="shared" si="45"/>
        <v>-8.4421069584086572E-2</v>
      </c>
      <c r="X186" s="267">
        <f t="shared" si="45"/>
        <v>-8.3208123182016355E-2</v>
      </c>
      <c r="Y186" s="267">
        <f t="shared" si="45"/>
        <v>-8.3208123182016355E-2</v>
      </c>
      <c r="Z186" s="266"/>
      <c r="AA186" s="266"/>
    </row>
    <row r="187" spans="4:27" x14ac:dyDescent="0.25">
      <c r="E187" s="60"/>
      <c r="F187" s="254" t="s">
        <v>195</v>
      </c>
      <c r="G187" t="s">
        <v>268</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25">
      <c r="E188" s="60"/>
      <c r="F188" s="254" t="s">
        <v>196</v>
      </c>
      <c r="G188" t="s">
        <v>268</v>
      </c>
      <c r="H188" s="266"/>
      <c r="I188" s="266"/>
      <c r="J188" s="267">
        <f t="shared" ref="J188:Y188" si="47">hundred * $H25 * J62 / $H50 * J100 * (1 - J74) / hours_in_year</f>
        <v>0.38392844705732015</v>
      </c>
      <c r="K188" s="267">
        <f t="shared" si="47"/>
        <v>0.38392844705732015</v>
      </c>
      <c r="L188" s="267">
        <f t="shared" si="47"/>
        <v>0.46550327172170869</v>
      </c>
      <c r="M188" s="267">
        <f t="shared" si="47"/>
        <v>0.46550327172170869</v>
      </c>
      <c r="N188" s="267">
        <f t="shared" si="47"/>
        <v>0.38621203255968001</v>
      </c>
      <c r="O188" s="267">
        <f t="shared" si="47"/>
        <v>0.33056859335000183</v>
      </c>
      <c r="P188" s="267">
        <f t="shared" si="47"/>
        <v>0.28405036041751835</v>
      </c>
      <c r="Q188" s="267">
        <f t="shared" si="47"/>
        <v>0.2957239106750898</v>
      </c>
      <c r="R188" s="267">
        <f t="shared" si="47"/>
        <v>-0.28395189139545685</v>
      </c>
      <c r="S188" s="267">
        <f t="shared" si="47"/>
        <v>-0.2604971657441626</v>
      </c>
      <c r="T188" s="267">
        <f t="shared" si="47"/>
        <v>-0.28395189139545685</v>
      </c>
      <c r="U188" s="267">
        <f t="shared" si="47"/>
        <v>-0.28395189139545685</v>
      </c>
      <c r="V188" s="267">
        <f t="shared" si="47"/>
        <v>-0.2604971657441626</v>
      </c>
      <c r="W188" s="267">
        <f t="shared" si="47"/>
        <v>-0.2604971657441626</v>
      </c>
      <c r="X188" s="267">
        <f t="shared" si="47"/>
        <v>0</v>
      </c>
      <c r="Y188" s="267">
        <f t="shared" si="47"/>
        <v>0</v>
      </c>
      <c r="Z188" s="266"/>
      <c r="AA188" s="266"/>
    </row>
    <row r="189" spans="4:27" x14ac:dyDescent="0.25">
      <c r="E189" s="60"/>
      <c r="F189" s="254" t="s">
        <v>197</v>
      </c>
      <c r="G189" t="s">
        <v>268</v>
      </c>
      <c r="H189" s="266"/>
      <c r="I189" s="266"/>
      <c r="J189" s="267">
        <f t="shared" ref="J189:Y189" si="48">hundred * $H26 * J63 / $H51 * J101 * (1 - J75) / hours_in_year</f>
        <v>0.13562792835970064</v>
      </c>
      <c r="K189" s="267">
        <f t="shared" si="48"/>
        <v>0.13562792835970064</v>
      </c>
      <c r="L189" s="267">
        <f t="shared" si="48"/>
        <v>0.16444534098003974</v>
      </c>
      <c r="M189" s="267">
        <f t="shared" si="48"/>
        <v>0.16444534098003974</v>
      </c>
      <c r="N189" s="267">
        <f t="shared" si="48"/>
        <v>0.13643463589411539</v>
      </c>
      <c r="O189" s="267">
        <f t="shared" si="48"/>
        <v>0.1167778367049403</v>
      </c>
      <c r="P189" s="267">
        <f t="shared" si="48"/>
        <v>0</v>
      </c>
      <c r="Q189" s="267">
        <f t="shared" si="48"/>
        <v>0.10446848020434242</v>
      </c>
      <c r="R189" s="267">
        <f t="shared" si="48"/>
        <v>-0.10030985481530295</v>
      </c>
      <c r="S189" s="267">
        <f t="shared" si="48"/>
        <v>0</v>
      </c>
      <c r="T189" s="267">
        <f t="shared" si="48"/>
        <v>-0.10030985481530295</v>
      </c>
      <c r="U189" s="267">
        <f t="shared" si="48"/>
        <v>-0.10030985481530295</v>
      </c>
      <c r="V189" s="267">
        <f t="shared" si="48"/>
        <v>0</v>
      </c>
      <c r="W189" s="267">
        <f t="shared" si="48"/>
        <v>0</v>
      </c>
      <c r="X189" s="267">
        <f t="shared" si="48"/>
        <v>0</v>
      </c>
      <c r="Y189" s="267">
        <f t="shared" si="48"/>
        <v>0</v>
      </c>
      <c r="Z189" s="266"/>
      <c r="AA189" s="266"/>
    </row>
    <row r="190" spans="4:27" x14ac:dyDescent="0.25">
      <c r="E190" s="60"/>
      <c r="F190" s="256" t="s">
        <v>198</v>
      </c>
      <c r="G190" s="91" t="s">
        <v>268</v>
      </c>
      <c r="H190" s="268"/>
      <c r="I190" s="268"/>
      <c r="J190" s="269">
        <f t="shared" ref="J190:Y190" si="49">hundred * $H27 * J64 / $H52 * J102 * (1 - J76) / hours_in_year</f>
        <v>0.27273900362780079</v>
      </c>
      <c r="K190" s="269">
        <f t="shared" si="49"/>
        <v>0.27273900362780079</v>
      </c>
      <c r="L190" s="269">
        <f t="shared" si="49"/>
        <v>0.33068895907029544</v>
      </c>
      <c r="M190" s="269">
        <f t="shared" si="49"/>
        <v>0.33068895907029544</v>
      </c>
      <c r="N190" s="269">
        <f t="shared" si="49"/>
        <v>0.27436124037370024</v>
      </c>
      <c r="O190" s="269">
        <f t="shared" si="49"/>
        <v>0</v>
      </c>
      <c r="P190" s="269">
        <f t="shared" si="49"/>
        <v>0</v>
      </c>
      <c r="Q190" s="269">
        <f t="shared" si="49"/>
        <v>0.21007936599810995</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619</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188</v>
      </c>
      <c r="G193" s="90" t="s">
        <v>268</v>
      </c>
      <c r="H193" s="264"/>
      <c r="I193" s="264"/>
      <c r="J193" s="265">
        <f t="shared" ref="J193:Y193" si="50">hundred * $H30 * J55 / $H43 * J93 / hours_in_year</f>
        <v>9.8061526818595882E-2</v>
      </c>
      <c r="K193" s="265">
        <f t="shared" si="50"/>
        <v>9.8061526818595882E-2</v>
      </c>
      <c r="L193" s="265">
        <f t="shared" si="50"/>
        <v>0.11889705468286714</v>
      </c>
      <c r="M193" s="265">
        <f t="shared" si="50"/>
        <v>0.11889705468286714</v>
      </c>
      <c r="N193" s="265">
        <f t="shared" si="50"/>
        <v>9.8644791441727026E-2</v>
      </c>
      <c r="O193" s="265">
        <f t="shared" si="50"/>
        <v>8.4432558281718112E-2</v>
      </c>
      <c r="P193" s="265">
        <f t="shared" si="50"/>
        <v>7.2551050200652764E-2</v>
      </c>
      <c r="Q193" s="265">
        <f t="shared" si="50"/>
        <v>7.8481873874888253E-2</v>
      </c>
      <c r="R193" s="265">
        <f t="shared" si="50"/>
        <v>-7.2525899621888198E-2</v>
      </c>
      <c r="S193" s="265">
        <f t="shared" si="50"/>
        <v>-6.6535183835897432E-2</v>
      </c>
      <c r="T193" s="265">
        <f t="shared" si="50"/>
        <v>-7.2525899621888198E-2</v>
      </c>
      <c r="U193" s="265">
        <f t="shared" si="50"/>
        <v>-7.2525899621888198E-2</v>
      </c>
      <c r="V193" s="265">
        <f t="shared" si="50"/>
        <v>-6.6535183835897432E-2</v>
      </c>
      <c r="W193" s="265">
        <f t="shared" si="50"/>
        <v>-6.6535183835897432E-2</v>
      </c>
      <c r="X193" s="265">
        <f t="shared" si="50"/>
        <v>-6.5579218550898891E-2</v>
      </c>
      <c r="Y193" s="265">
        <f t="shared" si="50"/>
        <v>-6.5579218550898891E-2</v>
      </c>
      <c r="Z193" s="266"/>
      <c r="AA193" s="266"/>
    </row>
    <row r="194" spans="3:27" x14ac:dyDescent="0.25">
      <c r="D194" s="60"/>
      <c r="E194" s="60"/>
      <c r="F194" s="254" t="s">
        <v>190</v>
      </c>
      <c r="G194" t="s">
        <v>268</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191</v>
      </c>
      <c r="G195" t="s">
        <v>268</v>
      </c>
      <c r="H195" s="266"/>
      <c r="I195" s="266"/>
      <c r="J195" s="267">
        <f t="shared" ref="J195:Y195" si="52">hundred * $H32 * J57 / $H45 * J95 / hours_in_year</f>
        <v>7.5972708896365176E-2</v>
      </c>
      <c r="K195" s="267">
        <f t="shared" si="52"/>
        <v>7.5972708896365176E-2</v>
      </c>
      <c r="L195" s="267">
        <f t="shared" si="52"/>
        <v>9.2114936582281745E-2</v>
      </c>
      <c r="M195" s="267">
        <f t="shared" si="52"/>
        <v>9.2114936582281745E-2</v>
      </c>
      <c r="N195" s="267">
        <f t="shared" si="52"/>
        <v>7.6424590432991296E-2</v>
      </c>
      <c r="O195" s="267">
        <f t="shared" si="52"/>
        <v>6.5413729316887742E-2</v>
      </c>
      <c r="P195" s="267">
        <f t="shared" si="52"/>
        <v>5.6208586546038983E-2</v>
      </c>
      <c r="Q195" s="267">
        <f t="shared" si="52"/>
        <v>5.6800376994484723E-2</v>
      </c>
      <c r="R195" s="267">
        <f t="shared" si="52"/>
        <v>-5.6189101252865949E-2</v>
      </c>
      <c r="S195" s="267">
        <f t="shared" si="52"/>
        <v>-5.1547822239008834E-2</v>
      </c>
      <c r="T195" s="267">
        <f t="shared" si="52"/>
        <v>-5.6189101252865949E-2</v>
      </c>
      <c r="U195" s="267">
        <f t="shared" si="52"/>
        <v>-5.6189101252865949E-2</v>
      </c>
      <c r="V195" s="267">
        <f t="shared" si="52"/>
        <v>-5.1547822239008834E-2</v>
      </c>
      <c r="W195" s="267">
        <f t="shared" si="52"/>
        <v>-5.1547822239008834E-2</v>
      </c>
      <c r="X195" s="267">
        <f t="shared" si="52"/>
        <v>-5.0807192609138012E-2</v>
      </c>
      <c r="Y195" s="267">
        <f t="shared" si="52"/>
        <v>-5.0807192609138012E-2</v>
      </c>
      <c r="Z195" s="266"/>
      <c r="AA195" s="266"/>
    </row>
    <row r="196" spans="3:27" x14ac:dyDescent="0.25">
      <c r="D196" s="60"/>
      <c r="E196" s="60"/>
      <c r="F196" s="254" t="s">
        <v>192</v>
      </c>
      <c r="G196" t="s">
        <v>268</v>
      </c>
      <c r="H196" s="266"/>
      <c r="I196" s="266"/>
      <c r="J196" s="267">
        <f t="shared" ref="J196:Y196" si="53">hundred * $H33 * J58 / $H46 * J96 / hours_in_year</f>
        <v>3.0403181378172547E-2</v>
      </c>
      <c r="K196" s="267">
        <f t="shared" si="53"/>
        <v>3.0403181378172547E-2</v>
      </c>
      <c r="L196" s="267">
        <f t="shared" si="53"/>
        <v>3.6863067873099939E-2</v>
      </c>
      <c r="M196" s="267">
        <f t="shared" si="53"/>
        <v>3.6863067873099939E-2</v>
      </c>
      <c r="N196" s="267">
        <f t="shared" si="53"/>
        <v>3.0584017845886657E-2</v>
      </c>
      <c r="O196" s="267">
        <f t="shared" si="53"/>
        <v>2.6177630177132875E-2</v>
      </c>
      <c r="P196" s="267">
        <f t="shared" si="53"/>
        <v>2.2493864923272381E-2</v>
      </c>
      <c r="Q196" s="267">
        <f t="shared" si="53"/>
        <v>2.2730690917808254E-2</v>
      </c>
      <c r="R196" s="267">
        <f t="shared" si="53"/>
        <v>-2.248606719022913E-2</v>
      </c>
      <c r="S196" s="267">
        <f t="shared" si="53"/>
        <v>-2.0628694329173296E-2</v>
      </c>
      <c r="T196" s="267">
        <f t="shared" si="53"/>
        <v>-2.248606719022913E-2</v>
      </c>
      <c r="U196" s="267">
        <f t="shared" si="53"/>
        <v>-2.248606719022913E-2</v>
      </c>
      <c r="V196" s="267">
        <f t="shared" si="53"/>
        <v>-2.0628694329173296E-2</v>
      </c>
      <c r="W196" s="267">
        <f t="shared" si="53"/>
        <v>-2.0628694329173296E-2</v>
      </c>
      <c r="X196" s="267">
        <f t="shared" si="53"/>
        <v>-2.0332305042834599E-2</v>
      </c>
      <c r="Y196" s="267">
        <f t="shared" si="53"/>
        <v>-2.0332305042834599E-2</v>
      </c>
      <c r="Z196" s="266"/>
      <c r="AA196" s="266"/>
    </row>
    <row r="197" spans="3:27" x14ac:dyDescent="0.25">
      <c r="D197" s="60"/>
      <c r="E197" s="60"/>
      <c r="F197" s="254" t="s">
        <v>193</v>
      </c>
      <c r="G197" t="s">
        <v>268</v>
      </c>
      <c r="H197" s="266"/>
      <c r="I197" s="266"/>
      <c r="J197" s="267">
        <f t="shared" ref="J197:Y197" si="54">hundred * $H34 * J59 / $H47 * J97 / hours_in_year</f>
        <v>0.11283594735618858</v>
      </c>
      <c r="K197" s="267">
        <f t="shared" si="54"/>
        <v>0.11283594735618858</v>
      </c>
      <c r="L197" s="267">
        <f t="shared" si="54"/>
        <v>0.13681065590402125</v>
      </c>
      <c r="M197" s="267">
        <f t="shared" si="54"/>
        <v>0.13681065590402125</v>
      </c>
      <c r="N197" s="267">
        <f t="shared" si="54"/>
        <v>0.11350708942837048</v>
      </c>
      <c r="O197" s="267">
        <f t="shared" si="54"/>
        <v>9.7153572971062641E-2</v>
      </c>
      <c r="P197" s="267">
        <f t="shared" si="54"/>
        <v>8.3481939825605811E-2</v>
      </c>
      <c r="Q197" s="267">
        <f t="shared" si="54"/>
        <v>8.6912777296543467E-2</v>
      </c>
      <c r="R197" s="267">
        <f t="shared" si="54"/>
        <v>-8.3452999939867462E-2</v>
      </c>
      <c r="S197" s="267">
        <f t="shared" si="54"/>
        <v>-7.6559694145185986E-2</v>
      </c>
      <c r="T197" s="267">
        <f t="shared" si="54"/>
        <v>-8.3452999939867462E-2</v>
      </c>
      <c r="U197" s="267">
        <f t="shared" si="54"/>
        <v>-8.3452999939867462E-2</v>
      </c>
      <c r="V197" s="267">
        <f t="shared" si="54"/>
        <v>-7.6559694145185986E-2</v>
      </c>
      <c r="W197" s="267">
        <f t="shared" si="54"/>
        <v>-7.6559694145185986E-2</v>
      </c>
      <c r="X197" s="267">
        <f t="shared" si="54"/>
        <v>-7.5459698539651704E-2</v>
      </c>
      <c r="Y197" s="267">
        <f t="shared" si="54"/>
        <v>-7.5459698539651704E-2</v>
      </c>
      <c r="Z197" s="266"/>
      <c r="AA197" s="266"/>
    </row>
    <row r="198" spans="3:27" x14ac:dyDescent="0.25">
      <c r="D198" s="60"/>
      <c r="E198" s="60"/>
      <c r="F198" s="254" t="s">
        <v>194</v>
      </c>
      <c r="G198" t="s">
        <v>268</v>
      </c>
      <c r="H198" s="266"/>
      <c r="I198" s="266"/>
      <c r="J198" s="267">
        <f t="shared" ref="J198:Y198" si="55">hundred * $H35 * J60 / $H48 * J98 / hours_in_year</f>
        <v>5.5162291269563936E-2</v>
      </c>
      <c r="K198" s="267">
        <f t="shared" si="55"/>
        <v>5.5162291269563936E-2</v>
      </c>
      <c r="L198" s="267">
        <f t="shared" si="55"/>
        <v>6.6882845640802754E-2</v>
      </c>
      <c r="M198" s="267">
        <f t="shared" si="55"/>
        <v>6.6882845640802754E-2</v>
      </c>
      <c r="N198" s="267">
        <f t="shared" si="55"/>
        <v>5.5490393575047224E-2</v>
      </c>
      <c r="O198" s="267">
        <f t="shared" si="55"/>
        <v>4.7495623652551007E-2</v>
      </c>
      <c r="P198" s="267">
        <f t="shared" si="55"/>
        <v>4.0811950343019023E-2</v>
      </c>
      <c r="Q198" s="267">
        <f t="shared" si="55"/>
        <v>4.2489189381682682E-2</v>
      </c>
      <c r="R198" s="267">
        <f t="shared" si="55"/>
        <v>-4.0797802454479858E-2</v>
      </c>
      <c r="S198" s="267">
        <f t="shared" si="55"/>
        <v>-3.742786095121E-2</v>
      </c>
      <c r="T198" s="267">
        <f t="shared" si="55"/>
        <v>-4.0797802454479858E-2</v>
      </c>
      <c r="U198" s="267">
        <f t="shared" si="55"/>
        <v>-4.0797802454479858E-2</v>
      </c>
      <c r="V198" s="267">
        <f t="shared" si="55"/>
        <v>-3.742786095121E-2</v>
      </c>
      <c r="W198" s="267">
        <f t="shared" si="55"/>
        <v>-3.742786095121E-2</v>
      </c>
      <c r="X198" s="267">
        <f t="shared" si="55"/>
        <v>-3.6890104328347779E-2</v>
      </c>
      <c r="Y198" s="267">
        <f t="shared" si="55"/>
        <v>-3.6890104328347779E-2</v>
      </c>
      <c r="Z198" s="266"/>
      <c r="AA198" s="266"/>
    </row>
    <row r="199" spans="3:27" x14ac:dyDescent="0.25">
      <c r="D199" s="60"/>
      <c r="E199" s="60"/>
      <c r="F199" s="254" t="s">
        <v>195</v>
      </c>
      <c r="G199" t="s">
        <v>268</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25">
      <c r="D200" s="60"/>
      <c r="E200" s="60"/>
      <c r="F200" s="254" t="s">
        <v>196</v>
      </c>
      <c r="G200" t="s">
        <v>268</v>
      </c>
      <c r="H200" s="266"/>
      <c r="I200" s="266"/>
      <c r="J200" s="267">
        <f t="shared" ref="J200:Y200" si="57">hundred * $H37 * J62 / $H50 * J100 / hours_in_year</f>
        <v>0.17021367535935666</v>
      </c>
      <c r="K200" s="267">
        <f t="shared" si="57"/>
        <v>0.17021367535935666</v>
      </c>
      <c r="L200" s="267">
        <f t="shared" si="57"/>
        <v>0.20637966105108013</v>
      </c>
      <c r="M200" s="267">
        <f t="shared" si="57"/>
        <v>0.20637966105108013</v>
      </c>
      <c r="N200" s="267">
        <f t="shared" si="57"/>
        <v>0.17122609703410685</v>
      </c>
      <c r="O200" s="267">
        <f t="shared" si="57"/>
        <v>0.14655672343048792</v>
      </c>
      <c r="P200" s="267">
        <f t="shared" si="57"/>
        <v>0.12593298622281357</v>
      </c>
      <c r="Q200" s="267">
        <f t="shared" si="57"/>
        <v>0.1311084242740001</v>
      </c>
      <c r="R200" s="267">
        <f t="shared" si="57"/>
        <v>-0.12588933023878171</v>
      </c>
      <c r="S200" s="267">
        <f t="shared" si="57"/>
        <v>-0.11549073881308269</v>
      </c>
      <c r="T200" s="267">
        <f t="shared" si="57"/>
        <v>-0.12588933023878171</v>
      </c>
      <c r="U200" s="267">
        <f t="shared" si="57"/>
        <v>-0.12588933023878171</v>
      </c>
      <c r="V200" s="267">
        <f t="shared" si="57"/>
        <v>-0.11549073881308269</v>
      </c>
      <c r="W200" s="267">
        <f t="shared" si="57"/>
        <v>-0.11549073881308269</v>
      </c>
      <c r="X200" s="267">
        <f t="shared" si="57"/>
        <v>0</v>
      </c>
      <c r="Y200" s="267">
        <f t="shared" si="57"/>
        <v>0</v>
      </c>
      <c r="Z200" s="266"/>
      <c r="AA200" s="266"/>
    </row>
    <row r="201" spans="3:27" x14ac:dyDescent="0.25">
      <c r="D201" s="60"/>
      <c r="E201" s="60"/>
      <c r="F201" s="254" t="s">
        <v>197</v>
      </c>
      <c r="G201" t="s">
        <v>268</v>
      </c>
      <c r="H201" s="266"/>
      <c r="I201" s="266"/>
      <c r="J201" s="267">
        <f t="shared" ref="J201:Y201" si="58">hundred * $H38 * J63 / $H51 * J101 / hours_in_year</f>
        <v>6.0130288194126656E-2</v>
      </c>
      <c r="K201" s="267">
        <f t="shared" si="58"/>
        <v>6.0130288194126656E-2</v>
      </c>
      <c r="L201" s="267">
        <f t="shared" si="58"/>
        <v>7.2906412896661929E-2</v>
      </c>
      <c r="M201" s="267">
        <f t="shared" si="58"/>
        <v>7.2906412896661929E-2</v>
      </c>
      <c r="N201" s="267">
        <f t="shared" si="58"/>
        <v>6.0487939874863735E-2</v>
      </c>
      <c r="O201" s="267">
        <f t="shared" si="58"/>
        <v>5.177314923761047E-2</v>
      </c>
      <c r="P201" s="267">
        <f t="shared" si="58"/>
        <v>0</v>
      </c>
      <c r="Q201" s="267">
        <f t="shared" si="58"/>
        <v>4.6315828147353945E-2</v>
      </c>
      <c r="R201" s="267">
        <f t="shared" si="58"/>
        <v>-4.4472112430697347E-2</v>
      </c>
      <c r="S201" s="267">
        <f t="shared" si="58"/>
        <v>0</v>
      </c>
      <c r="T201" s="267">
        <f t="shared" si="58"/>
        <v>-4.4472112430697347E-2</v>
      </c>
      <c r="U201" s="267">
        <f t="shared" si="58"/>
        <v>-4.4472112430697347E-2</v>
      </c>
      <c r="V201" s="267">
        <f t="shared" si="58"/>
        <v>0</v>
      </c>
      <c r="W201" s="267">
        <f t="shared" si="58"/>
        <v>0</v>
      </c>
      <c r="X201" s="267">
        <f t="shared" si="58"/>
        <v>0</v>
      </c>
      <c r="Y201" s="267">
        <f t="shared" si="58"/>
        <v>0</v>
      </c>
      <c r="Z201" s="266"/>
      <c r="AA201" s="266"/>
    </row>
    <row r="202" spans="3:27" x14ac:dyDescent="0.25">
      <c r="D202" s="60"/>
      <c r="E202" s="60"/>
      <c r="F202" s="256" t="s">
        <v>198</v>
      </c>
      <c r="G202" s="91" t="s">
        <v>268</v>
      </c>
      <c r="H202" s="268"/>
      <c r="I202" s="268"/>
      <c r="J202" s="269">
        <f t="shared" ref="J202:Y202" si="59">hundred * $H39 * J64 / $H52 * J102 / hours_in_year</f>
        <v>0.12091812570066165</v>
      </c>
      <c r="K202" s="269">
        <f t="shared" si="59"/>
        <v>0.12091812570066165</v>
      </c>
      <c r="L202" s="269">
        <f t="shared" si="59"/>
        <v>0.14661008725855398</v>
      </c>
      <c r="M202" s="269">
        <f t="shared" si="59"/>
        <v>0.14661008725855398</v>
      </c>
      <c r="N202" s="269">
        <f t="shared" si="59"/>
        <v>0.12163734012964958</v>
      </c>
      <c r="O202" s="269">
        <f t="shared" si="59"/>
        <v>0</v>
      </c>
      <c r="P202" s="269">
        <f t="shared" si="59"/>
        <v>0</v>
      </c>
      <c r="Q202" s="269">
        <f t="shared" si="59"/>
        <v>9.3138138832320111E-2</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624</v>
      </c>
      <c r="D206" s="60"/>
      <c r="E206" s="60"/>
      <c r="I206" s="3" t="s">
        <v>153</v>
      </c>
      <c r="J206" s="259"/>
      <c r="K206" s="259"/>
      <c r="L206" s="259"/>
      <c r="M206" s="259"/>
      <c r="N206" s="259"/>
      <c r="O206" s="259"/>
      <c r="P206" s="259"/>
      <c r="Q206" s="259"/>
      <c r="R206" s="259"/>
      <c r="S206" s="259"/>
      <c r="T206" s="259"/>
      <c r="U206" s="259"/>
      <c r="V206" s="259"/>
      <c r="W206" s="259"/>
      <c r="X206" s="259"/>
      <c r="Y206" s="259"/>
      <c r="AA206" t="s">
        <v>622</v>
      </c>
    </row>
    <row r="207" spans="3:27" x14ac:dyDescent="0.25">
      <c r="C207" s="71" t="s">
        <v>625</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618</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188</v>
      </c>
      <c r="G210" s="90" t="s">
        <v>268</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190</v>
      </c>
      <c r="G211" t="s">
        <v>268</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191</v>
      </c>
      <c r="G212" t="s">
        <v>268</v>
      </c>
      <c r="H212" s="266"/>
      <c r="I212" s="266"/>
      <c r="J212" s="267">
        <f t="shared" ref="J212:Y212" si="62">hundred * $H20 * J57 / $H45 * J107 * (1 - J69) / hours_in_year</f>
        <v>1.5987660205365132E-2</v>
      </c>
      <c r="K212" s="267">
        <f t="shared" si="62"/>
        <v>1.5987660205365132E-2</v>
      </c>
      <c r="L212" s="267">
        <f t="shared" si="62"/>
        <v>1.9384622811399292E-2</v>
      </c>
      <c r="M212" s="267">
        <f t="shared" si="62"/>
        <v>1.9384622811399292E-2</v>
      </c>
      <c r="N212" s="267">
        <f t="shared" si="62"/>
        <v>1.6082753937912062E-2</v>
      </c>
      <c r="O212" s="267">
        <f t="shared" si="62"/>
        <v>1.3765633637083175E-2</v>
      </c>
      <c r="P212" s="267">
        <f t="shared" si="62"/>
        <v>1.1828507833619238E-2</v>
      </c>
      <c r="Q212" s="267">
        <f t="shared" si="62"/>
        <v>1.3805258262319646E-2</v>
      </c>
      <c r="R212" s="267">
        <f t="shared" si="62"/>
        <v>-1.1824407357925032E-2</v>
      </c>
      <c r="S212" s="267">
        <f t="shared" si="62"/>
        <v>-1.0847698841541069E-2</v>
      </c>
      <c r="T212" s="267">
        <f t="shared" si="62"/>
        <v>-1.1824407357925032E-2</v>
      </c>
      <c r="U212" s="267">
        <f t="shared" si="62"/>
        <v>-1.1824407357925032E-2</v>
      </c>
      <c r="V212" s="267">
        <f t="shared" si="62"/>
        <v>-1.0847698841541069E-2</v>
      </c>
      <c r="W212" s="267">
        <f t="shared" si="62"/>
        <v>-1.0847698841541069E-2</v>
      </c>
      <c r="X212" s="267">
        <f t="shared" si="62"/>
        <v>-1.0691841099564902E-2</v>
      </c>
      <c r="Y212" s="267">
        <f t="shared" si="62"/>
        <v>-1.0691841099564902E-2</v>
      </c>
      <c r="Z212" s="266"/>
      <c r="AA212" s="266"/>
    </row>
    <row r="213" spans="3:27" x14ac:dyDescent="0.25">
      <c r="E213" s="60"/>
      <c r="F213" s="254" t="s">
        <v>192</v>
      </c>
      <c r="G213" t="s">
        <v>268</v>
      </c>
      <c r="H213" s="266"/>
      <c r="I213" s="266"/>
      <c r="J213" s="267">
        <f t="shared" ref="J213:Y213" si="63">hundred * $H21 * J58 / $H46 * J108 * (1 - J70) / hours_in_year</f>
        <v>6.3980308205064318E-3</v>
      </c>
      <c r="K213" s="267">
        <f t="shared" si="63"/>
        <v>6.3980308205064318E-3</v>
      </c>
      <c r="L213" s="267">
        <f t="shared" si="63"/>
        <v>7.7574462177776938E-3</v>
      </c>
      <c r="M213" s="267">
        <f t="shared" si="63"/>
        <v>7.7574462177776938E-3</v>
      </c>
      <c r="N213" s="267">
        <f t="shared" si="63"/>
        <v>6.4360859595234644E-3</v>
      </c>
      <c r="O213" s="267">
        <f t="shared" si="63"/>
        <v>5.5088078644742969E-3</v>
      </c>
      <c r="P213" s="267">
        <f t="shared" si="63"/>
        <v>4.7335980817694188E-3</v>
      </c>
      <c r="Q213" s="267">
        <f t="shared" si="63"/>
        <v>5.524665067483208E-3</v>
      </c>
      <c r="R213" s="267">
        <f t="shared" si="63"/>
        <v>-4.7319571305899913E-3</v>
      </c>
      <c r="S213" s="267">
        <f t="shared" si="63"/>
        <v>-4.3410924818417847E-3</v>
      </c>
      <c r="T213" s="267">
        <f t="shared" si="63"/>
        <v>-4.7319571305899913E-3</v>
      </c>
      <c r="U213" s="267">
        <f t="shared" si="63"/>
        <v>-4.7319571305899913E-3</v>
      </c>
      <c r="V213" s="267">
        <f t="shared" si="63"/>
        <v>-4.3410924818417847E-3</v>
      </c>
      <c r="W213" s="267">
        <f t="shared" si="63"/>
        <v>-4.3410924818417847E-3</v>
      </c>
      <c r="X213" s="267">
        <f t="shared" si="63"/>
        <v>-4.2787204634245173E-3</v>
      </c>
      <c r="Y213" s="267">
        <f t="shared" si="63"/>
        <v>-4.2787204634245173E-3</v>
      </c>
      <c r="Z213" s="266"/>
      <c r="AA213" s="266"/>
    </row>
    <row r="214" spans="3:27" x14ac:dyDescent="0.25">
      <c r="E214" s="60"/>
      <c r="F214" s="254" t="s">
        <v>193</v>
      </c>
      <c r="G214" t="s">
        <v>268</v>
      </c>
      <c r="H214" s="266"/>
      <c r="I214" s="266"/>
      <c r="J214" s="267">
        <f t="shared" ref="J214:Y214" si="64">hundred * $H22 * J59 / $H47 * J109 * (1 - J71) / hours_in_year</f>
        <v>4.2268823575795929E-2</v>
      </c>
      <c r="K214" s="267">
        <f t="shared" si="64"/>
        <v>4.2268823575795929E-2</v>
      </c>
      <c r="L214" s="267">
        <f t="shared" si="64"/>
        <v>5.1249850895844259E-2</v>
      </c>
      <c r="M214" s="267">
        <f t="shared" si="64"/>
        <v>5.1249850895844259E-2</v>
      </c>
      <c r="N214" s="267">
        <f t="shared" si="64"/>
        <v>4.2520236237346069E-2</v>
      </c>
      <c r="O214" s="267">
        <f t="shared" si="64"/>
        <v>3.6394139739075217E-2</v>
      </c>
      <c r="P214" s="267">
        <f t="shared" si="64"/>
        <v>3.1272688083299985E-2</v>
      </c>
      <c r="Q214" s="267">
        <f t="shared" si="64"/>
        <v>3.649890092813373E-2</v>
      </c>
      <c r="R214" s="267">
        <f t="shared" si="64"/>
        <v>-3.1261847079584064E-2</v>
      </c>
      <c r="S214" s="267">
        <f t="shared" si="64"/>
        <v>-2.8679585545769569E-2</v>
      </c>
      <c r="T214" s="267">
        <f t="shared" si="64"/>
        <v>-3.1261847079584064E-2</v>
      </c>
      <c r="U214" s="267">
        <f t="shared" si="64"/>
        <v>-3.1261847079584064E-2</v>
      </c>
      <c r="V214" s="267">
        <f t="shared" si="64"/>
        <v>-2.8679585545769569E-2</v>
      </c>
      <c r="W214" s="267">
        <f t="shared" si="64"/>
        <v>-2.8679585545769569E-2</v>
      </c>
      <c r="X214" s="267">
        <f t="shared" si="64"/>
        <v>-2.8267522535054487E-2</v>
      </c>
      <c r="Y214" s="267">
        <f t="shared" si="64"/>
        <v>-2.8267522535054487E-2</v>
      </c>
      <c r="Z214" s="266"/>
      <c r="AA214" s="266"/>
    </row>
    <row r="215" spans="3:27" x14ac:dyDescent="0.25">
      <c r="E215" s="60"/>
      <c r="F215" s="254" t="s">
        <v>194</v>
      </c>
      <c r="G215" t="s">
        <v>268</v>
      </c>
      <c r="H215" s="266"/>
      <c r="I215" s="266"/>
      <c r="J215" s="267">
        <f t="shared" ref="J215:Y215" si="65">hundred * $H23 * J60 / $H48 * J110 * (1 - J72) / hours_in_year</f>
        <v>2.0664027841673316E-2</v>
      </c>
      <c r="K215" s="267">
        <f t="shared" si="65"/>
        <v>2.0664027841673316E-2</v>
      </c>
      <c r="L215" s="267">
        <f t="shared" si="65"/>
        <v>2.5054597128644839E-2</v>
      </c>
      <c r="M215" s="267">
        <f t="shared" si="65"/>
        <v>2.5054597128644839E-2</v>
      </c>
      <c r="N215" s="267">
        <f t="shared" si="65"/>
        <v>2.078693635434354E-2</v>
      </c>
      <c r="O215" s="267">
        <f t="shared" si="65"/>
        <v>1.779206169515065E-2</v>
      </c>
      <c r="P215" s="267">
        <f t="shared" si="65"/>
        <v>1.528832937776191E-2</v>
      </c>
      <c r="Q215" s="267">
        <f t="shared" si="65"/>
        <v>1.7843276466329459E-2</v>
      </c>
      <c r="R215" s="267">
        <f t="shared" si="65"/>
        <v>-1.5283029518819408E-2</v>
      </c>
      <c r="S215" s="267">
        <f t="shared" si="65"/>
        <v>-1.402063516489232E-2</v>
      </c>
      <c r="T215" s="267">
        <f t="shared" si="65"/>
        <v>-1.5283029518819408E-2</v>
      </c>
      <c r="U215" s="267">
        <f t="shared" si="65"/>
        <v>-1.5283029518819408E-2</v>
      </c>
      <c r="V215" s="267">
        <f t="shared" si="65"/>
        <v>-1.402063516489232E-2</v>
      </c>
      <c r="W215" s="267">
        <f t="shared" si="65"/>
        <v>-1.402063516489232E-2</v>
      </c>
      <c r="X215" s="267">
        <f t="shared" si="65"/>
        <v>-1.3819189257350763E-2</v>
      </c>
      <c r="Y215" s="267">
        <f t="shared" si="65"/>
        <v>-1.3819189257350763E-2</v>
      </c>
      <c r="Z215" s="266"/>
      <c r="AA215" s="266"/>
    </row>
    <row r="216" spans="3:27" x14ac:dyDescent="0.25">
      <c r="E216" s="60"/>
      <c r="F216" s="254" t="s">
        <v>195</v>
      </c>
      <c r="G216" t="s">
        <v>268</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25">
      <c r="E217" s="60"/>
      <c r="F217" s="254" t="s">
        <v>196</v>
      </c>
      <c r="G217" t="s">
        <v>268</v>
      </c>
      <c r="H217" s="266"/>
      <c r="I217" s="266"/>
      <c r="J217" s="267">
        <f t="shared" ref="J217:Y217" si="67">hundred * $H25 * J62 / $H50 * J112 * (1 - J74) / hours_in_year</f>
        <v>6.3762763397030534E-2</v>
      </c>
      <c r="K217" s="267">
        <f t="shared" si="67"/>
        <v>6.3762763397030534E-2</v>
      </c>
      <c r="L217" s="267">
        <f t="shared" si="67"/>
        <v>7.7310694747512315E-2</v>
      </c>
      <c r="M217" s="267">
        <f t="shared" si="67"/>
        <v>7.7310694747512315E-2</v>
      </c>
      <c r="N217" s="267">
        <f t="shared" si="67"/>
        <v>6.4142020842525627E-2</v>
      </c>
      <c r="O217" s="267">
        <f t="shared" si="67"/>
        <v>5.490076905168334E-2</v>
      </c>
      <c r="P217" s="267">
        <f t="shared" si="67"/>
        <v>4.717502978214945E-2</v>
      </c>
      <c r="Q217" s="267">
        <f t="shared" si="67"/>
        <v>5.5058801907723227E-2</v>
      </c>
      <c r="R217" s="267">
        <f t="shared" si="67"/>
        <v>-4.7158676065711488E-2</v>
      </c>
      <c r="S217" s="267">
        <f t="shared" si="67"/>
        <v>-4.326331969473006E-2</v>
      </c>
      <c r="T217" s="267">
        <f t="shared" si="67"/>
        <v>-4.7158676065711488E-2</v>
      </c>
      <c r="U217" s="267">
        <f t="shared" si="67"/>
        <v>-4.7158676065711488E-2</v>
      </c>
      <c r="V217" s="267">
        <f t="shared" si="67"/>
        <v>-4.326331969473006E-2</v>
      </c>
      <c r="W217" s="267">
        <f t="shared" si="67"/>
        <v>-4.326331969473006E-2</v>
      </c>
      <c r="X217" s="267">
        <f t="shared" si="67"/>
        <v>0</v>
      </c>
      <c r="Y217" s="267">
        <f t="shared" si="67"/>
        <v>0</v>
      </c>
      <c r="Z217" s="266"/>
      <c r="AA217" s="266"/>
    </row>
    <row r="218" spans="3:27" x14ac:dyDescent="0.25">
      <c r="E218" s="60"/>
      <c r="F218" s="254" t="s">
        <v>197</v>
      </c>
      <c r="G218" t="s">
        <v>268</v>
      </c>
      <c r="H218" s="266"/>
      <c r="I218" s="266"/>
      <c r="J218" s="267">
        <f t="shared" ref="J218:Y218" si="68">hundred * $H26 * J63 / $H51 * J113 * (1 - J75) / hours_in_year</f>
        <v>2.2525060521857754E-2</v>
      </c>
      <c r="K218" s="267">
        <f t="shared" si="68"/>
        <v>2.2525060521857754E-2</v>
      </c>
      <c r="L218" s="267">
        <f t="shared" si="68"/>
        <v>2.7311050923738426E-2</v>
      </c>
      <c r="M218" s="267">
        <f t="shared" si="68"/>
        <v>2.7311050923738426E-2</v>
      </c>
      <c r="N218" s="267">
        <f t="shared" si="68"/>
        <v>2.2659038355596687E-2</v>
      </c>
      <c r="O218" s="267">
        <f t="shared" si="68"/>
        <v>1.9394440888415031E-2</v>
      </c>
      <c r="P218" s="267">
        <f t="shared" si="68"/>
        <v>0</v>
      </c>
      <c r="Q218" s="267">
        <f t="shared" si="68"/>
        <v>1.9450268137064457E-2</v>
      </c>
      <c r="R218" s="267">
        <f t="shared" si="68"/>
        <v>-1.6659441591270585E-2</v>
      </c>
      <c r="S218" s="267">
        <f t="shared" si="68"/>
        <v>0</v>
      </c>
      <c r="T218" s="267">
        <f t="shared" si="68"/>
        <v>-1.6659441591270585E-2</v>
      </c>
      <c r="U218" s="267">
        <f t="shared" si="68"/>
        <v>-1.6659441591270585E-2</v>
      </c>
      <c r="V218" s="267">
        <f t="shared" si="68"/>
        <v>0</v>
      </c>
      <c r="W218" s="267">
        <f t="shared" si="68"/>
        <v>0</v>
      </c>
      <c r="X218" s="267">
        <f t="shared" si="68"/>
        <v>0</v>
      </c>
      <c r="Y218" s="267">
        <f t="shared" si="68"/>
        <v>0</v>
      </c>
      <c r="Z218" s="266"/>
      <c r="AA218" s="266"/>
    </row>
    <row r="219" spans="3:27" x14ac:dyDescent="0.25">
      <c r="E219" s="60"/>
      <c r="F219" s="256" t="s">
        <v>198</v>
      </c>
      <c r="G219" s="91" t="s">
        <v>268</v>
      </c>
      <c r="H219" s="268"/>
      <c r="I219" s="268"/>
      <c r="J219" s="269">
        <f t="shared" ref="J219:Y219" si="69">hundred * $H27 * J64 / $H52 * J114 * (1 - J76) / hours_in_year</f>
        <v>4.529644179990891E-2</v>
      </c>
      <c r="K219" s="269">
        <f t="shared" si="69"/>
        <v>4.529644179990891E-2</v>
      </c>
      <c r="L219" s="269">
        <f t="shared" si="69"/>
        <v>5.4920759367595114E-2</v>
      </c>
      <c r="M219" s="269">
        <f t="shared" si="69"/>
        <v>5.4920759367595114E-2</v>
      </c>
      <c r="N219" s="269">
        <f t="shared" si="69"/>
        <v>4.5565862569835122E-2</v>
      </c>
      <c r="O219" s="269">
        <f t="shared" si="69"/>
        <v>0</v>
      </c>
      <c r="P219" s="269">
        <f t="shared" si="69"/>
        <v>0</v>
      </c>
      <c r="Q219" s="269">
        <f t="shared" si="69"/>
        <v>3.9113232917098513E-2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619</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188</v>
      </c>
      <c r="G222" s="90" t="s">
        <v>268</v>
      </c>
      <c r="H222" s="264"/>
      <c r="I222" s="264"/>
      <c r="J222" s="265">
        <f t="shared" ref="J222:Y222" si="70">hundred * $H30 * J55 / $H43 * J105 / hours_in_year</f>
        <v>9.5631075865621942E-3</v>
      </c>
      <c r="K222" s="265">
        <f t="shared" si="70"/>
        <v>9.5631075865621942E-3</v>
      </c>
      <c r="L222" s="265">
        <f t="shared" si="70"/>
        <v>1.1595019601938395E-2</v>
      </c>
      <c r="M222" s="265">
        <f t="shared" si="70"/>
        <v>1.1595019601938395E-2</v>
      </c>
      <c r="N222" s="265">
        <f t="shared" si="70"/>
        <v>9.619988429879647E-3</v>
      </c>
      <c r="O222" s="265">
        <f t="shared" si="70"/>
        <v>8.2339900759492834E-3</v>
      </c>
      <c r="P222" s="265">
        <f t="shared" si="70"/>
        <v>7.0752875372867008E-3</v>
      </c>
      <c r="Q222" s="265">
        <f t="shared" si="70"/>
        <v>8.25769176521126E-3</v>
      </c>
      <c r="R222" s="265">
        <f t="shared" si="70"/>
        <v>-7.0728348150173974E-3</v>
      </c>
      <c r="S222" s="265">
        <f t="shared" si="70"/>
        <v>-6.4886112011231659E-3</v>
      </c>
      <c r="T222" s="265">
        <f t="shared" si="70"/>
        <v>-7.0728348150173974E-3</v>
      </c>
      <c r="U222" s="265">
        <f t="shared" si="70"/>
        <v>-7.0728348150173974E-3</v>
      </c>
      <c r="V222" s="265">
        <f t="shared" si="70"/>
        <v>-6.4886112011231659E-3</v>
      </c>
      <c r="W222" s="265">
        <f t="shared" si="70"/>
        <v>-6.4886112011231659E-3</v>
      </c>
      <c r="X222" s="265">
        <f t="shared" si="70"/>
        <v>-6.395384028693234E-3</v>
      </c>
      <c r="Y222" s="265">
        <f t="shared" si="70"/>
        <v>-6.395384028693234E-3</v>
      </c>
      <c r="Z222" s="266"/>
      <c r="AA222" s="266"/>
    </row>
    <row r="223" spans="3:27" x14ac:dyDescent="0.25">
      <c r="C223" s="60"/>
      <c r="E223" s="60"/>
      <c r="F223" s="254" t="s">
        <v>190</v>
      </c>
      <c r="G223" t="s">
        <v>268</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191</v>
      </c>
      <c r="G224" t="s">
        <v>268</v>
      </c>
      <c r="H224" s="266"/>
      <c r="I224" s="266"/>
      <c r="J224" s="267">
        <f t="shared" ref="J224:Y224" si="72">hundred * $H32 * J57 / $H45 * J107 / hours_in_year</f>
        <v>7.0880874413180315E-3</v>
      </c>
      <c r="K224" s="267">
        <f t="shared" si="72"/>
        <v>7.0880874413180315E-3</v>
      </c>
      <c r="L224" s="267">
        <f t="shared" si="72"/>
        <v>8.5941219502562206E-3</v>
      </c>
      <c r="M224" s="267">
        <f t="shared" si="72"/>
        <v>8.5941219502562206E-3</v>
      </c>
      <c r="N224" s="267">
        <f t="shared" si="72"/>
        <v>7.1302469995495592E-3</v>
      </c>
      <c r="O224" s="267">
        <f t="shared" si="72"/>
        <v>6.1029577593881522E-3</v>
      </c>
      <c r="P224" s="267">
        <f t="shared" si="72"/>
        <v>5.2441380882534009E-3</v>
      </c>
      <c r="Q224" s="267">
        <f t="shared" si="72"/>
        <v>6.120525233608759E-3</v>
      </c>
      <c r="R224" s="267">
        <f t="shared" si="72"/>
        <v>-5.2423201530522401E-3</v>
      </c>
      <c r="S224" s="267">
        <f t="shared" si="72"/>
        <v>-4.809298980480263E-3</v>
      </c>
      <c r="T224" s="267">
        <f t="shared" si="72"/>
        <v>-5.2423201530522401E-3</v>
      </c>
      <c r="U224" s="267">
        <f t="shared" si="72"/>
        <v>-5.2423201530522401E-3</v>
      </c>
      <c r="V224" s="267">
        <f t="shared" si="72"/>
        <v>-4.809298980480263E-3</v>
      </c>
      <c r="W224" s="267">
        <f t="shared" si="72"/>
        <v>-4.809298980480263E-3</v>
      </c>
      <c r="X224" s="267">
        <f t="shared" si="72"/>
        <v>-4.7401998571975001E-3</v>
      </c>
      <c r="Y224" s="267">
        <f t="shared" si="72"/>
        <v>-4.7401998571975001E-3</v>
      </c>
      <c r="Z224" s="266"/>
      <c r="AA224" s="266"/>
    </row>
    <row r="225" spans="2:27" x14ac:dyDescent="0.25">
      <c r="C225" s="60"/>
      <c r="E225" s="60"/>
      <c r="F225" s="254" t="s">
        <v>192</v>
      </c>
      <c r="G225" t="s">
        <v>268</v>
      </c>
      <c r="H225" s="266"/>
      <c r="I225" s="266"/>
      <c r="J225" s="267">
        <f t="shared" ref="J225:Y225" si="73">hundred * $H33 * J58 / $H46 * J108 / hours_in_year</f>
        <v>2.8365502722392652E-3</v>
      </c>
      <c r="K225" s="267">
        <f t="shared" si="73"/>
        <v>2.8365502722392652E-3</v>
      </c>
      <c r="L225" s="267">
        <f t="shared" si="73"/>
        <v>3.4392435419961041E-3</v>
      </c>
      <c r="M225" s="267">
        <f t="shared" si="73"/>
        <v>3.4392435419961041E-3</v>
      </c>
      <c r="N225" s="267">
        <f t="shared" si="73"/>
        <v>2.8534219188391676E-3</v>
      </c>
      <c r="O225" s="267">
        <f t="shared" si="73"/>
        <v>2.4423155946053268E-3</v>
      </c>
      <c r="P225" s="267">
        <f t="shared" si="73"/>
        <v>2.0986283599133231E-3</v>
      </c>
      <c r="Q225" s="267">
        <f t="shared" si="73"/>
        <v>2.4493458441889509E-3</v>
      </c>
      <c r="R225" s="267">
        <f t="shared" si="73"/>
        <v>-2.0979008484890557E-3</v>
      </c>
      <c r="S225" s="267">
        <f t="shared" si="73"/>
        <v>-1.9246120262061287E-3</v>
      </c>
      <c r="T225" s="267">
        <f t="shared" si="73"/>
        <v>-2.0979008484890557E-3</v>
      </c>
      <c r="U225" s="267">
        <f t="shared" si="73"/>
        <v>-2.0979008484890557E-3</v>
      </c>
      <c r="V225" s="267">
        <f t="shared" si="73"/>
        <v>-1.9246120262061287E-3</v>
      </c>
      <c r="W225" s="267">
        <f t="shared" si="73"/>
        <v>-1.9246120262061287E-3</v>
      </c>
      <c r="X225" s="267">
        <f t="shared" si="73"/>
        <v>-1.8969595545652355E-3</v>
      </c>
      <c r="Y225" s="267">
        <f t="shared" si="73"/>
        <v>-1.8969595545652355E-3</v>
      </c>
      <c r="Z225" s="266"/>
      <c r="AA225" s="266"/>
    </row>
    <row r="226" spans="2:27" x14ac:dyDescent="0.25">
      <c r="C226" s="60"/>
      <c r="E226" s="60"/>
      <c r="F226" s="254" t="s">
        <v>193</v>
      </c>
      <c r="G226" t="s">
        <v>268</v>
      </c>
      <c r="H226" s="266"/>
      <c r="I226" s="266"/>
      <c r="J226" s="267">
        <f t="shared" ref="J226:Y226" si="74">hundred * $H34 * J59 / $H47 * J109 / hours_in_year</f>
        <v>1.8739772655810207E-2</v>
      </c>
      <c r="K226" s="267">
        <f t="shared" si="74"/>
        <v>1.8739772655810207E-2</v>
      </c>
      <c r="L226" s="267">
        <f t="shared" si="74"/>
        <v>2.2721487687257166E-2</v>
      </c>
      <c r="M226" s="267">
        <f t="shared" si="74"/>
        <v>2.2721487687257166E-2</v>
      </c>
      <c r="N226" s="267">
        <f t="shared" si="74"/>
        <v>1.8851235803389731E-2</v>
      </c>
      <c r="O226" s="267">
        <f t="shared" si="74"/>
        <v>1.6135246903455251E-2</v>
      </c>
      <c r="P226" s="267">
        <f t="shared" si="74"/>
        <v>1.3864664673390349E-2</v>
      </c>
      <c r="Q226" s="267">
        <f t="shared" si="74"/>
        <v>1.618169250330944E-2</v>
      </c>
      <c r="R226" s="267">
        <f t="shared" si="74"/>
        <v>-1.3859858342676345E-2</v>
      </c>
      <c r="S226" s="267">
        <f t="shared" si="74"/>
        <v>-1.271501942860642E-2</v>
      </c>
      <c r="T226" s="267">
        <f t="shared" si="74"/>
        <v>-1.3859858342676345E-2</v>
      </c>
      <c r="U226" s="267">
        <f t="shared" si="74"/>
        <v>-1.3859858342676345E-2</v>
      </c>
      <c r="V226" s="267">
        <f t="shared" si="74"/>
        <v>-1.271501942860642E-2</v>
      </c>
      <c r="W226" s="267">
        <f t="shared" si="74"/>
        <v>-1.271501942860642E-2</v>
      </c>
      <c r="X226" s="267">
        <f t="shared" si="74"/>
        <v>-1.253233236785058E-2</v>
      </c>
      <c r="Y226" s="267">
        <f t="shared" si="74"/>
        <v>-1.253233236785058E-2</v>
      </c>
      <c r="Z226" s="266"/>
      <c r="AA226" s="266"/>
    </row>
    <row r="227" spans="2:27" x14ac:dyDescent="0.25">
      <c r="C227" s="60"/>
      <c r="E227" s="60"/>
      <c r="F227" s="254" t="s">
        <v>194</v>
      </c>
      <c r="G227" t="s">
        <v>268</v>
      </c>
      <c r="H227" s="266"/>
      <c r="I227" s="266"/>
      <c r="J227" s="267">
        <f t="shared" ref="J227:Y227" si="75">hundred * $H35 * J60 / $H48 * J110 / hours_in_year</f>
        <v>9.1613428325464999E-3</v>
      </c>
      <c r="K227" s="267">
        <f t="shared" si="75"/>
        <v>9.1613428325464999E-3</v>
      </c>
      <c r="L227" s="267">
        <f t="shared" si="75"/>
        <v>1.1107890271225239E-2</v>
      </c>
      <c r="M227" s="267">
        <f t="shared" si="75"/>
        <v>1.1107890271225239E-2</v>
      </c>
      <c r="N227" s="267">
        <f t="shared" si="75"/>
        <v>9.2158340009787978E-3</v>
      </c>
      <c r="O227" s="267">
        <f t="shared" si="75"/>
        <v>7.8880641342522657E-3</v>
      </c>
      <c r="P227" s="267">
        <f t="shared" si="75"/>
        <v>6.778040943407255E-3</v>
      </c>
      <c r="Q227" s="267">
        <f t="shared" si="75"/>
        <v>7.9107700694384959E-3</v>
      </c>
      <c r="R227" s="267">
        <f t="shared" si="75"/>
        <v>-6.7756912647720709E-3</v>
      </c>
      <c r="S227" s="267">
        <f t="shared" si="75"/>
        <v>-6.2160120214604948E-3</v>
      </c>
      <c r="T227" s="267">
        <f t="shared" si="75"/>
        <v>-6.7756912647720709E-3</v>
      </c>
      <c r="U227" s="267">
        <f t="shared" si="75"/>
        <v>-6.7756912647720709E-3</v>
      </c>
      <c r="V227" s="267">
        <f t="shared" si="75"/>
        <v>-6.2160120214604948E-3</v>
      </c>
      <c r="W227" s="267">
        <f t="shared" si="75"/>
        <v>-6.2160120214604948E-3</v>
      </c>
      <c r="X227" s="267">
        <f t="shared" si="75"/>
        <v>-6.1267015039107734E-3</v>
      </c>
      <c r="Y227" s="267">
        <f t="shared" si="75"/>
        <v>-6.1267015039107734E-3</v>
      </c>
      <c r="Z227" s="266"/>
      <c r="AA227" s="266"/>
    </row>
    <row r="228" spans="2:27" x14ac:dyDescent="0.25">
      <c r="C228" s="60"/>
      <c r="E228" s="60"/>
      <c r="F228" s="254" t="s">
        <v>195</v>
      </c>
      <c r="G228" t="s">
        <v>268</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25">
      <c r="C229" s="60"/>
      <c r="E229" s="60"/>
      <c r="F229" s="254" t="s">
        <v>196</v>
      </c>
      <c r="G229" t="s">
        <v>268</v>
      </c>
      <c r="H229" s="266"/>
      <c r="I229" s="266"/>
      <c r="J229" s="267">
        <f t="shared" ref="J229:Y229" si="77">hundred * $H37 * J62 / $H50 * J112 / hours_in_year</f>
        <v>2.8269054799310658E-2</v>
      </c>
      <c r="K229" s="267">
        <f t="shared" si="77"/>
        <v>2.8269054799310658E-2</v>
      </c>
      <c r="L229" s="267">
        <f t="shared" si="77"/>
        <v>3.4275494817904713E-2</v>
      </c>
      <c r="M229" s="267">
        <f t="shared" si="77"/>
        <v>3.4275494817904713E-2</v>
      </c>
      <c r="N229" s="267">
        <f t="shared" si="77"/>
        <v>2.8437197598313733E-2</v>
      </c>
      <c r="O229" s="267">
        <f t="shared" si="77"/>
        <v>2.4340112726648419E-2</v>
      </c>
      <c r="P229" s="267">
        <f t="shared" si="77"/>
        <v>2.0914926377434907E-2</v>
      </c>
      <c r="Q229" s="267">
        <f t="shared" si="77"/>
        <v>2.4410176181076607E-2</v>
      </c>
      <c r="R229" s="267">
        <f t="shared" si="77"/>
        <v>-2.0907675999917889E-2</v>
      </c>
      <c r="S229" s="267">
        <f t="shared" si="77"/>
        <v>-1.9180679915566146E-2</v>
      </c>
      <c r="T229" s="267">
        <f t="shared" si="77"/>
        <v>-2.0907675999917889E-2</v>
      </c>
      <c r="U229" s="267">
        <f t="shared" si="77"/>
        <v>-2.0907675999917889E-2</v>
      </c>
      <c r="V229" s="267">
        <f t="shared" si="77"/>
        <v>-1.9180679915566146E-2</v>
      </c>
      <c r="W229" s="267">
        <f t="shared" si="77"/>
        <v>-1.9180679915566146E-2</v>
      </c>
      <c r="X229" s="267">
        <f t="shared" si="77"/>
        <v>0</v>
      </c>
      <c r="Y229" s="267">
        <f t="shared" si="77"/>
        <v>0</v>
      </c>
      <c r="Z229" s="266"/>
      <c r="AA229" s="266"/>
    </row>
    <row r="230" spans="2:27" x14ac:dyDescent="0.25">
      <c r="C230" s="60"/>
      <c r="E230" s="60"/>
      <c r="F230" s="254" t="s">
        <v>197</v>
      </c>
      <c r="G230" t="s">
        <v>268</v>
      </c>
      <c r="H230" s="266"/>
      <c r="I230" s="266"/>
      <c r="J230" s="267">
        <f t="shared" ref="J230:Y230" si="78">hundred * $H38 * J63 / $H51 * J113 / hours_in_year</f>
        <v>9.9864268159971289E-3</v>
      </c>
      <c r="K230" s="267">
        <f t="shared" si="78"/>
        <v>9.9864268159971289E-3</v>
      </c>
      <c r="L230" s="267">
        <f t="shared" si="78"/>
        <v>1.2108283174343738E-2</v>
      </c>
      <c r="M230" s="267">
        <f t="shared" si="78"/>
        <v>1.2108283174343738E-2</v>
      </c>
      <c r="N230" s="267">
        <f t="shared" si="78"/>
        <v>1.0045825539046125E-2</v>
      </c>
      <c r="O230" s="267">
        <f t="shared" si="78"/>
        <v>8.5984747690864456E-3</v>
      </c>
      <c r="P230" s="267">
        <f t="shared" si="78"/>
        <v>0</v>
      </c>
      <c r="Q230" s="267">
        <f t="shared" si="78"/>
        <v>8.6232256341256305E-3</v>
      </c>
      <c r="R230" s="267">
        <f t="shared" si="78"/>
        <v>-7.3859199661267423E-3</v>
      </c>
      <c r="S230" s="267">
        <f t="shared" si="78"/>
        <v>0</v>
      </c>
      <c r="T230" s="267">
        <f t="shared" si="78"/>
        <v>-7.3859199661267423E-3</v>
      </c>
      <c r="U230" s="267">
        <f t="shared" si="78"/>
        <v>-7.3859199661267423E-3</v>
      </c>
      <c r="V230" s="267">
        <f t="shared" si="78"/>
        <v>0</v>
      </c>
      <c r="W230" s="267">
        <f t="shared" si="78"/>
        <v>0</v>
      </c>
      <c r="X230" s="267">
        <f t="shared" si="78"/>
        <v>0</v>
      </c>
      <c r="Y230" s="267">
        <f t="shared" si="78"/>
        <v>0</v>
      </c>
      <c r="Z230" s="266"/>
      <c r="AA230" s="266"/>
    </row>
    <row r="231" spans="2:27" x14ac:dyDescent="0.25">
      <c r="C231" s="60"/>
      <c r="E231" s="60"/>
      <c r="F231" s="256" t="s">
        <v>198</v>
      </c>
      <c r="G231" s="91" t="s">
        <v>268</v>
      </c>
      <c r="H231" s="268"/>
      <c r="I231" s="268"/>
      <c r="J231" s="269">
        <f t="shared" ref="J231:Y231" si="79">hundred * $H39 * J64 / $H52 * J114 / hours_in_year</f>
        <v>2.0082059296618309E-2</v>
      </c>
      <c r="K231" s="269">
        <f t="shared" si="79"/>
        <v>2.0082059296618309E-2</v>
      </c>
      <c r="L231" s="269">
        <f t="shared" si="79"/>
        <v>2.4348975381054509E-2</v>
      </c>
      <c r="M231" s="269">
        <f t="shared" si="79"/>
        <v>2.4348975381054509E-2</v>
      </c>
      <c r="N231" s="269">
        <f t="shared" si="79"/>
        <v>2.0201506292064419E-2</v>
      </c>
      <c r="O231" s="269">
        <f t="shared" si="79"/>
        <v>0</v>
      </c>
      <c r="P231" s="269">
        <f t="shared" si="79"/>
        <v>0</v>
      </c>
      <c r="Q231" s="269">
        <f t="shared" si="79"/>
        <v>1.7340749770000587E-2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230</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626</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231</v>
      </c>
      <c r="G237" s="6" t="s">
        <v>54</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627</v>
      </c>
      <c r="G239" s="6" t="s">
        <v>54</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628</v>
      </c>
      <c r="G241" s="6" t="s">
        <v>54</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105</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629</v>
      </c>
      <c r="D9"/>
      <c r="F9" s="71"/>
    </row>
    <row r="10" spans="1:27" x14ac:dyDescent="0.25">
      <c r="C10" s="71" t="s">
        <v>630</v>
      </c>
      <c r="D10"/>
      <c r="E10"/>
      <c r="F10" s="71"/>
    </row>
    <row r="11" spans="1:27" x14ac:dyDescent="0.25">
      <c r="C11" s="71" t="s">
        <v>631</v>
      </c>
    </row>
    <row r="13" spans="1:27" x14ac:dyDescent="0.25">
      <c r="B13" s="70" t="s">
        <v>632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633</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565</v>
      </c>
      <c r="F19" s="89"/>
      <c r="G19" s="89" t="s">
        <v>166</v>
      </c>
      <c r="H19" s="242">
        <f>'Unit costs'!$H$121</f>
        <v>5.7482322471779264E-2</v>
      </c>
      <c r="I19" s="3"/>
      <c r="J19" s="3"/>
      <c r="K19" s="3"/>
      <c r="L19" s="3"/>
      <c r="M19" s="3"/>
      <c r="N19" s="3"/>
      <c r="P19" s="3"/>
    </row>
    <row r="20" spans="2:27" x14ac:dyDescent="0.25">
      <c r="C20" s="100"/>
      <c r="E20" t="s">
        <v>595</v>
      </c>
      <c r="G20" t="s">
        <v>355</v>
      </c>
      <c r="H20" s="163">
        <f>'Unit costs'!$H$122</f>
        <v>168740189.88696608</v>
      </c>
    </row>
    <row r="21" spans="2:27" x14ac:dyDescent="0.25">
      <c r="C21" s="100"/>
      <c r="E21" t="s">
        <v>634</v>
      </c>
      <c r="G21" t="s">
        <v>355</v>
      </c>
      <c r="H21" s="163">
        <f>'Unit costs'!$H$123</f>
        <v>6621251275.8091002</v>
      </c>
    </row>
    <row r="22" spans="2:27" x14ac:dyDescent="0.25">
      <c r="D22" s="100"/>
      <c r="E22"/>
    </row>
    <row r="23" spans="2:27" x14ac:dyDescent="0.25">
      <c r="D23"/>
      <c r="E23" s="60" t="s">
        <v>635</v>
      </c>
      <c r="H23" s="92"/>
      <c r="J23" s="92"/>
      <c r="K23" s="92"/>
      <c r="L23" s="92"/>
      <c r="M23" s="92"/>
      <c r="N23" s="92"/>
    </row>
    <row r="24" spans="2:27" x14ac:dyDescent="0.25">
      <c r="D24"/>
      <c r="E24" s="71" t="s">
        <v>636</v>
      </c>
      <c r="H24" s="92"/>
    </row>
    <row r="25" spans="2:27" x14ac:dyDescent="0.25">
      <c r="E25" s="100"/>
      <c r="F25" s="90" t="s">
        <v>374</v>
      </c>
      <c r="G25" s="90" t="s">
        <v>260</v>
      </c>
      <c r="H25" s="236"/>
      <c r="I25" s="90"/>
      <c r="J25" s="167">
        <f>'Inputs by customer type'!J187</f>
        <v>1526</v>
      </c>
      <c r="K25" s="167">
        <f>'Inputs by customer type'!K187</f>
        <v>0</v>
      </c>
      <c r="L25" s="167">
        <f>'Inputs by customer type'!L187</f>
        <v>1428</v>
      </c>
      <c r="M25" s="167">
        <f>'Inputs by customer type'!M187</f>
        <v>0</v>
      </c>
      <c r="N25" s="167">
        <f>'Inputs by customer type'!N187</f>
        <v>2361</v>
      </c>
      <c r="O25" s="167">
        <f>'Inputs by customer type'!O187</f>
        <v>2361</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375</v>
      </c>
      <c r="G26" t="s">
        <v>260</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61821</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13738.9272</v>
      </c>
      <c r="Y26" s="163">
        <f>'Inputs by customer type'!Y188</f>
        <v>13738.9272</v>
      </c>
    </row>
    <row r="27" spans="2:27" x14ac:dyDescent="0.25">
      <c r="E27" s="100"/>
      <c r="F27" s="91" t="s">
        <v>550</v>
      </c>
      <c r="G27" s="91" t="s">
        <v>263</v>
      </c>
      <c r="H27" s="91"/>
      <c r="I27" s="91"/>
      <c r="J27" s="116"/>
      <c r="K27" s="116"/>
      <c r="L27" s="116"/>
      <c r="M27" s="116"/>
      <c r="N27" s="116"/>
      <c r="O27" s="116"/>
      <c r="P27" s="116"/>
      <c r="Q27" s="168">
        <f>'Inputs by customer type'!Q190</f>
        <v>0</v>
      </c>
      <c r="R27" s="116"/>
      <c r="S27" s="116"/>
      <c r="T27" s="116"/>
      <c r="U27" s="116"/>
      <c r="V27" s="116"/>
      <c r="W27" s="116"/>
      <c r="X27" s="116"/>
      <c r="Y27" s="116"/>
    </row>
    <row r="28" spans="2:27" x14ac:dyDescent="0.25">
      <c r="D28" s="100"/>
      <c r="E28"/>
    </row>
    <row r="29" spans="2:27" x14ac:dyDescent="0.25">
      <c r="B29" s="70" t="s">
        <v>637</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638</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639</v>
      </c>
      <c r="G35" t="s">
        <v>276</v>
      </c>
      <c r="H35" s="141">
        <f>IF(H21 &lt;&gt; 0, H20  /H21, 0)</f>
        <v>2.5484637700348634E-2</v>
      </c>
      <c r="I35" t="s">
        <v>153</v>
      </c>
      <c r="J35" s="92"/>
      <c r="K35" s="92"/>
      <c r="L35" s="92"/>
      <c r="M35" s="92"/>
      <c r="N35" s="92"/>
      <c r="O35" s="92"/>
      <c r="P35" s="92"/>
      <c r="Q35" s="92"/>
      <c r="R35" s="92"/>
      <c r="S35" s="92"/>
      <c r="T35" s="92"/>
      <c r="U35" s="92"/>
      <c r="V35" s="92"/>
      <c r="W35" s="92"/>
      <c r="X35" s="92"/>
      <c r="Y35" s="92"/>
      <c r="AA35" t="s">
        <v>640</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641</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642</v>
      </c>
      <c r="H41" s="92"/>
      <c r="I41" t="s">
        <v>153</v>
      </c>
      <c r="J41" s="92"/>
      <c r="K41" s="92"/>
      <c r="L41" s="92"/>
      <c r="M41" s="92"/>
      <c r="N41" s="92"/>
      <c r="O41" s="92"/>
      <c r="P41" s="92"/>
      <c r="Q41" s="92"/>
      <c r="R41" s="92"/>
      <c r="S41" s="92"/>
      <c r="T41" s="92"/>
      <c r="U41" s="92"/>
      <c r="V41" s="92"/>
      <c r="W41" s="92"/>
      <c r="X41" s="92"/>
      <c r="Y41" s="92"/>
      <c r="AA41" t="s">
        <v>643</v>
      </c>
    </row>
    <row r="42" spans="2:27" x14ac:dyDescent="0.25">
      <c r="D42"/>
      <c r="E42" s="100"/>
      <c r="F42" s="90" t="s">
        <v>374</v>
      </c>
      <c r="G42" s="90" t="s">
        <v>269</v>
      </c>
      <c r="H42" s="236"/>
      <c r="I42" s="90"/>
      <c r="J42" s="145">
        <f t="shared" ref="J42:K42" si="0">J25 * $H$35 / days_in_year * hundred</f>
        <v>10.654673186501922</v>
      </c>
      <c r="K42" s="145">
        <f t="shared" si="0"/>
        <v>0</v>
      </c>
      <c r="L42" s="145">
        <f t="shared" ref="L42:M42" si="1">L25 * $H$35 / days_in_year * hundred</f>
        <v>9.9704281194788624</v>
      </c>
      <c r="M42" s="145">
        <f t="shared" si="1"/>
        <v>0</v>
      </c>
      <c r="N42" s="145">
        <f t="shared" ref="N42:P42" si="2">N25 * $H$35 / days_in_year * hundred</f>
        <v>16.484720441239212</v>
      </c>
      <c r="O42" s="145">
        <f t="shared" si="2"/>
        <v>16.484720441239212</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375</v>
      </c>
      <c r="G43" t="s">
        <v>269</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431.6399417186995</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95.926460844785012</v>
      </c>
      <c r="Y43" s="164">
        <f t="shared" si="13"/>
        <v>95.926460844785012</v>
      </c>
    </row>
    <row r="44" spans="2:27" x14ac:dyDescent="0.25">
      <c r="D44"/>
      <c r="E44" s="100"/>
      <c r="F44" s="91" t="s">
        <v>550</v>
      </c>
      <c r="G44" s="91" t="s">
        <v>268</v>
      </c>
      <c r="H44" s="268"/>
      <c r="I44" s="268"/>
      <c r="J44" s="274"/>
      <c r="K44" s="274"/>
      <c r="L44" s="274"/>
      <c r="M44" s="274"/>
      <c r="N44" s="274"/>
      <c r="O44" s="274"/>
      <c r="P44" s="274"/>
      <c r="Q44" s="275">
        <f t="shared" ref="Q44" si="14">Q27*$H$35/ten</f>
        <v>0</v>
      </c>
      <c r="R44" s="274"/>
      <c r="S44" s="274"/>
      <c r="T44" s="274"/>
      <c r="U44" s="274"/>
      <c r="V44" s="274"/>
      <c r="W44" s="274"/>
      <c r="X44" s="274"/>
      <c r="Y44" s="274"/>
      <c r="Z44" s="266"/>
      <c r="AA44" s="266"/>
    </row>
    <row r="45" spans="2:27" x14ac:dyDescent="0.25">
      <c r="D45" s="100"/>
      <c r="E45"/>
    </row>
    <row r="46" spans="2:27" x14ac:dyDescent="0.25">
      <c r="B46" s="70" t="s">
        <v>230</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231</v>
      </c>
      <c r="G48" s="6" t="s">
        <v>54</v>
      </c>
      <c r="H48" s="108">
        <f t="array" ref="H48">SUM(IF(ISERROR(H19:Y45), 1))</f>
        <v>0</v>
      </c>
    </row>
    <row r="50" spans="2:27" x14ac:dyDescent="0.25">
      <c r="B50" s="70" t="s">
        <v>105</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644</v>
      </c>
      <c r="D9"/>
    </row>
    <row r="10" spans="1:27" x14ac:dyDescent="0.25">
      <c r="C10" s="71" t="s">
        <v>645</v>
      </c>
      <c r="D10"/>
      <c r="E10"/>
    </row>
    <row r="11" spans="1:27" x14ac:dyDescent="0.25">
      <c r="C11" s="71" t="s">
        <v>646</v>
      </c>
      <c r="D11"/>
      <c r="E11"/>
    </row>
    <row r="12" spans="1:27" x14ac:dyDescent="0.25">
      <c r="C12" s="71" t="s">
        <v>647</v>
      </c>
    </row>
    <row r="13" spans="1:27" x14ac:dyDescent="0.25">
      <c r="C13" s="71" t="s">
        <v>648</v>
      </c>
      <c r="D13"/>
    </row>
    <row r="15" spans="1:27" x14ac:dyDescent="0.25">
      <c r="B15" s="70" t="s">
        <v>649</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650</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618</v>
      </c>
    </row>
    <row r="22" spans="3:27" x14ac:dyDescent="0.25">
      <c r="D22"/>
      <c r="F22" s="90" t="s">
        <v>188</v>
      </c>
      <c r="G22" s="90" t="s">
        <v>268</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190</v>
      </c>
      <c r="G23" t="s">
        <v>268</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191</v>
      </c>
      <c r="G24" t="s">
        <v>268</v>
      </c>
      <c r="H24" s="266"/>
      <c r="I24" s="266"/>
      <c r="J24" s="277">
        <f>'Initial unit rates'!J154</f>
        <v>0.61797964748237277</v>
      </c>
      <c r="K24" s="277">
        <f>'Initial unit rates'!K154</f>
        <v>0.61797964748237277</v>
      </c>
      <c r="L24" s="277">
        <f>'Initial unit rates'!L154</f>
        <v>0.74928427410205323</v>
      </c>
      <c r="M24" s="277">
        <f>'Initial unit rates'!M154</f>
        <v>0.74928427410205323</v>
      </c>
      <c r="N24" s="277">
        <f>'Initial unit rates'!N154</f>
        <v>0.62165535678331307</v>
      </c>
      <c r="O24" s="277">
        <f>'Initial unit rates'!O154</f>
        <v>0.53209045683629275</v>
      </c>
      <c r="P24" s="277">
        <f>'Initial unit rates'!P154</f>
        <v>0.45721368901807707</v>
      </c>
      <c r="Q24" s="277">
        <f>'Initial unit rates'!Q154</f>
        <v>1.5561344595138635</v>
      </c>
      <c r="R24" s="277">
        <f>'Initial unit rates'!R154</f>
        <v>-0.4570551911208573</v>
      </c>
      <c r="S24" s="277">
        <f>'Initial unit rates'!S154</f>
        <v>-0.41930195037800977</v>
      </c>
      <c r="T24" s="277">
        <f>'Initial unit rates'!T154</f>
        <v>-0.4570551911208573</v>
      </c>
      <c r="U24" s="277">
        <f>'Initial unit rates'!U154</f>
        <v>-0.4570551911208573</v>
      </c>
      <c r="V24" s="277">
        <f>'Initial unit rates'!V154</f>
        <v>-0.41930195037800977</v>
      </c>
      <c r="W24" s="277">
        <f>'Initial unit rates'!W154</f>
        <v>-0.41930195037800977</v>
      </c>
      <c r="X24" s="277">
        <f>'Initial unit rates'!X154</f>
        <v>-0.41327749706798078</v>
      </c>
      <c r="Y24" s="277">
        <f>'Initial unit rates'!Y154</f>
        <v>-0.41327749706798078</v>
      </c>
      <c r="Z24" s="266"/>
      <c r="AA24" s="266"/>
    </row>
    <row r="25" spans="3:27" x14ac:dyDescent="0.25">
      <c r="D25"/>
      <c r="F25" t="s">
        <v>192</v>
      </c>
      <c r="G25" t="s">
        <v>268</v>
      </c>
      <c r="H25" s="266"/>
      <c r="I25" s="266"/>
      <c r="J25" s="277">
        <f>'Initial unit rates'!J155</f>
        <v>0.24730653392990481</v>
      </c>
      <c r="K25" s="277">
        <f>'Initial unit rates'!K155</f>
        <v>0.24730653392990481</v>
      </c>
      <c r="L25" s="277">
        <f>'Initial unit rates'!L155</f>
        <v>0.29985275002385747</v>
      </c>
      <c r="M25" s="277">
        <f>'Initial unit rates'!M155</f>
        <v>0.29985275002385747</v>
      </c>
      <c r="N25" s="277">
        <f>'Initial unit rates'!N155</f>
        <v>0.24877749973056312</v>
      </c>
      <c r="O25" s="277">
        <f>'Initial unit rates'!O155</f>
        <v>0.21293491970723297</v>
      </c>
      <c r="P25" s="277">
        <f>'Initial unit rates'!P155</f>
        <v>0.18297031812781714</v>
      </c>
      <c r="Q25" s="277">
        <f>'Initial unit rates'!Q155</f>
        <v>0.62274254674744223</v>
      </c>
      <c r="R25" s="277">
        <f>'Initial unit rates'!R155</f>
        <v>-0.18290688955738393</v>
      </c>
      <c r="S25" s="277">
        <f>'Initial unit rates'!S155</f>
        <v>-0.16779858760800426</v>
      </c>
      <c r="T25" s="277">
        <f>'Initial unit rates'!T155</f>
        <v>-0.18290688955738393</v>
      </c>
      <c r="U25" s="277">
        <f>'Initial unit rates'!U155</f>
        <v>-0.18290688955738393</v>
      </c>
      <c r="V25" s="277">
        <f>'Initial unit rates'!V155</f>
        <v>-0.16779858760800426</v>
      </c>
      <c r="W25" s="277">
        <f>'Initial unit rates'!W155</f>
        <v>-0.16779858760800426</v>
      </c>
      <c r="X25" s="277">
        <f>'Initial unit rates'!X155</f>
        <v>-0.16538768836076281</v>
      </c>
      <c r="Y25" s="277">
        <f>'Initial unit rates'!Y155</f>
        <v>-0.16538768836076281</v>
      </c>
      <c r="Z25" s="266"/>
      <c r="AA25" s="266"/>
    </row>
    <row r="26" spans="3:27" x14ac:dyDescent="0.25">
      <c r="D26"/>
      <c r="F26" t="s">
        <v>193</v>
      </c>
      <c r="G26" t="s">
        <v>268</v>
      </c>
      <c r="H26" s="266"/>
      <c r="I26" s="266"/>
      <c r="J26" s="277">
        <f>'Initial unit rates'!J156</f>
        <v>0.68129855196236522</v>
      </c>
      <c r="K26" s="277">
        <f>'Initial unit rates'!K156</f>
        <v>0.68129855196236522</v>
      </c>
      <c r="L26" s="277">
        <f>'Initial unit rates'!L156</f>
        <v>0.82605680143934179</v>
      </c>
      <c r="M26" s="277">
        <f>'Initial unit rates'!M156</f>
        <v>0.82605680143934179</v>
      </c>
      <c r="N26" s="277">
        <f>'Initial unit rates'!N156</f>
        <v>0.68535087866012556</v>
      </c>
      <c r="O26" s="277">
        <f>'Initial unit rates'!O156</f>
        <v>0.58660905619209736</v>
      </c>
      <c r="P26" s="277">
        <f>'Initial unit rates'!P156</f>
        <v>0.50406032874128326</v>
      </c>
      <c r="Q26" s="277">
        <f>'Initial unit rates'!Q156</f>
        <v>1.6190979626033553</v>
      </c>
      <c r="R26" s="277">
        <f>'Initial unit rates'!R156</f>
        <v>-0.50388559096746688</v>
      </c>
      <c r="S26" s="277">
        <f>'Initial unit rates'!S156</f>
        <v>-0.46226410981549687</v>
      </c>
      <c r="T26" s="277">
        <f>'Initial unit rates'!T156</f>
        <v>-0.50388559096746688</v>
      </c>
      <c r="U26" s="277">
        <f>'Initial unit rates'!U156</f>
        <v>-0.50388559096746688</v>
      </c>
      <c r="V26" s="277">
        <f>'Initial unit rates'!V156</f>
        <v>-0.46226410981549687</v>
      </c>
      <c r="W26" s="277">
        <f>'Initial unit rates'!W156</f>
        <v>-0.46226410981549687</v>
      </c>
      <c r="X26" s="277">
        <f>'Initial unit rates'!X156</f>
        <v>-0.45562238409975692</v>
      </c>
      <c r="Y26" s="277">
        <f>'Initial unit rates'!Y156</f>
        <v>-0.45562238409975692</v>
      </c>
      <c r="Z26" s="266"/>
      <c r="AA26" s="266"/>
    </row>
    <row r="27" spans="3:27" x14ac:dyDescent="0.25">
      <c r="D27"/>
      <c r="F27" t="s">
        <v>194</v>
      </c>
      <c r="G27" t="s">
        <v>268</v>
      </c>
      <c r="H27" s="266"/>
      <c r="I27" s="266"/>
      <c r="J27" s="277">
        <f>'Initial unit rates'!J157</f>
        <v>0.33306752010726931</v>
      </c>
      <c r="K27" s="277">
        <f>'Initial unit rates'!K157</f>
        <v>0.33306752010726931</v>
      </c>
      <c r="L27" s="277">
        <f>'Initial unit rates'!L157</f>
        <v>0.40383571861509376</v>
      </c>
      <c r="M27" s="277">
        <f>'Initial unit rates'!M157</f>
        <v>0.40383571861509376</v>
      </c>
      <c r="N27" s="277">
        <f>'Initial unit rates'!N157</f>
        <v>0.3350485875849557</v>
      </c>
      <c r="O27" s="277">
        <f>'Initial unit rates'!O157</f>
        <v>0.28677651384346459</v>
      </c>
      <c r="P27" s="277">
        <f>'Initial unit rates'!P157</f>
        <v>0.24642078453674462</v>
      </c>
      <c r="Q27" s="277">
        <f>'Initial unit rates'!Q157</f>
        <v>0.7915310280078518</v>
      </c>
      <c r="R27" s="277">
        <f>'Initial unit rates'!R157</f>
        <v>-0.24633536019990074</v>
      </c>
      <c r="S27" s="277">
        <f>'Initial unit rates'!S157</f>
        <v>-0.22598779969129734</v>
      </c>
      <c r="T27" s="277">
        <f>'Initial unit rates'!T157</f>
        <v>-0.24633536019990074</v>
      </c>
      <c r="U27" s="277">
        <f>'Initial unit rates'!U157</f>
        <v>-0.24633536019990074</v>
      </c>
      <c r="V27" s="277">
        <f>'Initial unit rates'!V157</f>
        <v>-0.22598779969129734</v>
      </c>
      <c r="W27" s="277">
        <f>'Initial unit rates'!W157</f>
        <v>-0.22598779969129734</v>
      </c>
      <c r="X27" s="277">
        <f>'Initial unit rates'!X157</f>
        <v>-0.22274084854630741</v>
      </c>
      <c r="Y27" s="277">
        <f>'Initial unit rates'!Y157</f>
        <v>-0.22274084854630741</v>
      </c>
      <c r="Z27" s="266"/>
      <c r="AA27" s="266"/>
    </row>
    <row r="28" spans="3:27" x14ac:dyDescent="0.25">
      <c r="D28"/>
      <c r="F28" t="s">
        <v>195</v>
      </c>
      <c r="G28" t="s">
        <v>268</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25">
      <c r="D29"/>
      <c r="F29" t="s">
        <v>196</v>
      </c>
      <c r="G29" t="s">
        <v>268</v>
      </c>
      <c r="H29" s="266"/>
      <c r="I29" s="266"/>
      <c r="J29" s="277">
        <f>'Initial unit rates'!J159</f>
        <v>1.0277427828956982</v>
      </c>
      <c r="K29" s="277">
        <f>'Initial unit rates'!K159</f>
        <v>1.0277427828956982</v>
      </c>
      <c r="L29" s="277">
        <f>'Initial unit rates'!L159</f>
        <v>1.2461114345478392</v>
      </c>
      <c r="M29" s="277">
        <f>'Initial unit rates'!M159</f>
        <v>1.2461114345478392</v>
      </c>
      <c r="N29" s="277">
        <f>'Initial unit rates'!N159</f>
        <v>1.0338557410189217</v>
      </c>
      <c r="O29" s="277">
        <f>'Initial unit rates'!O159</f>
        <v>0.88490313409030752</v>
      </c>
      <c r="P29" s="277">
        <f>'Initial unit rates'!P159</f>
        <v>0.76037790410055606</v>
      </c>
      <c r="Q29" s="277">
        <f>'Initial unit rates'!Q159</f>
        <v>2.4424185859104064</v>
      </c>
      <c r="R29" s="277">
        <f>'Initial unit rates'!R159</f>
        <v>-0.76011431116406458</v>
      </c>
      <c r="S29" s="277">
        <f>'Initial unit rates'!S159</f>
        <v>-0.69732806753539855</v>
      </c>
      <c r="T29" s="277">
        <f>'Initial unit rates'!T159</f>
        <v>-0.76011431116406458</v>
      </c>
      <c r="U29" s="277">
        <f>'Initial unit rates'!U159</f>
        <v>-0.76011431116406458</v>
      </c>
      <c r="V29" s="277">
        <f>'Initial unit rates'!V159</f>
        <v>-0.69732806753539855</v>
      </c>
      <c r="W29" s="277">
        <f>'Initial unit rates'!W159</f>
        <v>-0.69732806753539855</v>
      </c>
      <c r="X29" s="277">
        <f>'Initial unit rates'!X159</f>
        <v>0</v>
      </c>
      <c r="Y29" s="277">
        <f>'Initial unit rates'!Y159</f>
        <v>0</v>
      </c>
      <c r="Z29" s="266"/>
      <c r="AA29" s="266"/>
    </row>
    <row r="30" spans="3:27" x14ac:dyDescent="0.25">
      <c r="D30"/>
      <c r="F30" t="s">
        <v>197</v>
      </c>
      <c r="G30" t="s">
        <v>268</v>
      </c>
      <c r="H30" s="266"/>
      <c r="I30" s="266"/>
      <c r="J30" s="277">
        <f>'Initial unit rates'!J160</f>
        <v>0.36306406987853712</v>
      </c>
      <c r="K30" s="277">
        <f>'Initial unit rates'!K160</f>
        <v>0.36306406987853712</v>
      </c>
      <c r="L30" s="277">
        <f>'Initial unit rates'!L160</f>
        <v>0.44020575622474112</v>
      </c>
      <c r="M30" s="277">
        <f>'Initial unit rates'!M160</f>
        <v>0.44020575622474112</v>
      </c>
      <c r="N30" s="277">
        <f>'Initial unit rates'!N160</f>
        <v>0.36522355520127647</v>
      </c>
      <c r="O30" s="277">
        <f>'Initial unit rates'!O160</f>
        <v>0.31260402763996348</v>
      </c>
      <c r="P30" s="277">
        <f>'Initial unit rates'!P160</f>
        <v>0</v>
      </c>
      <c r="Q30" s="277">
        <f>'Initial unit rates'!Q160</f>
        <v>0.86281747428004729</v>
      </c>
      <c r="R30" s="277">
        <f>'Initial unit rates'!R160</f>
        <v>-0.26852068433561865</v>
      </c>
      <c r="S30" s="277">
        <f>'Initial unit rates'!S160</f>
        <v>0</v>
      </c>
      <c r="T30" s="277">
        <f>'Initial unit rates'!T160</f>
        <v>-0.26852068433561865</v>
      </c>
      <c r="U30" s="277">
        <f>'Initial unit rates'!U160</f>
        <v>-0.26852068433561865</v>
      </c>
      <c r="V30" s="277">
        <f>'Initial unit rates'!V160</f>
        <v>0</v>
      </c>
      <c r="W30" s="277">
        <f>'Initial unit rates'!W160</f>
        <v>0</v>
      </c>
      <c r="X30" s="277">
        <f>'Initial unit rates'!X160</f>
        <v>0</v>
      </c>
      <c r="Y30" s="277">
        <f>'Initial unit rates'!Y160</f>
        <v>0</v>
      </c>
      <c r="Z30" s="266"/>
      <c r="AA30" s="266"/>
    </row>
    <row r="31" spans="3:27" x14ac:dyDescent="0.25">
      <c r="D31"/>
      <c r="F31" t="s">
        <v>198</v>
      </c>
      <c r="G31" t="s">
        <v>268</v>
      </c>
      <c r="H31" s="266"/>
      <c r="I31" s="266"/>
      <c r="J31" s="277">
        <f>'Initial unit rates'!J161</f>
        <v>0.73009839396137943</v>
      </c>
      <c r="K31" s="277">
        <f>'Initial unit rates'!K161</f>
        <v>0.73009839396137943</v>
      </c>
      <c r="L31" s="277">
        <f>'Initial unit rates'!L161</f>
        <v>0.88522534256766305</v>
      </c>
      <c r="M31" s="277">
        <f>'Initial unit rates'!M161</f>
        <v>0.88522534256766305</v>
      </c>
      <c r="N31" s="277">
        <f>'Initial unit rates'!N161</f>
        <v>0.73444097946272802</v>
      </c>
      <c r="O31" s="277">
        <f>'Initial unit rates'!O161</f>
        <v>0</v>
      </c>
      <c r="P31" s="277">
        <f>'Initial unit rates'!P161</f>
        <v>0</v>
      </c>
      <c r="Q31" s="277">
        <f>'Initial unit rates'!Q161</f>
        <v>1.7350702107879281</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374</v>
      </c>
      <c r="G32" s="90" t="s">
        <v>268</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375</v>
      </c>
      <c r="G33" s="91" t="s">
        <v>268</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619</v>
      </c>
      <c r="J35" s="101"/>
      <c r="K35" s="101"/>
      <c r="L35" s="101"/>
      <c r="M35" s="101"/>
      <c r="N35" s="101"/>
      <c r="O35" s="101"/>
      <c r="P35" s="101"/>
      <c r="Q35" s="101"/>
      <c r="R35" s="101"/>
      <c r="S35" s="101"/>
      <c r="T35" s="101"/>
      <c r="U35" s="101"/>
      <c r="V35" s="101"/>
      <c r="W35" s="101"/>
      <c r="X35" s="101"/>
      <c r="Y35" s="101"/>
    </row>
    <row r="36" spans="4:27" x14ac:dyDescent="0.25">
      <c r="D36"/>
      <c r="F36" s="90" t="s">
        <v>188</v>
      </c>
      <c r="G36" s="90" t="s">
        <v>268</v>
      </c>
      <c r="H36" s="264"/>
      <c r="I36" s="264"/>
      <c r="J36" s="276">
        <f>'Initial unit rates'!J164</f>
        <v>0.57345052898012894</v>
      </c>
      <c r="K36" s="276">
        <f>'Initial unit rates'!K164</f>
        <v>0.57345052898012894</v>
      </c>
      <c r="L36" s="276">
        <f>'Initial unit rates'!L164</f>
        <v>0.69529387430606349</v>
      </c>
      <c r="M36" s="276">
        <f>'Initial unit rates'!M164</f>
        <v>0.69529387430606349</v>
      </c>
      <c r="N36" s="276">
        <f>'Initial unit rates'!N164</f>
        <v>0.57686138150834532</v>
      </c>
      <c r="O36" s="276">
        <f>'Initial unit rates'!O164</f>
        <v>0.49375016666184618</v>
      </c>
      <c r="P36" s="276">
        <f>'Initial unit rates'!P164</f>
        <v>0.42426871644158987</v>
      </c>
      <c r="Q36" s="276">
        <f>'Initial unit rates'!Q164</f>
        <v>1.4150190772213356</v>
      </c>
      <c r="R36" s="276">
        <f>'Initial unit rates'!R164</f>
        <v>-0.4241216392629592</v>
      </c>
      <c r="S36" s="276">
        <f>'Initial unit rates'!S164</f>
        <v>-0.38908874463139659</v>
      </c>
      <c r="T36" s="276">
        <f>'Initial unit rates'!T164</f>
        <v>-0.4241216392629592</v>
      </c>
      <c r="U36" s="276">
        <f>'Initial unit rates'!U164</f>
        <v>-0.4241216392629592</v>
      </c>
      <c r="V36" s="276">
        <f>'Initial unit rates'!V164</f>
        <v>-0.38908874463139659</v>
      </c>
      <c r="W36" s="276">
        <f>'Initial unit rates'!W164</f>
        <v>-0.38908874463139659</v>
      </c>
      <c r="X36" s="276">
        <f>'Initial unit rates'!X164</f>
        <v>-0.38349838910508344</v>
      </c>
      <c r="Y36" s="276">
        <f>'Initial unit rates'!Y164</f>
        <v>-0.38349838910508344</v>
      </c>
      <c r="Z36" s="266"/>
      <c r="AA36" s="266"/>
    </row>
    <row r="37" spans="4:27" x14ac:dyDescent="0.25">
      <c r="D37"/>
      <c r="F37" t="s">
        <v>190</v>
      </c>
      <c r="G37" t="s">
        <v>268</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191</v>
      </c>
      <c r="G38" t="s">
        <v>268</v>
      </c>
      <c r="H38" s="266"/>
      <c r="I38" s="266"/>
      <c r="J38" s="277">
        <f>'Initial unit rates'!J166</f>
        <v>0.27397966444395749</v>
      </c>
      <c r="K38" s="277">
        <f>'Initial unit rates'!K166</f>
        <v>0.27397966444395749</v>
      </c>
      <c r="L38" s="277">
        <f>'Initial unit rates'!L166</f>
        <v>0.33219322809084972</v>
      </c>
      <c r="M38" s="277">
        <f>'Initial unit rates'!M166</f>
        <v>0.33219322809084972</v>
      </c>
      <c r="N38" s="277">
        <f>'Initial unit rates'!N166</f>
        <v>0.27560928057285095</v>
      </c>
      <c r="O38" s="277">
        <f>'Initial unit rates'!O166</f>
        <v>0.23590091585014183</v>
      </c>
      <c r="P38" s="277">
        <f>'Initial unit rates'!P166</f>
        <v>0.20270449618638905</v>
      </c>
      <c r="Q38" s="277">
        <f>'Initial unit rates'!Q166</f>
        <v>0.68990815277528805</v>
      </c>
      <c r="R38" s="277">
        <f>'Initial unit rates'!R166</f>
        <v>-0.20263422655716704</v>
      </c>
      <c r="S38" s="277">
        <f>'Initial unit rates'!S166</f>
        <v>-0.18589642576949245</v>
      </c>
      <c r="T38" s="277">
        <f>'Initial unit rates'!T166</f>
        <v>-0.20263422655716704</v>
      </c>
      <c r="U38" s="277">
        <f>'Initial unit rates'!U166</f>
        <v>-0.20263422655716704</v>
      </c>
      <c r="V38" s="277">
        <f>'Initial unit rates'!V166</f>
        <v>-0.18589642576949245</v>
      </c>
      <c r="W38" s="277">
        <f>'Initial unit rates'!W166</f>
        <v>-0.18589642576949245</v>
      </c>
      <c r="X38" s="277">
        <f>'Initial unit rates'!X166</f>
        <v>-0.18322550011188474</v>
      </c>
      <c r="Y38" s="277">
        <f>'Initial unit rates'!Y166</f>
        <v>-0.18322550011188474</v>
      </c>
      <c r="Z38" s="266"/>
      <c r="AA38" s="266"/>
    </row>
    <row r="39" spans="4:27" x14ac:dyDescent="0.25">
      <c r="D39"/>
      <c r="F39" t="s">
        <v>192</v>
      </c>
      <c r="G39" t="s">
        <v>268</v>
      </c>
      <c r="H39" s="266"/>
      <c r="I39" s="266"/>
      <c r="J39" s="277">
        <f>'Initial unit rates'!J167</f>
        <v>0.10964270661170306</v>
      </c>
      <c r="K39" s="277">
        <f>'Initial unit rates'!K167</f>
        <v>0.10964270661170306</v>
      </c>
      <c r="L39" s="277">
        <f>'Initial unit rates'!L167</f>
        <v>0.13293893442741198</v>
      </c>
      <c r="M39" s="277">
        <f>'Initial unit rates'!M167</f>
        <v>0.13293893442741198</v>
      </c>
      <c r="N39" s="277">
        <f>'Initial unit rates'!N167</f>
        <v>0.11029485546177406</v>
      </c>
      <c r="O39" s="277">
        <f>'Initial unit rates'!O167</f>
        <v>9.4404141119312154E-2</v>
      </c>
      <c r="P39" s="277">
        <f>'Initial unit rates'!P167</f>
        <v>8.111941318470911E-2</v>
      </c>
      <c r="Q39" s="277">
        <f>'Initial unit rates'!Q167</f>
        <v>0.27609128340704198</v>
      </c>
      <c r="R39" s="277">
        <f>'Initial unit rates'!R167</f>
        <v>-8.1091292293488423E-2</v>
      </c>
      <c r="S39" s="277">
        <f>'Initial unit rates'!S167</f>
        <v>-7.4393066040774974E-2</v>
      </c>
      <c r="T39" s="277">
        <f>'Initial unit rates'!T167</f>
        <v>-8.1091292293488423E-2</v>
      </c>
      <c r="U39" s="277">
        <f>'Initial unit rates'!U167</f>
        <v>-8.1091292293488423E-2</v>
      </c>
      <c r="V39" s="277">
        <f>'Initial unit rates'!V167</f>
        <v>-7.4393066040774974E-2</v>
      </c>
      <c r="W39" s="277">
        <f>'Initial unit rates'!W167</f>
        <v>-7.4393066040774974E-2</v>
      </c>
      <c r="X39" s="277">
        <f>'Initial unit rates'!X167</f>
        <v>-7.3324200149384525E-2</v>
      </c>
      <c r="Y39" s="277">
        <f>'Initial unit rates'!Y167</f>
        <v>-7.3324200149384525E-2</v>
      </c>
      <c r="Z39" s="266"/>
      <c r="AA39" s="266"/>
    </row>
    <row r="40" spans="4:27" x14ac:dyDescent="0.25">
      <c r="D40"/>
      <c r="F40" t="s">
        <v>193</v>
      </c>
      <c r="G40" t="s">
        <v>268</v>
      </c>
      <c r="H40" s="266"/>
      <c r="I40" s="266"/>
      <c r="J40" s="277">
        <f>'Initial unit rates'!J168</f>
        <v>0.30205193555039728</v>
      </c>
      <c r="K40" s="277">
        <f>'Initial unit rates'!K168</f>
        <v>0.30205193555039728</v>
      </c>
      <c r="L40" s="277">
        <f>'Initial unit rates'!L168</f>
        <v>0.36623012779147424</v>
      </c>
      <c r="M40" s="277">
        <f>'Initial unit rates'!M168</f>
        <v>0.36623012779147424</v>
      </c>
      <c r="N40" s="277">
        <f>'Initial unit rates'!N168</f>
        <v>0.30384852401960138</v>
      </c>
      <c r="O40" s="277">
        <f>'Initial unit rates'!O168</f>
        <v>0.26007159463917728</v>
      </c>
      <c r="P40" s="277">
        <f>'Initial unit rates'!P168</f>
        <v>0.22347383168793897</v>
      </c>
      <c r="Q40" s="277">
        <f>'Initial unit rates'!Q168</f>
        <v>0.71782285760246745</v>
      </c>
      <c r="R40" s="277">
        <f>'Initial unit rates'!R168</f>
        <v>-0.22339636215179651</v>
      </c>
      <c r="S40" s="277">
        <f>'Initial unit rates'!S168</f>
        <v>-0.20494358707071669</v>
      </c>
      <c r="T40" s="277">
        <f>'Initial unit rates'!T168</f>
        <v>-0.22339636215179651</v>
      </c>
      <c r="U40" s="277">
        <f>'Initial unit rates'!U168</f>
        <v>-0.22339636215179651</v>
      </c>
      <c r="V40" s="277">
        <f>'Initial unit rates'!V168</f>
        <v>-0.20494358707071669</v>
      </c>
      <c r="W40" s="277">
        <f>'Initial unit rates'!W168</f>
        <v>-0.20494358707071669</v>
      </c>
      <c r="X40" s="277">
        <f>'Initial unit rates'!X168</f>
        <v>-0.20199899530245927</v>
      </c>
      <c r="Y40" s="277">
        <f>'Initial unit rates'!Y168</f>
        <v>-0.20199899530245927</v>
      </c>
      <c r="Z40" s="266"/>
      <c r="AA40" s="266"/>
    </row>
    <row r="41" spans="4:27" x14ac:dyDescent="0.25">
      <c r="D41"/>
      <c r="F41" t="s">
        <v>194</v>
      </c>
      <c r="G41" t="s">
        <v>268</v>
      </c>
      <c r="H41" s="266"/>
      <c r="I41" s="266"/>
      <c r="J41" s="277">
        <f>'Initial unit rates'!J169</f>
        <v>0.14766461608879053</v>
      </c>
      <c r="K41" s="277">
        <f>'Initial unit rates'!K169</f>
        <v>0.14766461608879053</v>
      </c>
      <c r="L41" s="277">
        <f>'Initial unit rates'!L169</f>
        <v>0.17903951226776244</v>
      </c>
      <c r="M41" s="277">
        <f>'Initial unit rates'!M169</f>
        <v>0.17903951226776244</v>
      </c>
      <c r="N41" s="277">
        <f>'Initial unit rates'!N169</f>
        <v>0.14854291718655094</v>
      </c>
      <c r="O41" s="277">
        <f>'Initial unit rates'!O169</f>
        <v>0.12714161923185585</v>
      </c>
      <c r="P41" s="277">
        <f>'Initial unit rates'!P169</f>
        <v>0.10925001192910612</v>
      </c>
      <c r="Q41" s="277">
        <f>'Initial unit rates'!Q169</f>
        <v>0.35092321621604489</v>
      </c>
      <c r="R41" s="277">
        <f>'Initial unit rates'!R169</f>
        <v>-0.10921213927223274</v>
      </c>
      <c r="S41" s="277">
        <f>'Initial unit rates'!S169</f>
        <v>-0.1001911014061608</v>
      </c>
      <c r="T41" s="277">
        <f>'Initial unit rates'!T169</f>
        <v>-0.10921213927223274</v>
      </c>
      <c r="U41" s="277">
        <f>'Initial unit rates'!U169</f>
        <v>-0.10921213927223274</v>
      </c>
      <c r="V41" s="277">
        <f>'Initial unit rates'!V169</f>
        <v>-0.1001911014061608</v>
      </c>
      <c r="W41" s="277">
        <f>'Initial unit rates'!W169</f>
        <v>-0.1001911014061608</v>
      </c>
      <c r="X41" s="277">
        <f>'Initial unit rates'!X169</f>
        <v>-9.8751574087106747E-2</v>
      </c>
      <c r="Y41" s="277">
        <f>'Initial unit rates'!Y169</f>
        <v>-9.8751574087106747E-2</v>
      </c>
      <c r="Z41" s="266"/>
      <c r="AA41" s="266"/>
    </row>
    <row r="42" spans="4:27" x14ac:dyDescent="0.25">
      <c r="D42"/>
      <c r="F42" t="s">
        <v>195</v>
      </c>
      <c r="G42" t="s">
        <v>268</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25">
      <c r="D43"/>
      <c r="F43" t="s">
        <v>196</v>
      </c>
      <c r="G43" t="s">
        <v>268</v>
      </c>
      <c r="H43" s="266"/>
      <c r="I43" s="266"/>
      <c r="J43" s="277">
        <f>'Initial unit rates'!J171</f>
        <v>0.45564708148498412</v>
      </c>
      <c r="K43" s="277">
        <f>'Initial unit rates'!K171</f>
        <v>0.45564708148498412</v>
      </c>
      <c r="L43" s="277">
        <f>'Initial unit rates'!L171</f>
        <v>0.55246025348582983</v>
      </c>
      <c r="M43" s="277">
        <f>'Initial unit rates'!M171</f>
        <v>0.55246025348582983</v>
      </c>
      <c r="N43" s="277">
        <f>'Initial unit rates'!N171</f>
        <v>0.45835724552061841</v>
      </c>
      <c r="O43" s="277">
        <f>'Initial unit rates'!O171</f>
        <v>0.39231949584615439</v>
      </c>
      <c r="P43" s="277">
        <f>'Initial unit rates'!P171</f>
        <v>0.33711156000815112</v>
      </c>
      <c r="Q43" s="277">
        <f>'Initial unit rates'!Q171</f>
        <v>1.0828399079574957</v>
      </c>
      <c r="R43" s="277">
        <f>'Initial unit rates'!R171</f>
        <v>-0.33699469676745392</v>
      </c>
      <c r="S43" s="277">
        <f>'Initial unit rates'!S171</f>
        <v>-0.30915857945977321</v>
      </c>
      <c r="T43" s="277">
        <f>'Initial unit rates'!T171</f>
        <v>-0.33699469676745392</v>
      </c>
      <c r="U43" s="277">
        <f>'Initial unit rates'!U171</f>
        <v>-0.33699469676745392</v>
      </c>
      <c r="V43" s="277">
        <f>'Initial unit rates'!V171</f>
        <v>-0.30915857945977321</v>
      </c>
      <c r="W43" s="277">
        <f>'Initial unit rates'!W171</f>
        <v>-0.30915857945977321</v>
      </c>
      <c r="X43" s="277">
        <f>'Initial unit rates'!X171</f>
        <v>0</v>
      </c>
      <c r="Y43" s="277">
        <f>'Initial unit rates'!Y171</f>
        <v>0</v>
      </c>
      <c r="Z43" s="266"/>
      <c r="AA43" s="266"/>
    </row>
    <row r="44" spans="4:27" x14ac:dyDescent="0.25">
      <c r="D44"/>
      <c r="F44" t="s">
        <v>197</v>
      </c>
      <c r="G44" t="s">
        <v>268</v>
      </c>
      <c r="H44" s="266"/>
      <c r="I44" s="266"/>
      <c r="J44" s="277">
        <f>'Initial unit rates'!J172</f>
        <v>0.16096350817090047</v>
      </c>
      <c r="K44" s="277">
        <f>'Initial unit rates'!K172</f>
        <v>0.16096350817090047</v>
      </c>
      <c r="L44" s="277">
        <f>'Initial unit rates'!L172</f>
        <v>0.19516407355501669</v>
      </c>
      <c r="M44" s="277">
        <f>'Initial unit rates'!M172</f>
        <v>0.19516407355501669</v>
      </c>
      <c r="N44" s="277">
        <f>'Initial unit rates'!N172</f>
        <v>0.16192091035478495</v>
      </c>
      <c r="O44" s="277">
        <f>'Initial unit rates'!O172</f>
        <v>0.13859218009128654</v>
      </c>
      <c r="P44" s="277">
        <f>'Initial unit rates'!P172</f>
        <v>0</v>
      </c>
      <c r="Q44" s="277">
        <f>'Initial unit rates'!Q172</f>
        <v>0.38252787618927719</v>
      </c>
      <c r="R44" s="277">
        <f>'Initial unit rates'!R172</f>
        <v>-0.11904794484778415</v>
      </c>
      <c r="S44" s="277">
        <f>'Initial unit rates'!S172</f>
        <v>0</v>
      </c>
      <c r="T44" s="277">
        <f>'Initial unit rates'!T172</f>
        <v>-0.11904794484778415</v>
      </c>
      <c r="U44" s="277">
        <f>'Initial unit rates'!U172</f>
        <v>-0.11904794484778415</v>
      </c>
      <c r="V44" s="277">
        <f>'Initial unit rates'!V172</f>
        <v>0</v>
      </c>
      <c r="W44" s="277">
        <f>'Initial unit rates'!W172</f>
        <v>0</v>
      </c>
      <c r="X44" s="277">
        <f>'Initial unit rates'!X172</f>
        <v>0</v>
      </c>
      <c r="Y44" s="277">
        <f>'Initial unit rates'!Y172</f>
        <v>0</v>
      </c>
      <c r="Z44" s="266"/>
      <c r="AA44" s="266"/>
    </row>
    <row r="45" spans="4:27" x14ac:dyDescent="0.25">
      <c r="D45"/>
      <c r="F45" t="s">
        <v>198</v>
      </c>
      <c r="G45" t="s">
        <v>268</v>
      </c>
      <c r="H45" s="266"/>
      <c r="I45" s="266"/>
      <c r="J45" s="277">
        <f>'Initial unit rates'!J173</f>
        <v>0.32368721818515334</v>
      </c>
      <c r="K45" s="277">
        <f>'Initial unit rates'!K173</f>
        <v>0.32368721818515334</v>
      </c>
      <c r="L45" s="277">
        <f>'Initial unit rates'!L173</f>
        <v>0.39246234613396963</v>
      </c>
      <c r="M45" s="277">
        <f>'Initial unit rates'!M173</f>
        <v>0.39246234613396963</v>
      </c>
      <c r="N45" s="277">
        <f>'Initial unit rates'!N173</f>
        <v>0.32561249213766263</v>
      </c>
      <c r="O45" s="277">
        <f>'Initial unit rates'!O173</f>
        <v>0</v>
      </c>
      <c r="P45" s="277">
        <f>'Initial unit rates'!P173</f>
        <v>0</v>
      </c>
      <c r="Q45" s="277">
        <f>'Initial unit rates'!Q173</f>
        <v>0.76923885127129921</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374</v>
      </c>
      <c r="G46" s="90" t="s">
        <v>268</v>
      </c>
      <c r="H46" s="264"/>
      <c r="I46" s="264" t="s">
        <v>153</v>
      </c>
      <c r="J46" s="278"/>
      <c r="K46" s="278"/>
      <c r="L46" s="278"/>
      <c r="M46" s="278"/>
      <c r="N46" s="278"/>
      <c r="O46" s="278"/>
      <c r="P46" s="278"/>
      <c r="Q46" s="276">
        <f>'Service model charges'!$Q$44</f>
        <v>0</v>
      </c>
      <c r="R46" s="278"/>
      <c r="S46" s="278"/>
      <c r="T46" s="278"/>
      <c r="U46" s="278"/>
      <c r="V46" s="278"/>
      <c r="W46" s="278"/>
      <c r="X46" s="278"/>
      <c r="Y46" s="278"/>
      <c r="Z46" s="266"/>
      <c r="AA46" s="266" t="s">
        <v>651</v>
      </c>
    </row>
    <row r="47" spans="4:27" x14ac:dyDescent="0.25">
      <c r="D47"/>
      <c r="F47" s="91" t="s">
        <v>375</v>
      </c>
      <c r="G47" s="91" t="s">
        <v>268</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618</v>
      </c>
      <c r="J51" s="101"/>
      <c r="K51" s="101"/>
      <c r="L51" s="101"/>
      <c r="M51" s="101"/>
      <c r="N51" s="101"/>
      <c r="O51" s="101"/>
      <c r="P51" s="101"/>
      <c r="Q51" s="101"/>
      <c r="R51" s="101"/>
      <c r="S51" s="101"/>
      <c r="T51" s="101"/>
      <c r="U51" s="101"/>
      <c r="V51" s="101"/>
      <c r="W51" s="101"/>
      <c r="X51" s="101"/>
      <c r="Y51" s="101"/>
    </row>
    <row r="52" spans="3:27" x14ac:dyDescent="0.25">
      <c r="D52"/>
      <c r="F52" s="90" t="s">
        <v>188</v>
      </c>
      <c r="G52" s="90" t="s">
        <v>268</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190</v>
      </c>
      <c r="G53" t="s">
        <v>268</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191</v>
      </c>
      <c r="G54" t="s">
        <v>268</v>
      </c>
      <c r="H54" s="266"/>
      <c r="I54" s="266"/>
      <c r="J54" s="277">
        <f>'Initial unit rates'!J183</f>
        <v>0.17136157881403721</v>
      </c>
      <c r="K54" s="277">
        <f>'Initial unit rates'!K183</f>
        <v>0.17136157881403721</v>
      </c>
      <c r="L54" s="277">
        <f>'Initial unit rates'!L183</f>
        <v>0.20777146417968415</v>
      </c>
      <c r="M54" s="277">
        <f>'Initial unit rates'!M183</f>
        <v>0.20777146417968415</v>
      </c>
      <c r="N54" s="277">
        <f>'Initial unit rates'!N183</f>
        <v>0.17238082815604491</v>
      </c>
      <c r="O54" s="277">
        <f>'Initial unit rates'!O183</f>
        <v>0.14754508684357645</v>
      </c>
      <c r="P54" s="277">
        <f>'Initial unit rates'!P183</f>
        <v>0.12678226528125705</v>
      </c>
      <c r="Q54" s="277">
        <f>'Initial unit rates'!Q183</f>
        <v>0.12811708862829693</v>
      </c>
      <c r="R54" s="277">
        <f>'Initial unit rates'!R183</f>
        <v>-0.12673831488577569</v>
      </c>
      <c r="S54" s="277">
        <f>'Initial unit rates'!S183</f>
        <v>-0.11626959643299635</v>
      </c>
      <c r="T54" s="277">
        <f>'Initial unit rates'!T183</f>
        <v>-0.12673831488577569</v>
      </c>
      <c r="U54" s="277">
        <f>'Initial unit rates'!U183</f>
        <v>-0.12673831488577569</v>
      </c>
      <c r="V54" s="277">
        <f>'Initial unit rates'!V183</f>
        <v>-0.11626959643299635</v>
      </c>
      <c r="W54" s="277">
        <f>'Initial unit rates'!W183</f>
        <v>-0.11626959643299635</v>
      </c>
      <c r="X54" s="277">
        <f>'Initial unit rates'!X183</f>
        <v>-0.11459905625436133</v>
      </c>
      <c r="Y54" s="277">
        <f>'Initial unit rates'!Y183</f>
        <v>-0.11459905625436133</v>
      </c>
      <c r="Z54" s="266"/>
      <c r="AA54" s="266"/>
    </row>
    <row r="55" spans="3:27" x14ac:dyDescent="0.25">
      <c r="D55"/>
      <c r="F55" t="s">
        <v>192</v>
      </c>
      <c r="G55" t="s">
        <v>268</v>
      </c>
      <c r="H55" s="266"/>
      <c r="I55" s="266"/>
      <c r="J55" s="277">
        <f>'Initial unit rates'!J184</f>
        <v>6.8576430110450448E-2</v>
      </c>
      <c r="K55" s="277">
        <f>'Initial unit rates'!K184</f>
        <v>6.8576430110450448E-2</v>
      </c>
      <c r="L55" s="277">
        <f>'Initial unit rates'!L184</f>
        <v>8.3147140630201274E-2</v>
      </c>
      <c r="M55" s="277">
        <f>'Initial unit rates'!M184</f>
        <v>8.3147140630201274E-2</v>
      </c>
      <c r="N55" s="277">
        <f>'Initial unit rates'!N184</f>
        <v>6.8984318983505058E-2</v>
      </c>
      <c r="O55" s="277">
        <f>'Initial unit rates'!O184</f>
        <v>5.9045413832520245E-2</v>
      </c>
      <c r="P55" s="277">
        <f>'Initial unit rates'!P184</f>
        <v>5.0736432369941013E-2</v>
      </c>
      <c r="Q55" s="277">
        <f>'Initial unit rates'!Q184</f>
        <v>5.1270609404265678E-2</v>
      </c>
      <c r="R55" s="277">
        <f>'Initial unit rates'!R184</f>
        <v>-5.0718844056125777E-2</v>
      </c>
      <c r="S55" s="277">
        <f>'Initial unit rates'!S184</f>
        <v>-4.6529414055004673E-2</v>
      </c>
      <c r="T55" s="277">
        <f>'Initial unit rates'!T184</f>
        <v>-5.0718844056125777E-2</v>
      </c>
      <c r="U55" s="277">
        <f>'Initial unit rates'!U184</f>
        <v>-5.0718844056125777E-2</v>
      </c>
      <c r="V55" s="277">
        <f>'Initial unit rates'!V184</f>
        <v>-4.6529414055004673E-2</v>
      </c>
      <c r="W55" s="277">
        <f>'Initial unit rates'!W184</f>
        <v>-4.6529414055004673E-2</v>
      </c>
      <c r="X55" s="277">
        <f>'Initial unit rates'!X184</f>
        <v>-4.5860887990995983E-2</v>
      </c>
      <c r="Y55" s="277">
        <f>'Initial unit rates'!Y184</f>
        <v>-4.5860887990995983E-2</v>
      </c>
      <c r="Z55" s="266"/>
      <c r="AA55" s="266"/>
    </row>
    <row r="56" spans="3:27" x14ac:dyDescent="0.25">
      <c r="D56"/>
      <c r="F56" t="s">
        <v>193</v>
      </c>
      <c r="G56" t="s">
        <v>268</v>
      </c>
      <c r="H56" s="266"/>
      <c r="I56" s="266"/>
      <c r="J56" s="277">
        <f>'Initial unit rates'!J185</f>
        <v>0.25450910421412082</v>
      </c>
      <c r="K56" s="277">
        <f>'Initial unit rates'!K185</f>
        <v>0.25450910421412082</v>
      </c>
      <c r="L56" s="277">
        <f>'Initial unit rates'!L185</f>
        <v>0.30858567944809356</v>
      </c>
      <c r="M56" s="277">
        <f>'Initial unit rates'!M185</f>
        <v>0.30858567944809356</v>
      </c>
      <c r="N56" s="277">
        <f>'Initial unit rates'!N185</f>
        <v>0.2560229105107279</v>
      </c>
      <c r="O56" s="277">
        <f>'Initial unit rates'!O185</f>
        <v>0.21913644904325102</v>
      </c>
      <c r="P56" s="277">
        <f>'Initial unit rates'!P185</f>
        <v>0.18829915661541849</v>
      </c>
      <c r="Q56" s="277">
        <f>'Initial unit rates'!Q185</f>
        <v>0.19603764237187893</v>
      </c>
      <c r="R56" s="277">
        <f>'Initial unit rates'!R185</f>
        <v>-0.18823388074750669</v>
      </c>
      <c r="S56" s="277">
        <f>'Initial unit rates'!S185</f>
        <v>-0.17268556370860896</v>
      </c>
      <c r="T56" s="277">
        <f>'Initial unit rates'!T185</f>
        <v>-0.18823388074750669</v>
      </c>
      <c r="U56" s="277">
        <f>'Initial unit rates'!U185</f>
        <v>-0.18823388074750669</v>
      </c>
      <c r="V56" s="277">
        <f>'Initial unit rates'!V185</f>
        <v>-0.17268556370860896</v>
      </c>
      <c r="W56" s="277">
        <f>'Initial unit rates'!W185</f>
        <v>-0.17268556370860896</v>
      </c>
      <c r="X56" s="277">
        <f>'Initial unit rates'!X185</f>
        <v>-0.17020444928750827</v>
      </c>
      <c r="Y56" s="277">
        <f>'Initial unit rates'!Y185</f>
        <v>-0.17020444928750827</v>
      </c>
      <c r="Z56" s="266"/>
      <c r="AA56" s="266"/>
    </row>
    <row r="57" spans="3:27" x14ac:dyDescent="0.25">
      <c r="D57"/>
      <c r="F57" t="s">
        <v>194</v>
      </c>
      <c r="G57" t="s">
        <v>268</v>
      </c>
      <c r="H57" s="266"/>
      <c r="I57" s="266"/>
      <c r="J57" s="277">
        <f>'Initial unit rates'!J186</f>
        <v>0.12442227558117927</v>
      </c>
      <c r="K57" s="277">
        <f>'Initial unit rates'!K186</f>
        <v>0.12442227558117927</v>
      </c>
      <c r="L57" s="277">
        <f>'Initial unit rates'!L186</f>
        <v>0.15085877798852387</v>
      </c>
      <c r="M57" s="277">
        <f>'Initial unit rates'!M186</f>
        <v>0.15085877798852387</v>
      </c>
      <c r="N57" s="277">
        <f>'Initial unit rates'!N186</f>
        <v>0.12516233250289358</v>
      </c>
      <c r="O57" s="277">
        <f>'Initial unit rates'!O186</f>
        <v>0.10712958869165538</v>
      </c>
      <c r="P57" s="277">
        <f>'Initial unit rates'!P186</f>
        <v>9.2054111889044762E-2</v>
      </c>
      <c r="Q57" s="277">
        <f>'Initial unit rates'!Q186</f>
        <v>9.583723788111656E-2</v>
      </c>
      <c r="R57" s="277">
        <f>'Initial unit rates'!R186</f>
        <v>-9.2022200370393201E-2</v>
      </c>
      <c r="S57" s="277">
        <f>'Initial unit rates'!S186</f>
        <v>-8.4421069584086572E-2</v>
      </c>
      <c r="T57" s="277">
        <f>'Initial unit rates'!T186</f>
        <v>-9.2022200370393201E-2</v>
      </c>
      <c r="U57" s="277">
        <f>'Initial unit rates'!U186</f>
        <v>-9.2022200370393201E-2</v>
      </c>
      <c r="V57" s="277">
        <f>'Initial unit rates'!V186</f>
        <v>-8.4421069584086572E-2</v>
      </c>
      <c r="W57" s="277">
        <f>'Initial unit rates'!W186</f>
        <v>-8.4421069584086572E-2</v>
      </c>
      <c r="X57" s="277">
        <f>'Initial unit rates'!X186</f>
        <v>-8.3208123182016355E-2</v>
      </c>
      <c r="Y57" s="277">
        <f>'Initial unit rates'!Y186</f>
        <v>-8.3208123182016355E-2</v>
      </c>
      <c r="Z57" s="266"/>
      <c r="AA57" s="266"/>
    </row>
    <row r="58" spans="3:27" x14ac:dyDescent="0.25">
      <c r="D58"/>
      <c r="F58" t="s">
        <v>195</v>
      </c>
      <c r="G58" t="s">
        <v>268</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25">
      <c r="D59"/>
      <c r="F59" t="s">
        <v>196</v>
      </c>
      <c r="G59" t="s">
        <v>268</v>
      </c>
      <c r="H59" s="266"/>
      <c r="I59" s="266"/>
      <c r="J59" s="277">
        <f>'Initial unit rates'!J188</f>
        <v>0.38392844705732015</v>
      </c>
      <c r="K59" s="277">
        <f>'Initial unit rates'!K188</f>
        <v>0.38392844705732015</v>
      </c>
      <c r="L59" s="277">
        <f>'Initial unit rates'!L188</f>
        <v>0.46550327172170869</v>
      </c>
      <c r="M59" s="277">
        <f>'Initial unit rates'!M188</f>
        <v>0.46550327172170869</v>
      </c>
      <c r="N59" s="277">
        <f>'Initial unit rates'!N188</f>
        <v>0.38621203255968001</v>
      </c>
      <c r="O59" s="277">
        <f>'Initial unit rates'!O188</f>
        <v>0.33056859335000183</v>
      </c>
      <c r="P59" s="277">
        <f>'Initial unit rates'!P188</f>
        <v>0.28405036041751835</v>
      </c>
      <c r="Q59" s="277">
        <f>'Initial unit rates'!Q188</f>
        <v>0.2957239106750898</v>
      </c>
      <c r="R59" s="277">
        <f>'Initial unit rates'!R188</f>
        <v>-0.28395189139545685</v>
      </c>
      <c r="S59" s="277">
        <f>'Initial unit rates'!S188</f>
        <v>-0.2604971657441626</v>
      </c>
      <c r="T59" s="277">
        <f>'Initial unit rates'!T188</f>
        <v>-0.28395189139545685</v>
      </c>
      <c r="U59" s="277">
        <f>'Initial unit rates'!U188</f>
        <v>-0.28395189139545685</v>
      </c>
      <c r="V59" s="277">
        <f>'Initial unit rates'!V188</f>
        <v>-0.2604971657441626</v>
      </c>
      <c r="W59" s="277">
        <f>'Initial unit rates'!W188</f>
        <v>-0.2604971657441626</v>
      </c>
      <c r="X59" s="277">
        <f>'Initial unit rates'!X188</f>
        <v>0</v>
      </c>
      <c r="Y59" s="277">
        <f>'Initial unit rates'!Y188</f>
        <v>0</v>
      </c>
      <c r="Z59" s="266"/>
      <c r="AA59" s="266"/>
    </row>
    <row r="60" spans="3:27" x14ac:dyDescent="0.25">
      <c r="D60"/>
      <c r="F60" t="s">
        <v>197</v>
      </c>
      <c r="G60" t="s">
        <v>268</v>
      </c>
      <c r="H60" s="266"/>
      <c r="I60" s="266"/>
      <c r="J60" s="277">
        <f>'Initial unit rates'!J189</f>
        <v>0.13562792835970064</v>
      </c>
      <c r="K60" s="277">
        <f>'Initial unit rates'!K189</f>
        <v>0.13562792835970064</v>
      </c>
      <c r="L60" s="277">
        <f>'Initial unit rates'!L189</f>
        <v>0.16444534098003974</v>
      </c>
      <c r="M60" s="277">
        <f>'Initial unit rates'!M189</f>
        <v>0.16444534098003974</v>
      </c>
      <c r="N60" s="277">
        <f>'Initial unit rates'!N189</f>
        <v>0.13643463589411539</v>
      </c>
      <c r="O60" s="277">
        <f>'Initial unit rates'!O189</f>
        <v>0.1167778367049403</v>
      </c>
      <c r="P60" s="277">
        <f>'Initial unit rates'!P189</f>
        <v>0</v>
      </c>
      <c r="Q60" s="277">
        <f>'Initial unit rates'!Q189</f>
        <v>0.10446848020434242</v>
      </c>
      <c r="R60" s="277">
        <f>'Initial unit rates'!R189</f>
        <v>-0.10030985481530295</v>
      </c>
      <c r="S60" s="277">
        <f>'Initial unit rates'!S189</f>
        <v>0</v>
      </c>
      <c r="T60" s="277">
        <f>'Initial unit rates'!T189</f>
        <v>-0.10030985481530295</v>
      </c>
      <c r="U60" s="277">
        <f>'Initial unit rates'!U189</f>
        <v>-0.10030985481530295</v>
      </c>
      <c r="V60" s="277">
        <f>'Initial unit rates'!V189</f>
        <v>0</v>
      </c>
      <c r="W60" s="277">
        <f>'Initial unit rates'!W189</f>
        <v>0</v>
      </c>
      <c r="X60" s="277">
        <f>'Initial unit rates'!X189</f>
        <v>0</v>
      </c>
      <c r="Y60" s="277">
        <f>'Initial unit rates'!Y189</f>
        <v>0</v>
      </c>
      <c r="Z60" s="266"/>
      <c r="AA60" s="266"/>
    </row>
    <row r="61" spans="3:27" x14ac:dyDescent="0.25">
      <c r="D61"/>
      <c r="F61" t="s">
        <v>198</v>
      </c>
      <c r="G61" t="s">
        <v>268</v>
      </c>
      <c r="H61" s="266"/>
      <c r="I61" s="266"/>
      <c r="J61" s="277">
        <f>'Initial unit rates'!J190</f>
        <v>0.27273900362780079</v>
      </c>
      <c r="K61" s="277">
        <f>'Initial unit rates'!K190</f>
        <v>0.27273900362780079</v>
      </c>
      <c r="L61" s="277">
        <f>'Initial unit rates'!L190</f>
        <v>0.33068895907029544</v>
      </c>
      <c r="M61" s="277">
        <f>'Initial unit rates'!M190</f>
        <v>0.33068895907029544</v>
      </c>
      <c r="N61" s="277">
        <f>'Initial unit rates'!N190</f>
        <v>0.27436124037370024</v>
      </c>
      <c r="O61" s="277">
        <f>'Initial unit rates'!O190</f>
        <v>0</v>
      </c>
      <c r="P61" s="277">
        <f>'Initial unit rates'!P190</f>
        <v>0</v>
      </c>
      <c r="Q61" s="277">
        <f>'Initial unit rates'!Q190</f>
        <v>0.21007936599810995</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374</v>
      </c>
      <c r="G62" s="90" t="s">
        <v>268</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375</v>
      </c>
      <c r="G63" s="91" t="s">
        <v>268</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619</v>
      </c>
      <c r="J65" s="101"/>
      <c r="K65" s="101"/>
      <c r="L65" s="101"/>
      <c r="M65" s="101"/>
      <c r="N65" s="101"/>
      <c r="O65" s="101"/>
      <c r="P65" s="101"/>
      <c r="Q65" s="101"/>
      <c r="R65" s="101"/>
      <c r="S65" s="101"/>
      <c r="T65" s="101"/>
      <c r="U65" s="101"/>
      <c r="V65" s="101"/>
      <c r="W65" s="101"/>
      <c r="X65" s="101"/>
      <c r="Y65" s="101"/>
    </row>
    <row r="66" spans="3:27" x14ac:dyDescent="0.25">
      <c r="D66"/>
      <c r="F66" s="90" t="s">
        <v>188</v>
      </c>
      <c r="G66" s="90" t="s">
        <v>268</v>
      </c>
      <c r="H66" s="264"/>
      <c r="I66" s="264"/>
      <c r="J66" s="276">
        <f>'Initial unit rates'!J193</f>
        <v>9.8061526818595882E-2</v>
      </c>
      <c r="K66" s="276">
        <f>'Initial unit rates'!K193</f>
        <v>9.8061526818595882E-2</v>
      </c>
      <c r="L66" s="276">
        <f>'Initial unit rates'!L193</f>
        <v>0.11889705468286714</v>
      </c>
      <c r="M66" s="276">
        <f>'Initial unit rates'!M193</f>
        <v>0.11889705468286714</v>
      </c>
      <c r="N66" s="276">
        <f>'Initial unit rates'!N193</f>
        <v>9.8644791441727026E-2</v>
      </c>
      <c r="O66" s="276">
        <f>'Initial unit rates'!O193</f>
        <v>8.4432558281718112E-2</v>
      </c>
      <c r="P66" s="276">
        <f>'Initial unit rates'!P193</f>
        <v>7.2551050200652764E-2</v>
      </c>
      <c r="Q66" s="276">
        <f>'Initial unit rates'!Q193</f>
        <v>7.8481873874888253E-2</v>
      </c>
      <c r="R66" s="276">
        <f>'Initial unit rates'!R193</f>
        <v>-7.2525899621888198E-2</v>
      </c>
      <c r="S66" s="276">
        <f>'Initial unit rates'!S193</f>
        <v>-6.6535183835897432E-2</v>
      </c>
      <c r="T66" s="276">
        <f>'Initial unit rates'!T193</f>
        <v>-7.2525899621888198E-2</v>
      </c>
      <c r="U66" s="276">
        <f>'Initial unit rates'!U193</f>
        <v>-7.2525899621888198E-2</v>
      </c>
      <c r="V66" s="276">
        <f>'Initial unit rates'!V193</f>
        <v>-6.6535183835897432E-2</v>
      </c>
      <c r="W66" s="276">
        <f>'Initial unit rates'!W193</f>
        <v>-6.6535183835897432E-2</v>
      </c>
      <c r="X66" s="276">
        <f>'Initial unit rates'!X193</f>
        <v>-6.5579218550898891E-2</v>
      </c>
      <c r="Y66" s="276">
        <f>'Initial unit rates'!Y193</f>
        <v>-6.5579218550898891E-2</v>
      </c>
      <c r="Z66" s="266"/>
      <c r="AA66" s="266"/>
    </row>
    <row r="67" spans="3:27" x14ac:dyDescent="0.25">
      <c r="D67"/>
      <c r="F67" t="s">
        <v>190</v>
      </c>
      <c r="G67" t="s">
        <v>268</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191</v>
      </c>
      <c r="G68" t="s">
        <v>268</v>
      </c>
      <c r="H68" s="266"/>
      <c r="I68" s="266"/>
      <c r="J68" s="277">
        <f>'Initial unit rates'!J195</f>
        <v>7.5972708896365176E-2</v>
      </c>
      <c r="K68" s="277">
        <f>'Initial unit rates'!K195</f>
        <v>7.5972708896365176E-2</v>
      </c>
      <c r="L68" s="277">
        <f>'Initial unit rates'!L195</f>
        <v>9.2114936582281745E-2</v>
      </c>
      <c r="M68" s="277">
        <f>'Initial unit rates'!M195</f>
        <v>9.2114936582281745E-2</v>
      </c>
      <c r="N68" s="277">
        <f>'Initial unit rates'!N195</f>
        <v>7.6424590432991296E-2</v>
      </c>
      <c r="O68" s="277">
        <f>'Initial unit rates'!O195</f>
        <v>6.5413729316887742E-2</v>
      </c>
      <c r="P68" s="277">
        <f>'Initial unit rates'!P195</f>
        <v>5.6208586546038983E-2</v>
      </c>
      <c r="Q68" s="277">
        <f>'Initial unit rates'!Q195</f>
        <v>5.6800376994484723E-2</v>
      </c>
      <c r="R68" s="277">
        <f>'Initial unit rates'!R195</f>
        <v>-5.6189101252865949E-2</v>
      </c>
      <c r="S68" s="277">
        <f>'Initial unit rates'!S195</f>
        <v>-5.1547822239008834E-2</v>
      </c>
      <c r="T68" s="277">
        <f>'Initial unit rates'!T195</f>
        <v>-5.6189101252865949E-2</v>
      </c>
      <c r="U68" s="277">
        <f>'Initial unit rates'!U195</f>
        <v>-5.6189101252865949E-2</v>
      </c>
      <c r="V68" s="277">
        <f>'Initial unit rates'!V195</f>
        <v>-5.1547822239008834E-2</v>
      </c>
      <c r="W68" s="277">
        <f>'Initial unit rates'!W195</f>
        <v>-5.1547822239008834E-2</v>
      </c>
      <c r="X68" s="277">
        <f>'Initial unit rates'!X195</f>
        <v>-5.0807192609138012E-2</v>
      </c>
      <c r="Y68" s="277">
        <f>'Initial unit rates'!Y195</f>
        <v>-5.0807192609138012E-2</v>
      </c>
      <c r="Z68" s="266"/>
      <c r="AA68" s="266"/>
    </row>
    <row r="69" spans="3:27" x14ac:dyDescent="0.25">
      <c r="D69"/>
      <c r="F69" t="s">
        <v>192</v>
      </c>
      <c r="G69" t="s">
        <v>268</v>
      </c>
      <c r="H69" s="266"/>
      <c r="I69" s="266"/>
      <c r="J69" s="277">
        <f>'Initial unit rates'!J196</f>
        <v>3.0403181378172547E-2</v>
      </c>
      <c r="K69" s="277">
        <f>'Initial unit rates'!K196</f>
        <v>3.0403181378172547E-2</v>
      </c>
      <c r="L69" s="277">
        <f>'Initial unit rates'!L196</f>
        <v>3.6863067873099939E-2</v>
      </c>
      <c r="M69" s="277">
        <f>'Initial unit rates'!M196</f>
        <v>3.6863067873099939E-2</v>
      </c>
      <c r="N69" s="277">
        <f>'Initial unit rates'!N196</f>
        <v>3.0584017845886657E-2</v>
      </c>
      <c r="O69" s="277">
        <f>'Initial unit rates'!O196</f>
        <v>2.6177630177132875E-2</v>
      </c>
      <c r="P69" s="277">
        <f>'Initial unit rates'!P196</f>
        <v>2.2493864923272381E-2</v>
      </c>
      <c r="Q69" s="277">
        <f>'Initial unit rates'!Q196</f>
        <v>2.2730690917808254E-2</v>
      </c>
      <c r="R69" s="277">
        <f>'Initial unit rates'!R196</f>
        <v>-2.248606719022913E-2</v>
      </c>
      <c r="S69" s="277">
        <f>'Initial unit rates'!S196</f>
        <v>-2.0628694329173296E-2</v>
      </c>
      <c r="T69" s="277">
        <f>'Initial unit rates'!T196</f>
        <v>-2.248606719022913E-2</v>
      </c>
      <c r="U69" s="277">
        <f>'Initial unit rates'!U196</f>
        <v>-2.248606719022913E-2</v>
      </c>
      <c r="V69" s="277">
        <f>'Initial unit rates'!V196</f>
        <v>-2.0628694329173296E-2</v>
      </c>
      <c r="W69" s="277">
        <f>'Initial unit rates'!W196</f>
        <v>-2.0628694329173296E-2</v>
      </c>
      <c r="X69" s="277">
        <f>'Initial unit rates'!X196</f>
        <v>-2.0332305042834599E-2</v>
      </c>
      <c r="Y69" s="277">
        <f>'Initial unit rates'!Y196</f>
        <v>-2.0332305042834599E-2</v>
      </c>
      <c r="Z69" s="266"/>
      <c r="AA69" s="266"/>
    </row>
    <row r="70" spans="3:27" x14ac:dyDescent="0.25">
      <c r="D70"/>
      <c r="F70" t="s">
        <v>193</v>
      </c>
      <c r="G70" t="s">
        <v>268</v>
      </c>
      <c r="H70" s="266"/>
      <c r="I70" s="266"/>
      <c r="J70" s="277">
        <f>'Initial unit rates'!J197</f>
        <v>0.11283594735618858</v>
      </c>
      <c r="K70" s="277">
        <f>'Initial unit rates'!K197</f>
        <v>0.11283594735618858</v>
      </c>
      <c r="L70" s="277">
        <f>'Initial unit rates'!L197</f>
        <v>0.13681065590402125</v>
      </c>
      <c r="M70" s="277">
        <f>'Initial unit rates'!M197</f>
        <v>0.13681065590402125</v>
      </c>
      <c r="N70" s="277">
        <f>'Initial unit rates'!N197</f>
        <v>0.11350708942837048</v>
      </c>
      <c r="O70" s="277">
        <f>'Initial unit rates'!O197</f>
        <v>9.7153572971062641E-2</v>
      </c>
      <c r="P70" s="277">
        <f>'Initial unit rates'!P197</f>
        <v>8.3481939825605811E-2</v>
      </c>
      <c r="Q70" s="277">
        <f>'Initial unit rates'!Q197</f>
        <v>8.6912777296543467E-2</v>
      </c>
      <c r="R70" s="277">
        <f>'Initial unit rates'!R197</f>
        <v>-8.3452999939867462E-2</v>
      </c>
      <c r="S70" s="277">
        <f>'Initial unit rates'!S197</f>
        <v>-7.6559694145185986E-2</v>
      </c>
      <c r="T70" s="277">
        <f>'Initial unit rates'!T197</f>
        <v>-8.3452999939867462E-2</v>
      </c>
      <c r="U70" s="277">
        <f>'Initial unit rates'!U197</f>
        <v>-8.3452999939867462E-2</v>
      </c>
      <c r="V70" s="277">
        <f>'Initial unit rates'!V197</f>
        <v>-7.6559694145185986E-2</v>
      </c>
      <c r="W70" s="277">
        <f>'Initial unit rates'!W197</f>
        <v>-7.6559694145185986E-2</v>
      </c>
      <c r="X70" s="277">
        <f>'Initial unit rates'!X197</f>
        <v>-7.5459698539651704E-2</v>
      </c>
      <c r="Y70" s="277">
        <f>'Initial unit rates'!Y197</f>
        <v>-7.5459698539651704E-2</v>
      </c>
      <c r="Z70" s="266"/>
      <c r="AA70" s="266"/>
    </row>
    <row r="71" spans="3:27" x14ac:dyDescent="0.25">
      <c r="D71"/>
      <c r="F71" t="s">
        <v>194</v>
      </c>
      <c r="G71" t="s">
        <v>268</v>
      </c>
      <c r="H71" s="266"/>
      <c r="I71" s="266"/>
      <c r="J71" s="277">
        <f>'Initial unit rates'!J198</f>
        <v>5.5162291269563936E-2</v>
      </c>
      <c r="K71" s="277">
        <f>'Initial unit rates'!K198</f>
        <v>5.5162291269563936E-2</v>
      </c>
      <c r="L71" s="277">
        <f>'Initial unit rates'!L198</f>
        <v>6.6882845640802754E-2</v>
      </c>
      <c r="M71" s="277">
        <f>'Initial unit rates'!M198</f>
        <v>6.6882845640802754E-2</v>
      </c>
      <c r="N71" s="277">
        <f>'Initial unit rates'!N198</f>
        <v>5.5490393575047224E-2</v>
      </c>
      <c r="O71" s="277">
        <f>'Initial unit rates'!O198</f>
        <v>4.7495623652551007E-2</v>
      </c>
      <c r="P71" s="277">
        <f>'Initial unit rates'!P198</f>
        <v>4.0811950343019023E-2</v>
      </c>
      <c r="Q71" s="277">
        <f>'Initial unit rates'!Q198</f>
        <v>4.2489189381682682E-2</v>
      </c>
      <c r="R71" s="277">
        <f>'Initial unit rates'!R198</f>
        <v>-4.0797802454479858E-2</v>
      </c>
      <c r="S71" s="277">
        <f>'Initial unit rates'!S198</f>
        <v>-3.742786095121E-2</v>
      </c>
      <c r="T71" s="277">
        <f>'Initial unit rates'!T198</f>
        <v>-4.0797802454479858E-2</v>
      </c>
      <c r="U71" s="277">
        <f>'Initial unit rates'!U198</f>
        <v>-4.0797802454479858E-2</v>
      </c>
      <c r="V71" s="277">
        <f>'Initial unit rates'!V198</f>
        <v>-3.742786095121E-2</v>
      </c>
      <c r="W71" s="277">
        <f>'Initial unit rates'!W198</f>
        <v>-3.742786095121E-2</v>
      </c>
      <c r="X71" s="277">
        <f>'Initial unit rates'!X198</f>
        <v>-3.6890104328347779E-2</v>
      </c>
      <c r="Y71" s="277">
        <f>'Initial unit rates'!Y198</f>
        <v>-3.6890104328347779E-2</v>
      </c>
      <c r="Z71" s="266"/>
      <c r="AA71" s="266"/>
    </row>
    <row r="72" spans="3:27" x14ac:dyDescent="0.25">
      <c r="D72"/>
      <c r="F72" t="s">
        <v>195</v>
      </c>
      <c r="G72" t="s">
        <v>268</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25">
      <c r="D73"/>
      <c r="F73" t="s">
        <v>196</v>
      </c>
      <c r="G73" t="s">
        <v>268</v>
      </c>
      <c r="H73" s="266"/>
      <c r="I73" s="266"/>
      <c r="J73" s="277">
        <f>'Initial unit rates'!J200</f>
        <v>0.17021367535935666</v>
      </c>
      <c r="K73" s="277">
        <f>'Initial unit rates'!K200</f>
        <v>0.17021367535935666</v>
      </c>
      <c r="L73" s="277">
        <f>'Initial unit rates'!L200</f>
        <v>0.20637966105108013</v>
      </c>
      <c r="M73" s="277">
        <f>'Initial unit rates'!M200</f>
        <v>0.20637966105108013</v>
      </c>
      <c r="N73" s="277">
        <f>'Initial unit rates'!N200</f>
        <v>0.17122609703410685</v>
      </c>
      <c r="O73" s="277">
        <f>'Initial unit rates'!O200</f>
        <v>0.14655672343048792</v>
      </c>
      <c r="P73" s="277">
        <f>'Initial unit rates'!P200</f>
        <v>0.12593298622281357</v>
      </c>
      <c r="Q73" s="277">
        <f>'Initial unit rates'!Q200</f>
        <v>0.1311084242740001</v>
      </c>
      <c r="R73" s="277">
        <f>'Initial unit rates'!R200</f>
        <v>-0.12588933023878171</v>
      </c>
      <c r="S73" s="277">
        <f>'Initial unit rates'!S200</f>
        <v>-0.11549073881308269</v>
      </c>
      <c r="T73" s="277">
        <f>'Initial unit rates'!T200</f>
        <v>-0.12588933023878171</v>
      </c>
      <c r="U73" s="277">
        <f>'Initial unit rates'!U200</f>
        <v>-0.12588933023878171</v>
      </c>
      <c r="V73" s="277">
        <f>'Initial unit rates'!V200</f>
        <v>-0.11549073881308269</v>
      </c>
      <c r="W73" s="277">
        <f>'Initial unit rates'!W200</f>
        <v>-0.11549073881308269</v>
      </c>
      <c r="X73" s="277">
        <f>'Initial unit rates'!X200</f>
        <v>0</v>
      </c>
      <c r="Y73" s="277">
        <f>'Initial unit rates'!Y200</f>
        <v>0</v>
      </c>
      <c r="Z73" s="266"/>
      <c r="AA73" s="266"/>
    </row>
    <row r="74" spans="3:27" x14ac:dyDescent="0.25">
      <c r="D74"/>
      <c r="F74" t="s">
        <v>197</v>
      </c>
      <c r="G74" t="s">
        <v>268</v>
      </c>
      <c r="H74" s="266"/>
      <c r="I74" s="266"/>
      <c r="J74" s="277">
        <f>'Initial unit rates'!J201</f>
        <v>6.0130288194126656E-2</v>
      </c>
      <c r="K74" s="277">
        <f>'Initial unit rates'!K201</f>
        <v>6.0130288194126656E-2</v>
      </c>
      <c r="L74" s="277">
        <f>'Initial unit rates'!L201</f>
        <v>7.2906412896661929E-2</v>
      </c>
      <c r="M74" s="277">
        <f>'Initial unit rates'!M201</f>
        <v>7.2906412896661929E-2</v>
      </c>
      <c r="N74" s="277">
        <f>'Initial unit rates'!N201</f>
        <v>6.0487939874863735E-2</v>
      </c>
      <c r="O74" s="277">
        <f>'Initial unit rates'!O201</f>
        <v>5.177314923761047E-2</v>
      </c>
      <c r="P74" s="277">
        <f>'Initial unit rates'!P201</f>
        <v>0</v>
      </c>
      <c r="Q74" s="277">
        <f>'Initial unit rates'!Q201</f>
        <v>4.6315828147353945E-2</v>
      </c>
      <c r="R74" s="277">
        <f>'Initial unit rates'!R201</f>
        <v>-4.4472112430697347E-2</v>
      </c>
      <c r="S74" s="277">
        <f>'Initial unit rates'!S201</f>
        <v>0</v>
      </c>
      <c r="T74" s="277">
        <f>'Initial unit rates'!T201</f>
        <v>-4.4472112430697347E-2</v>
      </c>
      <c r="U74" s="277">
        <f>'Initial unit rates'!U201</f>
        <v>-4.4472112430697347E-2</v>
      </c>
      <c r="V74" s="277">
        <f>'Initial unit rates'!V201</f>
        <v>0</v>
      </c>
      <c r="W74" s="277">
        <f>'Initial unit rates'!W201</f>
        <v>0</v>
      </c>
      <c r="X74" s="277">
        <f>'Initial unit rates'!X201</f>
        <v>0</v>
      </c>
      <c r="Y74" s="277">
        <f>'Initial unit rates'!Y201</f>
        <v>0</v>
      </c>
      <c r="Z74" s="266"/>
      <c r="AA74" s="266"/>
    </row>
    <row r="75" spans="3:27" x14ac:dyDescent="0.25">
      <c r="D75"/>
      <c r="F75" t="s">
        <v>198</v>
      </c>
      <c r="G75" t="s">
        <v>268</v>
      </c>
      <c r="H75" s="266"/>
      <c r="I75" s="266"/>
      <c r="J75" s="277">
        <f>'Initial unit rates'!J202</f>
        <v>0.12091812570066165</v>
      </c>
      <c r="K75" s="277">
        <f>'Initial unit rates'!K202</f>
        <v>0.12091812570066165</v>
      </c>
      <c r="L75" s="277">
        <f>'Initial unit rates'!L202</f>
        <v>0.14661008725855398</v>
      </c>
      <c r="M75" s="277">
        <f>'Initial unit rates'!M202</f>
        <v>0.14661008725855398</v>
      </c>
      <c r="N75" s="277">
        <f>'Initial unit rates'!N202</f>
        <v>0.12163734012964958</v>
      </c>
      <c r="O75" s="277">
        <f>'Initial unit rates'!O202</f>
        <v>0</v>
      </c>
      <c r="P75" s="277">
        <f>'Initial unit rates'!P202</f>
        <v>0</v>
      </c>
      <c r="Q75" s="277">
        <f>'Initial unit rates'!Q202</f>
        <v>9.3138138832320111E-2</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374</v>
      </c>
      <c r="G76" s="90" t="s">
        <v>268</v>
      </c>
      <c r="H76" s="264"/>
      <c r="I76" s="264" t="s">
        <v>153</v>
      </c>
      <c r="J76" s="278"/>
      <c r="K76" s="278"/>
      <c r="L76" s="278"/>
      <c r="M76" s="278"/>
      <c r="N76" s="278"/>
      <c r="O76" s="278"/>
      <c r="P76" s="278"/>
      <c r="Q76" s="276">
        <f>'Service model charges'!$Q$44</f>
        <v>0</v>
      </c>
      <c r="R76" s="278"/>
      <c r="S76" s="278"/>
      <c r="T76" s="278"/>
      <c r="U76" s="278"/>
      <c r="V76" s="278"/>
      <c r="W76" s="278"/>
      <c r="X76" s="278"/>
      <c r="Y76" s="278"/>
      <c r="Z76" s="266"/>
      <c r="AA76" s="266" t="s">
        <v>651</v>
      </c>
    </row>
    <row r="77" spans="3:27" x14ac:dyDescent="0.25">
      <c r="D77"/>
      <c r="F77" s="91" t="s">
        <v>375</v>
      </c>
      <c r="G77" s="91" t="s">
        <v>268</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618</v>
      </c>
      <c r="J81" s="101"/>
      <c r="K81" s="101"/>
      <c r="L81" s="101"/>
      <c r="M81" s="101"/>
      <c r="N81" s="101"/>
      <c r="O81" s="101"/>
      <c r="P81" s="101"/>
      <c r="Q81" s="101"/>
      <c r="R81" s="101"/>
      <c r="S81" s="101"/>
      <c r="T81" s="101"/>
      <c r="U81" s="101"/>
      <c r="V81" s="101"/>
      <c r="W81" s="101"/>
      <c r="X81" s="101"/>
      <c r="Y81" s="101"/>
    </row>
    <row r="82" spans="4:27" x14ac:dyDescent="0.25">
      <c r="D82"/>
      <c r="F82" s="90" t="s">
        <v>188</v>
      </c>
      <c r="G82" s="90" t="s">
        <v>268</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190</v>
      </c>
      <c r="G83" t="s">
        <v>268</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191</v>
      </c>
      <c r="G84" t="s">
        <v>268</v>
      </c>
      <c r="H84" s="266"/>
      <c r="I84" s="266"/>
      <c r="J84" s="277">
        <f>'Initial unit rates'!J212</f>
        <v>1.5987660205365132E-2</v>
      </c>
      <c r="K84" s="277">
        <f>'Initial unit rates'!K212</f>
        <v>1.5987660205365132E-2</v>
      </c>
      <c r="L84" s="277">
        <f>'Initial unit rates'!L212</f>
        <v>1.9384622811399292E-2</v>
      </c>
      <c r="M84" s="277">
        <f>'Initial unit rates'!M212</f>
        <v>1.9384622811399292E-2</v>
      </c>
      <c r="N84" s="277">
        <f>'Initial unit rates'!N212</f>
        <v>1.6082753937912062E-2</v>
      </c>
      <c r="O84" s="277">
        <f>'Initial unit rates'!O212</f>
        <v>1.3765633637083175E-2</v>
      </c>
      <c r="P84" s="277">
        <f>'Initial unit rates'!P212</f>
        <v>1.1828507833619238E-2</v>
      </c>
      <c r="Q84" s="277">
        <f>'Initial unit rates'!Q212</f>
        <v>1.3805258262319646E-2</v>
      </c>
      <c r="R84" s="277">
        <f>'Initial unit rates'!R212</f>
        <v>-1.1824407357925032E-2</v>
      </c>
      <c r="S84" s="277">
        <f>'Initial unit rates'!S212</f>
        <v>-1.0847698841541069E-2</v>
      </c>
      <c r="T84" s="277">
        <f>'Initial unit rates'!T212</f>
        <v>-1.1824407357925032E-2</v>
      </c>
      <c r="U84" s="277">
        <f>'Initial unit rates'!U212</f>
        <v>-1.1824407357925032E-2</v>
      </c>
      <c r="V84" s="277">
        <f>'Initial unit rates'!V212</f>
        <v>-1.0847698841541069E-2</v>
      </c>
      <c r="W84" s="277">
        <f>'Initial unit rates'!W212</f>
        <v>-1.0847698841541069E-2</v>
      </c>
      <c r="X84" s="277">
        <f>'Initial unit rates'!X212</f>
        <v>-1.0691841099564902E-2</v>
      </c>
      <c r="Y84" s="277">
        <f>'Initial unit rates'!Y212</f>
        <v>-1.0691841099564902E-2</v>
      </c>
      <c r="Z84" s="266"/>
      <c r="AA84" s="266"/>
    </row>
    <row r="85" spans="4:27" x14ac:dyDescent="0.25">
      <c r="D85"/>
      <c r="F85" t="s">
        <v>192</v>
      </c>
      <c r="G85" t="s">
        <v>268</v>
      </c>
      <c r="H85" s="266"/>
      <c r="I85" s="266"/>
      <c r="J85" s="277">
        <f>'Initial unit rates'!J213</f>
        <v>6.3980308205064318E-3</v>
      </c>
      <c r="K85" s="277">
        <f>'Initial unit rates'!K213</f>
        <v>6.3980308205064318E-3</v>
      </c>
      <c r="L85" s="277">
        <f>'Initial unit rates'!L213</f>
        <v>7.7574462177776938E-3</v>
      </c>
      <c r="M85" s="277">
        <f>'Initial unit rates'!M213</f>
        <v>7.7574462177776938E-3</v>
      </c>
      <c r="N85" s="277">
        <f>'Initial unit rates'!N213</f>
        <v>6.4360859595234644E-3</v>
      </c>
      <c r="O85" s="277">
        <f>'Initial unit rates'!O213</f>
        <v>5.5088078644742969E-3</v>
      </c>
      <c r="P85" s="277">
        <f>'Initial unit rates'!P213</f>
        <v>4.7335980817694188E-3</v>
      </c>
      <c r="Q85" s="277">
        <f>'Initial unit rates'!Q213</f>
        <v>5.524665067483208E-3</v>
      </c>
      <c r="R85" s="277">
        <f>'Initial unit rates'!R213</f>
        <v>-4.7319571305899913E-3</v>
      </c>
      <c r="S85" s="277">
        <f>'Initial unit rates'!S213</f>
        <v>-4.3410924818417847E-3</v>
      </c>
      <c r="T85" s="277">
        <f>'Initial unit rates'!T213</f>
        <v>-4.7319571305899913E-3</v>
      </c>
      <c r="U85" s="277">
        <f>'Initial unit rates'!U213</f>
        <v>-4.7319571305899913E-3</v>
      </c>
      <c r="V85" s="277">
        <f>'Initial unit rates'!V213</f>
        <v>-4.3410924818417847E-3</v>
      </c>
      <c r="W85" s="277">
        <f>'Initial unit rates'!W213</f>
        <v>-4.3410924818417847E-3</v>
      </c>
      <c r="X85" s="277">
        <f>'Initial unit rates'!X213</f>
        <v>-4.2787204634245173E-3</v>
      </c>
      <c r="Y85" s="277">
        <f>'Initial unit rates'!Y213</f>
        <v>-4.2787204634245173E-3</v>
      </c>
      <c r="Z85" s="266"/>
      <c r="AA85" s="266"/>
    </row>
    <row r="86" spans="4:27" x14ac:dyDescent="0.25">
      <c r="D86"/>
      <c r="F86" t="s">
        <v>193</v>
      </c>
      <c r="G86" t="s">
        <v>268</v>
      </c>
      <c r="H86" s="266"/>
      <c r="I86" s="266"/>
      <c r="J86" s="277">
        <f>'Initial unit rates'!J214</f>
        <v>4.2268823575795929E-2</v>
      </c>
      <c r="K86" s="277">
        <f>'Initial unit rates'!K214</f>
        <v>4.2268823575795929E-2</v>
      </c>
      <c r="L86" s="277">
        <f>'Initial unit rates'!L214</f>
        <v>5.1249850895844259E-2</v>
      </c>
      <c r="M86" s="277">
        <f>'Initial unit rates'!M214</f>
        <v>5.1249850895844259E-2</v>
      </c>
      <c r="N86" s="277">
        <f>'Initial unit rates'!N214</f>
        <v>4.2520236237346069E-2</v>
      </c>
      <c r="O86" s="277">
        <f>'Initial unit rates'!O214</f>
        <v>3.6394139739075217E-2</v>
      </c>
      <c r="P86" s="277">
        <f>'Initial unit rates'!P214</f>
        <v>3.1272688083299985E-2</v>
      </c>
      <c r="Q86" s="277">
        <f>'Initial unit rates'!Q214</f>
        <v>3.649890092813373E-2</v>
      </c>
      <c r="R86" s="277">
        <f>'Initial unit rates'!R214</f>
        <v>-3.1261847079584064E-2</v>
      </c>
      <c r="S86" s="277">
        <f>'Initial unit rates'!S214</f>
        <v>-2.8679585545769569E-2</v>
      </c>
      <c r="T86" s="277">
        <f>'Initial unit rates'!T214</f>
        <v>-3.1261847079584064E-2</v>
      </c>
      <c r="U86" s="277">
        <f>'Initial unit rates'!U214</f>
        <v>-3.1261847079584064E-2</v>
      </c>
      <c r="V86" s="277">
        <f>'Initial unit rates'!V214</f>
        <v>-2.8679585545769569E-2</v>
      </c>
      <c r="W86" s="277">
        <f>'Initial unit rates'!W214</f>
        <v>-2.8679585545769569E-2</v>
      </c>
      <c r="X86" s="277">
        <f>'Initial unit rates'!X214</f>
        <v>-2.8267522535054487E-2</v>
      </c>
      <c r="Y86" s="277">
        <f>'Initial unit rates'!Y214</f>
        <v>-2.8267522535054487E-2</v>
      </c>
      <c r="Z86" s="266"/>
      <c r="AA86" s="266"/>
    </row>
    <row r="87" spans="4:27" x14ac:dyDescent="0.25">
      <c r="D87"/>
      <c r="F87" t="s">
        <v>194</v>
      </c>
      <c r="G87" t="s">
        <v>268</v>
      </c>
      <c r="H87" s="266"/>
      <c r="I87" s="266"/>
      <c r="J87" s="277">
        <f>'Initial unit rates'!J215</f>
        <v>2.0664027841673316E-2</v>
      </c>
      <c r="K87" s="277">
        <f>'Initial unit rates'!K215</f>
        <v>2.0664027841673316E-2</v>
      </c>
      <c r="L87" s="277">
        <f>'Initial unit rates'!L215</f>
        <v>2.5054597128644839E-2</v>
      </c>
      <c r="M87" s="277">
        <f>'Initial unit rates'!M215</f>
        <v>2.5054597128644839E-2</v>
      </c>
      <c r="N87" s="277">
        <f>'Initial unit rates'!N215</f>
        <v>2.078693635434354E-2</v>
      </c>
      <c r="O87" s="277">
        <f>'Initial unit rates'!O215</f>
        <v>1.779206169515065E-2</v>
      </c>
      <c r="P87" s="277">
        <f>'Initial unit rates'!P215</f>
        <v>1.528832937776191E-2</v>
      </c>
      <c r="Q87" s="277">
        <f>'Initial unit rates'!Q215</f>
        <v>1.7843276466329459E-2</v>
      </c>
      <c r="R87" s="277">
        <f>'Initial unit rates'!R215</f>
        <v>-1.5283029518819408E-2</v>
      </c>
      <c r="S87" s="277">
        <f>'Initial unit rates'!S215</f>
        <v>-1.402063516489232E-2</v>
      </c>
      <c r="T87" s="277">
        <f>'Initial unit rates'!T215</f>
        <v>-1.5283029518819408E-2</v>
      </c>
      <c r="U87" s="277">
        <f>'Initial unit rates'!U215</f>
        <v>-1.5283029518819408E-2</v>
      </c>
      <c r="V87" s="277">
        <f>'Initial unit rates'!V215</f>
        <v>-1.402063516489232E-2</v>
      </c>
      <c r="W87" s="277">
        <f>'Initial unit rates'!W215</f>
        <v>-1.402063516489232E-2</v>
      </c>
      <c r="X87" s="277">
        <f>'Initial unit rates'!X215</f>
        <v>-1.3819189257350763E-2</v>
      </c>
      <c r="Y87" s="277">
        <f>'Initial unit rates'!Y215</f>
        <v>-1.3819189257350763E-2</v>
      </c>
      <c r="Z87" s="266"/>
      <c r="AA87" s="266"/>
    </row>
    <row r="88" spans="4:27" x14ac:dyDescent="0.25">
      <c r="D88"/>
      <c r="F88" t="s">
        <v>195</v>
      </c>
      <c r="G88" t="s">
        <v>268</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25">
      <c r="D89"/>
      <c r="F89" t="s">
        <v>196</v>
      </c>
      <c r="G89" t="s">
        <v>268</v>
      </c>
      <c r="H89" s="266"/>
      <c r="I89" s="266"/>
      <c r="J89" s="277">
        <f>'Initial unit rates'!J217</f>
        <v>6.3762763397030534E-2</v>
      </c>
      <c r="K89" s="277">
        <f>'Initial unit rates'!K217</f>
        <v>6.3762763397030534E-2</v>
      </c>
      <c r="L89" s="277">
        <f>'Initial unit rates'!L217</f>
        <v>7.7310694747512315E-2</v>
      </c>
      <c r="M89" s="277">
        <f>'Initial unit rates'!M217</f>
        <v>7.7310694747512315E-2</v>
      </c>
      <c r="N89" s="277">
        <f>'Initial unit rates'!N217</f>
        <v>6.4142020842525627E-2</v>
      </c>
      <c r="O89" s="277">
        <f>'Initial unit rates'!O217</f>
        <v>5.490076905168334E-2</v>
      </c>
      <c r="P89" s="277">
        <f>'Initial unit rates'!P217</f>
        <v>4.717502978214945E-2</v>
      </c>
      <c r="Q89" s="277">
        <f>'Initial unit rates'!Q217</f>
        <v>5.5058801907723227E-2</v>
      </c>
      <c r="R89" s="277">
        <f>'Initial unit rates'!R217</f>
        <v>-4.7158676065711488E-2</v>
      </c>
      <c r="S89" s="277">
        <f>'Initial unit rates'!S217</f>
        <v>-4.326331969473006E-2</v>
      </c>
      <c r="T89" s="277">
        <f>'Initial unit rates'!T217</f>
        <v>-4.7158676065711488E-2</v>
      </c>
      <c r="U89" s="277">
        <f>'Initial unit rates'!U217</f>
        <v>-4.7158676065711488E-2</v>
      </c>
      <c r="V89" s="277">
        <f>'Initial unit rates'!V217</f>
        <v>-4.326331969473006E-2</v>
      </c>
      <c r="W89" s="277">
        <f>'Initial unit rates'!W217</f>
        <v>-4.326331969473006E-2</v>
      </c>
      <c r="X89" s="277">
        <f>'Initial unit rates'!X217</f>
        <v>0</v>
      </c>
      <c r="Y89" s="277">
        <f>'Initial unit rates'!Y217</f>
        <v>0</v>
      </c>
      <c r="Z89" s="266"/>
      <c r="AA89" s="266"/>
    </row>
    <row r="90" spans="4:27" x14ac:dyDescent="0.25">
      <c r="D90"/>
      <c r="F90" t="s">
        <v>197</v>
      </c>
      <c r="G90" t="s">
        <v>268</v>
      </c>
      <c r="H90" s="266"/>
      <c r="I90" s="266"/>
      <c r="J90" s="277">
        <f>'Initial unit rates'!J218</f>
        <v>2.2525060521857754E-2</v>
      </c>
      <c r="K90" s="277">
        <f>'Initial unit rates'!K218</f>
        <v>2.2525060521857754E-2</v>
      </c>
      <c r="L90" s="277">
        <f>'Initial unit rates'!L218</f>
        <v>2.7311050923738426E-2</v>
      </c>
      <c r="M90" s="277">
        <f>'Initial unit rates'!M218</f>
        <v>2.7311050923738426E-2</v>
      </c>
      <c r="N90" s="277">
        <f>'Initial unit rates'!N218</f>
        <v>2.2659038355596687E-2</v>
      </c>
      <c r="O90" s="277">
        <f>'Initial unit rates'!O218</f>
        <v>1.9394440888415031E-2</v>
      </c>
      <c r="P90" s="277">
        <f>'Initial unit rates'!P218</f>
        <v>0</v>
      </c>
      <c r="Q90" s="277">
        <f>'Initial unit rates'!Q218</f>
        <v>1.9450268137064457E-2</v>
      </c>
      <c r="R90" s="277">
        <f>'Initial unit rates'!R218</f>
        <v>-1.6659441591270585E-2</v>
      </c>
      <c r="S90" s="277">
        <f>'Initial unit rates'!S218</f>
        <v>0</v>
      </c>
      <c r="T90" s="277">
        <f>'Initial unit rates'!T218</f>
        <v>-1.6659441591270585E-2</v>
      </c>
      <c r="U90" s="277">
        <f>'Initial unit rates'!U218</f>
        <v>-1.6659441591270585E-2</v>
      </c>
      <c r="V90" s="277">
        <f>'Initial unit rates'!V218</f>
        <v>0</v>
      </c>
      <c r="W90" s="277">
        <f>'Initial unit rates'!W218</f>
        <v>0</v>
      </c>
      <c r="X90" s="277">
        <f>'Initial unit rates'!X218</f>
        <v>0</v>
      </c>
      <c r="Y90" s="277">
        <f>'Initial unit rates'!Y218</f>
        <v>0</v>
      </c>
      <c r="Z90" s="266"/>
      <c r="AA90" s="266"/>
    </row>
    <row r="91" spans="4:27" x14ac:dyDescent="0.25">
      <c r="D91"/>
      <c r="F91" t="s">
        <v>198</v>
      </c>
      <c r="G91" t="s">
        <v>268</v>
      </c>
      <c r="H91" s="266"/>
      <c r="I91" s="266"/>
      <c r="J91" s="277">
        <f>'Initial unit rates'!J219</f>
        <v>4.529644179990891E-2</v>
      </c>
      <c r="K91" s="277">
        <f>'Initial unit rates'!K219</f>
        <v>4.529644179990891E-2</v>
      </c>
      <c r="L91" s="277">
        <f>'Initial unit rates'!L219</f>
        <v>5.4920759367595114E-2</v>
      </c>
      <c r="M91" s="277">
        <f>'Initial unit rates'!M219</f>
        <v>5.4920759367595114E-2</v>
      </c>
      <c r="N91" s="277">
        <f>'Initial unit rates'!N219</f>
        <v>4.5565862569835122E-2</v>
      </c>
      <c r="O91" s="277">
        <f>'Initial unit rates'!O219</f>
        <v>0</v>
      </c>
      <c r="P91" s="277">
        <f>'Initial unit rates'!P219</f>
        <v>0</v>
      </c>
      <c r="Q91" s="277">
        <f>'Initial unit rates'!Q219</f>
        <v>3.9113232917098513E-2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374</v>
      </c>
      <c r="G92" s="90" t="s">
        <v>268</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375</v>
      </c>
      <c r="G93" s="91" t="s">
        <v>268</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619</v>
      </c>
      <c r="J95" s="101"/>
      <c r="K95" s="101"/>
      <c r="L95" s="101"/>
      <c r="M95" s="101"/>
      <c r="N95" s="101"/>
      <c r="O95" s="101"/>
      <c r="P95" s="101"/>
      <c r="Q95" s="101"/>
      <c r="R95" s="101"/>
      <c r="S95" s="101"/>
      <c r="T95" s="101"/>
      <c r="U95" s="101"/>
      <c r="V95" s="101"/>
      <c r="W95" s="101"/>
      <c r="X95" s="101"/>
      <c r="Y95" s="101"/>
    </row>
    <row r="96" spans="4:27" x14ac:dyDescent="0.25">
      <c r="D96"/>
      <c r="F96" s="90" t="s">
        <v>188</v>
      </c>
      <c r="G96" s="90" t="s">
        <v>268</v>
      </c>
      <c r="H96" s="264"/>
      <c r="I96" s="264"/>
      <c r="J96" s="276">
        <f>'Initial unit rates'!J222</f>
        <v>9.5631075865621942E-3</v>
      </c>
      <c r="K96" s="276">
        <f>'Initial unit rates'!K222</f>
        <v>9.5631075865621942E-3</v>
      </c>
      <c r="L96" s="276">
        <f>'Initial unit rates'!L222</f>
        <v>1.1595019601938395E-2</v>
      </c>
      <c r="M96" s="276">
        <f>'Initial unit rates'!M222</f>
        <v>1.1595019601938395E-2</v>
      </c>
      <c r="N96" s="276">
        <f>'Initial unit rates'!N222</f>
        <v>9.619988429879647E-3</v>
      </c>
      <c r="O96" s="276">
        <f>'Initial unit rates'!O222</f>
        <v>8.2339900759492834E-3</v>
      </c>
      <c r="P96" s="276">
        <f>'Initial unit rates'!P222</f>
        <v>7.0752875372867008E-3</v>
      </c>
      <c r="Q96" s="276">
        <f>'Initial unit rates'!Q222</f>
        <v>8.25769176521126E-3</v>
      </c>
      <c r="R96" s="276">
        <f>'Initial unit rates'!R222</f>
        <v>-7.0728348150173974E-3</v>
      </c>
      <c r="S96" s="276">
        <f>'Initial unit rates'!S222</f>
        <v>-6.4886112011231659E-3</v>
      </c>
      <c r="T96" s="276">
        <f>'Initial unit rates'!T222</f>
        <v>-7.0728348150173974E-3</v>
      </c>
      <c r="U96" s="276">
        <f>'Initial unit rates'!U222</f>
        <v>-7.0728348150173974E-3</v>
      </c>
      <c r="V96" s="276">
        <f>'Initial unit rates'!V222</f>
        <v>-6.4886112011231659E-3</v>
      </c>
      <c r="W96" s="276">
        <f>'Initial unit rates'!W222</f>
        <v>-6.4886112011231659E-3</v>
      </c>
      <c r="X96" s="276">
        <f>'Initial unit rates'!X222</f>
        <v>-6.395384028693234E-3</v>
      </c>
      <c r="Y96" s="276">
        <f>'Initial unit rates'!Y222</f>
        <v>-6.395384028693234E-3</v>
      </c>
      <c r="Z96" s="266"/>
      <c r="AA96" s="266"/>
    </row>
    <row r="97" spans="3:42" x14ac:dyDescent="0.25">
      <c r="D97"/>
      <c r="F97" t="s">
        <v>190</v>
      </c>
      <c r="G97" t="s">
        <v>268</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191</v>
      </c>
      <c r="G98" t="s">
        <v>268</v>
      </c>
      <c r="H98" s="266"/>
      <c r="I98" s="266"/>
      <c r="J98" s="277">
        <f>'Initial unit rates'!J224</f>
        <v>7.0880874413180315E-3</v>
      </c>
      <c r="K98" s="277">
        <f>'Initial unit rates'!K224</f>
        <v>7.0880874413180315E-3</v>
      </c>
      <c r="L98" s="277">
        <f>'Initial unit rates'!L224</f>
        <v>8.5941219502562206E-3</v>
      </c>
      <c r="M98" s="277">
        <f>'Initial unit rates'!M224</f>
        <v>8.5941219502562206E-3</v>
      </c>
      <c r="N98" s="277">
        <f>'Initial unit rates'!N224</f>
        <v>7.1302469995495592E-3</v>
      </c>
      <c r="O98" s="277">
        <f>'Initial unit rates'!O224</f>
        <v>6.1029577593881522E-3</v>
      </c>
      <c r="P98" s="277">
        <f>'Initial unit rates'!P224</f>
        <v>5.2441380882534009E-3</v>
      </c>
      <c r="Q98" s="277">
        <f>'Initial unit rates'!Q224</f>
        <v>6.120525233608759E-3</v>
      </c>
      <c r="R98" s="277">
        <f>'Initial unit rates'!R224</f>
        <v>-5.2423201530522401E-3</v>
      </c>
      <c r="S98" s="277">
        <f>'Initial unit rates'!S224</f>
        <v>-4.809298980480263E-3</v>
      </c>
      <c r="T98" s="277">
        <f>'Initial unit rates'!T224</f>
        <v>-5.2423201530522401E-3</v>
      </c>
      <c r="U98" s="277">
        <f>'Initial unit rates'!U224</f>
        <v>-5.2423201530522401E-3</v>
      </c>
      <c r="V98" s="277">
        <f>'Initial unit rates'!V224</f>
        <v>-4.809298980480263E-3</v>
      </c>
      <c r="W98" s="277">
        <f>'Initial unit rates'!W224</f>
        <v>-4.809298980480263E-3</v>
      </c>
      <c r="X98" s="277">
        <f>'Initial unit rates'!X224</f>
        <v>-4.7401998571975001E-3</v>
      </c>
      <c r="Y98" s="277">
        <f>'Initial unit rates'!Y224</f>
        <v>-4.7401998571975001E-3</v>
      </c>
      <c r="Z98" s="266"/>
      <c r="AA98" s="266"/>
    </row>
    <row r="99" spans="3:42" x14ac:dyDescent="0.25">
      <c r="D99"/>
      <c r="F99" t="s">
        <v>192</v>
      </c>
      <c r="G99" t="s">
        <v>268</v>
      </c>
      <c r="H99" s="266"/>
      <c r="I99" s="266"/>
      <c r="J99" s="277">
        <f>'Initial unit rates'!J225</f>
        <v>2.8365502722392652E-3</v>
      </c>
      <c r="K99" s="277">
        <f>'Initial unit rates'!K225</f>
        <v>2.8365502722392652E-3</v>
      </c>
      <c r="L99" s="277">
        <f>'Initial unit rates'!L225</f>
        <v>3.4392435419961041E-3</v>
      </c>
      <c r="M99" s="277">
        <f>'Initial unit rates'!M225</f>
        <v>3.4392435419961041E-3</v>
      </c>
      <c r="N99" s="277">
        <f>'Initial unit rates'!N225</f>
        <v>2.8534219188391676E-3</v>
      </c>
      <c r="O99" s="277">
        <f>'Initial unit rates'!O225</f>
        <v>2.4423155946053268E-3</v>
      </c>
      <c r="P99" s="277">
        <f>'Initial unit rates'!P225</f>
        <v>2.0986283599133231E-3</v>
      </c>
      <c r="Q99" s="277">
        <f>'Initial unit rates'!Q225</f>
        <v>2.4493458441889509E-3</v>
      </c>
      <c r="R99" s="277">
        <f>'Initial unit rates'!R225</f>
        <v>-2.0979008484890557E-3</v>
      </c>
      <c r="S99" s="277">
        <f>'Initial unit rates'!S225</f>
        <v>-1.9246120262061287E-3</v>
      </c>
      <c r="T99" s="277">
        <f>'Initial unit rates'!T225</f>
        <v>-2.0979008484890557E-3</v>
      </c>
      <c r="U99" s="277">
        <f>'Initial unit rates'!U225</f>
        <v>-2.0979008484890557E-3</v>
      </c>
      <c r="V99" s="277">
        <f>'Initial unit rates'!V225</f>
        <v>-1.9246120262061287E-3</v>
      </c>
      <c r="W99" s="277">
        <f>'Initial unit rates'!W225</f>
        <v>-1.9246120262061287E-3</v>
      </c>
      <c r="X99" s="277">
        <f>'Initial unit rates'!X225</f>
        <v>-1.8969595545652355E-3</v>
      </c>
      <c r="Y99" s="277">
        <f>'Initial unit rates'!Y225</f>
        <v>-1.8969595545652355E-3</v>
      </c>
      <c r="Z99" s="266"/>
      <c r="AA99" s="266"/>
    </row>
    <row r="100" spans="3:42" x14ac:dyDescent="0.25">
      <c r="D100"/>
      <c r="F100" t="s">
        <v>193</v>
      </c>
      <c r="G100" t="s">
        <v>268</v>
      </c>
      <c r="H100" s="266"/>
      <c r="I100" s="266"/>
      <c r="J100" s="277">
        <f>'Initial unit rates'!J226</f>
        <v>1.8739772655810207E-2</v>
      </c>
      <c r="K100" s="277">
        <f>'Initial unit rates'!K226</f>
        <v>1.8739772655810207E-2</v>
      </c>
      <c r="L100" s="277">
        <f>'Initial unit rates'!L226</f>
        <v>2.2721487687257166E-2</v>
      </c>
      <c r="M100" s="277">
        <f>'Initial unit rates'!M226</f>
        <v>2.2721487687257166E-2</v>
      </c>
      <c r="N100" s="277">
        <f>'Initial unit rates'!N226</f>
        <v>1.8851235803389731E-2</v>
      </c>
      <c r="O100" s="277">
        <f>'Initial unit rates'!O226</f>
        <v>1.6135246903455251E-2</v>
      </c>
      <c r="P100" s="277">
        <f>'Initial unit rates'!P226</f>
        <v>1.3864664673390349E-2</v>
      </c>
      <c r="Q100" s="277">
        <f>'Initial unit rates'!Q226</f>
        <v>1.618169250330944E-2</v>
      </c>
      <c r="R100" s="277">
        <f>'Initial unit rates'!R226</f>
        <v>-1.3859858342676345E-2</v>
      </c>
      <c r="S100" s="277">
        <f>'Initial unit rates'!S226</f>
        <v>-1.271501942860642E-2</v>
      </c>
      <c r="T100" s="277">
        <f>'Initial unit rates'!T226</f>
        <v>-1.3859858342676345E-2</v>
      </c>
      <c r="U100" s="277">
        <f>'Initial unit rates'!U226</f>
        <v>-1.3859858342676345E-2</v>
      </c>
      <c r="V100" s="277">
        <f>'Initial unit rates'!V226</f>
        <v>-1.271501942860642E-2</v>
      </c>
      <c r="W100" s="277">
        <f>'Initial unit rates'!W226</f>
        <v>-1.271501942860642E-2</v>
      </c>
      <c r="X100" s="277">
        <f>'Initial unit rates'!X226</f>
        <v>-1.253233236785058E-2</v>
      </c>
      <c r="Y100" s="277">
        <f>'Initial unit rates'!Y226</f>
        <v>-1.253233236785058E-2</v>
      </c>
      <c r="Z100" s="266"/>
      <c r="AA100" s="266"/>
    </row>
    <row r="101" spans="3:42" x14ac:dyDescent="0.25">
      <c r="D101"/>
      <c r="F101" t="s">
        <v>194</v>
      </c>
      <c r="G101" t="s">
        <v>268</v>
      </c>
      <c r="H101" s="266"/>
      <c r="I101" s="266"/>
      <c r="J101" s="277">
        <f>'Initial unit rates'!J227</f>
        <v>9.1613428325464999E-3</v>
      </c>
      <c r="K101" s="277">
        <f>'Initial unit rates'!K227</f>
        <v>9.1613428325464999E-3</v>
      </c>
      <c r="L101" s="277">
        <f>'Initial unit rates'!L227</f>
        <v>1.1107890271225239E-2</v>
      </c>
      <c r="M101" s="277">
        <f>'Initial unit rates'!M227</f>
        <v>1.1107890271225239E-2</v>
      </c>
      <c r="N101" s="277">
        <f>'Initial unit rates'!N227</f>
        <v>9.2158340009787978E-3</v>
      </c>
      <c r="O101" s="277">
        <f>'Initial unit rates'!O227</f>
        <v>7.8880641342522657E-3</v>
      </c>
      <c r="P101" s="277">
        <f>'Initial unit rates'!P227</f>
        <v>6.778040943407255E-3</v>
      </c>
      <c r="Q101" s="277">
        <f>'Initial unit rates'!Q227</f>
        <v>7.9107700694384959E-3</v>
      </c>
      <c r="R101" s="277">
        <f>'Initial unit rates'!R227</f>
        <v>-6.7756912647720709E-3</v>
      </c>
      <c r="S101" s="277">
        <f>'Initial unit rates'!S227</f>
        <v>-6.2160120214604948E-3</v>
      </c>
      <c r="T101" s="277">
        <f>'Initial unit rates'!T227</f>
        <v>-6.7756912647720709E-3</v>
      </c>
      <c r="U101" s="277">
        <f>'Initial unit rates'!U227</f>
        <v>-6.7756912647720709E-3</v>
      </c>
      <c r="V101" s="277">
        <f>'Initial unit rates'!V227</f>
        <v>-6.2160120214604948E-3</v>
      </c>
      <c r="W101" s="277">
        <f>'Initial unit rates'!W227</f>
        <v>-6.2160120214604948E-3</v>
      </c>
      <c r="X101" s="277">
        <f>'Initial unit rates'!X227</f>
        <v>-6.1267015039107734E-3</v>
      </c>
      <c r="Y101" s="277">
        <f>'Initial unit rates'!Y227</f>
        <v>-6.1267015039107734E-3</v>
      </c>
      <c r="Z101" s="266"/>
      <c r="AA101" s="266"/>
    </row>
    <row r="102" spans="3:42" x14ac:dyDescent="0.25">
      <c r="D102"/>
      <c r="F102" t="s">
        <v>195</v>
      </c>
      <c r="G102" t="s">
        <v>268</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25">
      <c r="D103"/>
      <c r="F103" t="s">
        <v>196</v>
      </c>
      <c r="G103" t="s">
        <v>268</v>
      </c>
      <c r="H103" s="266"/>
      <c r="I103" s="266"/>
      <c r="J103" s="277">
        <f>'Initial unit rates'!J229</f>
        <v>2.8269054799310658E-2</v>
      </c>
      <c r="K103" s="277">
        <f>'Initial unit rates'!K229</f>
        <v>2.8269054799310658E-2</v>
      </c>
      <c r="L103" s="277">
        <f>'Initial unit rates'!L229</f>
        <v>3.4275494817904713E-2</v>
      </c>
      <c r="M103" s="277">
        <f>'Initial unit rates'!M229</f>
        <v>3.4275494817904713E-2</v>
      </c>
      <c r="N103" s="277">
        <f>'Initial unit rates'!N229</f>
        <v>2.8437197598313733E-2</v>
      </c>
      <c r="O103" s="277">
        <f>'Initial unit rates'!O229</f>
        <v>2.4340112726648419E-2</v>
      </c>
      <c r="P103" s="277">
        <f>'Initial unit rates'!P229</f>
        <v>2.0914926377434907E-2</v>
      </c>
      <c r="Q103" s="277">
        <f>'Initial unit rates'!Q229</f>
        <v>2.4410176181076607E-2</v>
      </c>
      <c r="R103" s="277">
        <f>'Initial unit rates'!R229</f>
        <v>-2.0907675999917889E-2</v>
      </c>
      <c r="S103" s="277">
        <f>'Initial unit rates'!S229</f>
        <v>-1.9180679915566146E-2</v>
      </c>
      <c r="T103" s="277">
        <f>'Initial unit rates'!T229</f>
        <v>-2.0907675999917889E-2</v>
      </c>
      <c r="U103" s="277">
        <f>'Initial unit rates'!U229</f>
        <v>-2.0907675999917889E-2</v>
      </c>
      <c r="V103" s="277">
        <f>'Initial unit rates'!V229</f>
        <v>-1.9180679915566146E-2</v>
      </c>
      <c r="W103" s="277">
        <f>'Initial unit rates'!W229</f>
        <v>-1.9180679915566146E-2</v>
      </c>
      <c r="X103" s="277">
        <f>'Initial unit rates'!X229</f>
        <v>0</v>
      </c>
      <c r="Y103" s="277">
        <f>'Initial unit rates'!Y229</f>
        <v>0</v>
      </c>
      <c r="Z103" s="266"/>
      <c r="AA103" s="266"/>
    </row>
    <row r="104" spans="3:42" x14ac:dyDescent="0.25">
      <c r="D104"/>
      <c r="F104" t="s">
        <v>197</v>
      </c>
      <c r="G104" t="s">
        <v>268</v>
      </c>
      <c r="H104" s="266"/>
      <c r="I104" s="266"/>
      <c r="J104" s="277">
        <f>'Initial unit rates'!J230</f>
        <v>9.9864268159971289E-3</v>
      </c>
      <c r="K104" s="277">
        <f>'Initial unit rates'!K230</f>
        <v>9.9864268159971289E-3</v>
      </c>
      <c r="L104" s="277">
        <f>'Initial unit rates'!L230</f>
        <v>1.2108283174343738E-2</v>
      </c>
      <c r="M104" s="277">
        <f>'Initial unit rates'!M230</f>
        <v>1.2108283174343738E-2</v>
      </c>
      <c r="N104" s="277">
        <f>'Initial unit rates'!N230</f>
        <v>1.0045825539046125E-2</v>
      </c>
      <c r="O104" s="277">
        <f>'Initial unit rates'!O230</f>
        <v>8.5984747690864456E-3</v>
      </c>
      <c r="P104" s="277">
        <f>'Initial unit rates'!P230</f>
        <v>0</v>
      </c>
      <c r="Q104" s="277">
        <f>'Initial unit rates'!Q230</f>
        <v>8.6232256341256305E-3</v>
      </c>
      <c r="R104" s="277">
        <f>'Initial unit rates'!R230</f>
        <v>-7.3859199661267423E-3</v>
      </c>
      <c r="S104" s="277">
        <f>'Initial unit rates'!S230</f>
        <v>0</v>
      </c>
      <c r="T104" s="277">
        <f>'Initial unit rates'!T230</f>
        <v>-7.3859199661267423E-3</v>
      </c>
      <c r="U104" s="277">
        <f>'Initial unit rates'!U230</f>
        <v>-7.3859199661267423E-3</v>
      </c>
      <c r="V104" s="277">
        <f>'Initial unit rates'!V230</f>
        <v>0</v>
      </c>
      <c r="W104" s="277">
        <f>'Initial unit rates'!W230</f>
        <v>0</v>
      </c>
      <c r="X104" s="277">
        <f>'Initial unit rates'!X230</f>
        <v>0</v>
      </c>
      <c r="Y104" s="277">
        <f>'Initial unit rates'!Y230</f>
        <v>0</v>
      </c>
      <c r="Z104" s="266"/>
      <c r="AA104" s="266"/>
    </row>
    <row r="105" spans="3:42" x14ac:dyDescent="0.25">
      <c r="D105"/>
      <c r="F105" t="s">
        <v>198</v>
      </c>
      <c r="G105" t="s">
        <v>268</v>
      </c>
      <c r="H105" s="266"/>
      <c r="I105" s="266"/>
      <c r="J105" s="277">
        <f>'Initial unit rates'!J231</f>
        <v>2.0082059296618309E-2</v>
      </c>
      <c r="K105" s="277">
        <f>'Initial unit rates'!K231</f>
        <v>2.0082059296618309E-2</v>
      </c>
      <c r="L105" s="277">
        <f>'Initial unit rates'!L231</f>
        <v>2.4348975381054509E-2</v>
      </c>
      <c r="M105" s="277">
        <f>'Initial unit rates'!M231</f>
        <v>2.4348975381054509E-2</v>
      </c>
      <c r="N105" s="277">
        <f>'Initial unit rates'!N231</f>
        <v>2.0201506292064419E-2</v>
      </c>
      <c r="O105" s="277">
        <f>'Initial unit rates'!O231</f>
        <v>0</v>
      </c>
      <c r="P105" s="277">
        <f>'Initial unit rates'!P231</f>
        <v>0</v>
      </c>
      <c r="Q105" s="277">
        <f>'Initial unit rates'!Q231</f>
        <v>1.7340749770000587E-2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374</v>
      </c>
      <c r="G106" s="90" t="s">
        <v>268</v>
      </c>
      <c r="H106" s="264"/>
      <c r="I106" s="264" t="s">
        <v>153</v>
      </c>
      <c r="J106" s="278"/>
      <c r="K106" s="278"/>
      <c r="L106" s="278"/>
      <c r="M106" s="278"/>
      <c r="N106" s="278"/>
      <c r="O106" s="278"/>
      <c r="P106" s="278"/>
      <c r="Q106" s="276">
        <f>'Service model charges'!$Q$44</f>
        <v>0</v>
      </c>
      <c r="R106" s="278"/>
      <c r="S106" s="278"/>
      <c r="T106" s="278"/>
      <c r="U106" s="278"/>
      <c r="V106" s="278"/>
      <c r="W106" s="278"/>
      <c r="X106" s="278"/>
      <c r="Y106" s="278"/>
      <c r="Z106" s="266"/>
      <c r="AA106" s="266" t="s">
        <v>651</v>
      </c>
    </row>
    <row r="107" spans="3:42" x14ac:dyDescent="0.25">
      <c r="D107"/>
      <c r="F107" s="91" t="s">
        <v>375</v>
      </c>
      <c r="G107" s="91" t="s">
        <v>268</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119</v>
      </c>
      <c r="H111" s="47"/>
      <c r="I111" t="s">
        <v>153</v>
      </c>
      <c r="J111" s="92"/>
      <c r="L111" s="92"/>
      <c r="AA111" t="s">
        <v>202</v>
      </c>
      <c r="AP111" s="3"/>
    </row>
    <row r="112" spans="3:42" x14ac:dyDescent="0.25">
      <c r="C112" s="60"/>
      <c r="D112"/>
      <c r="E112"/>
      <c r="F112" s="90" t="s">
        <v>190</v>
      </c>
      <c r="G112" s="90" t="s">
        <v>166</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191</v>
      </c>
      <c r="G113" t="s">
        <v>166</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192</v>
      </c>
      <c r="G114" t="s">
        <v>166</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193</v>
      </c>
      <c r="G115" t="s">
        <v>166</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194</v>
      </c>
      <c r="G116" t="s">
        <v>166</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195</v>
      </c>
      <c r="G117" t="s">
        <v>166</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196</v>
      </c>
      <c r="G118" t="s">
        <v>166</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197</v>
      </c>
      <c r="G119" t="s">
        <v>166</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198</v>
      </c>
      <c r="G120" s="91" t="s">
        <v>166</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652</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153</v>
      </c>
      <c r="AA125" t="s">
        <v>653</v>
      </c>
    </row>
    <row r="126" spans="2:42" x14ac:dyDescent="0.25">
      <c r="E126" s="60" t="s">
        <v>618</v>
      </c>
    </row>
    <row r="127" spans="2:42" x14ac:dyDescent="0.25">
      <c r="F127" s="90" t="s">
        <v>188</v>
      </c>
      <c r="G127" s="90" t="s">
        <v>268</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190</v>
      </c>
      <c r="G128" t="s">
        <v>268</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191</v>
      </c>
      <c r="G129" t="s">
        <v>268</v>
      </c>
      <c r="H129" s="266"/>
      <c r="I129" s="266"/>
      <c r="J129" s="280">
        <f t="shared" ref="J129:K129" si="14">J24 * (1 - J$113)</f>
        <v>0.61797964748237277</v>
      </c>
      <c r="K129" s="280">
        <f t="shared" si="14"/>
        <v>0.61797964748237277</v>
      </c>
      <c r="L129" s="280">
        <f t="shared" ref="L129:M129" si="15">L24 * (1 - L$113)</f>
        <v>0.74928427410205323</v>
      </c>
      <c r="M129" s="280">
        <f t="shared" si="15"/>
        <v>0.74928427410205323</v>
      </c>
      <c r="N129" s="280">
        <f t="shared" ref="N129:P129" si="16">N24 * (1 - N$113)</f>
        <v>0.62165535678331307</v>
      </c>
      <c r="O129" s="280">
        <f t="shared" si="16"/>
        <v>0.53209045683629275</v>
      </c>
      <c r="P129" s="280">
        <f t="shared" si="16"/>
        <v>0.45721368901807707</v>
      </c>
      <c r="Q129" s="280">
        <f t="shared" ref="Q129:S129" si="17">Q24 * (1 - Q$113)</f>
        <v>1.5561344595138635</v>
      </c>
      <c r="R129" s="280">
        <f t="shared" si="17"/>
        <v>-0.4570551911208573</v>
      </c>
      <c r="S129" s="280">
        <f t="shared" si="17"/>
        <v>-0.41930195037800977</v>
      </c>
      <c r="T129" s="280">
        <f t="shared" ref="T129:U129" si="18">T24 * (1 - T$113)</f>
        <v>-0.4570551911208573</v>
      </c>
      <c r="U129" s="280">
        <f t="shared" si="18"/>
        <v>-0.4570551911208573</v>
      </c>
      <c r="V129" s="280">
        <f t="shared" ref="V129:W129" si="19">V24 * (1 - V$113)</f>
        <v>-0.41930195037800977</v>
      </c>
      <c r="W129" s="280">
        <f t="shared" si="19"/>
        <v>-0.41930195037800977</v>
      </c>
      <c r="X129" s="280">
        <f t="shared" ref="X129:Y129" si="20">X24 * (1 - X$113)</f>
        <v>-0.41327749706798078</v>
      </c>
      <c r="Y129" s="280">
        <f t="shared" si="20"/>
        <v>-0.41327749706798078</v>
      </c>
      <c r="Z129" s="266"/>
      <c r="AA129" s="266"/>
    </row>
    <row r="130" spans="4:27" x14ac:dyDescent="0.25">
      <c r="F130" t="s">
        <v>192</v>
      </c>
      <c r="G130" t="s">
        <v>268</v>
      </c>
      <c r="H130" s="266"/>
      <c r="I130" s="266"/>
      <c r="J130" s="280">
        <f t="shared" ref="J130:K130" si="21">J25 * (1 - J$114)</f>
        <v>0.24730653392990481</v>
      </c>
      <c r="K130" s="280">
        <f t="shared" si="21"/>
        <v>0.24730653392990481</v>
      </c>
      <c r="L130" s="280">
        <f t="shared" ref="L130:M130" si="22">L25 * (1 - L$114)</f>
        <v>0.29985275002385747</v>
      </c>
      <c r="M130" s="280">
        <f t="shared" si="22"/>
        <v>0.29985275002385747</v>
      </c>
      <c r="N130" s="280">
        <f t="shared" ref="N130:P130" si="23">N25 * (1 - N$114)</f>
        <v>0.24877749973056312</v>
      </c>
      <c r="O130" s="280">
        <f t="shared" si="23"/>
        <v>0.21293491970723297</v>
      </c>
      <c r="P130" s="280">
        <f t="shared" si="23"/>
        <v>0.18297031812781714</v>
      </c>
      <c r="Q130" s="280">
        <f t="shared" ref="Q130:S130" si="24">Q25 * (1 - Q$114)</f>
        <v>0.62274254674744223</v>
      </c>
      <c r="R130" s="280">
        <f t="shared" si="24"/>
        <v>-0.18290688955738393</v>
      </c>
      <c r="S130" s="280">
        <f t="shared" si="24"/>
        <v>-0.16779858760800426</v>
      </c>
      <c r="T130" s="280">
        <f t="shared" ref="T130:U130" si="25">T25 * (1 - T$114)</f>
        <v>-0.18290688955738393</v>
      </c>
      <c r="U130" s="280">
        <f t="shared" si="25"/>
        <v>-0.18290688955738393</v>
      </c>
      <c r="V130" s="280">
        <f t="shared" ref="V130:W130" si="26">V25 * (1 - V$114)</f>
        <v>-0.16779858760800426</v>
      </c>
      <c r="W130" s="280">
        <f t="shared" si="26"/>
        <v>-0.16779858760800426</v>
      </c>
      <c r="X130" s="280">
        <f t="shared" ref="X130:Y130" si="27">X25 * (1 - X$114)</f>
        <v>-0.16538768836076281</v>
      </c>
      <c r="Y130" s="280">
        <f t="shared" si="27"/>
        <v>-0.16538768836076281</v>
      </c>
      <c r="Z130" s="266"/>
      <c r="AA130" s="266"/>
    </row>
    <row r="131" spans="4:27" x14ac:dyDescent="0.25">
      <c r="F131" t="s">
        <v>193</v>
      </c>
      <c r="G131" t="s">
        <v>268</v>
      </c>
      <c r="H131" s="266"/>
      <c r="I131" s="266"/>
      <c r="J131" s="280">
        <f t="shared" ref="J131:K131" si="28">J26 * (1 - J$115)</f>
        <v>0.68129855196236522</v>
      </c>
      <c r="K131" s="280">
        <f t="shared" si="28"/>
        <v>0.68129855196236522</v>
      </c>
      <c r="L131" s="280">
        <f t="shared" ref="L131:M131" si="29">L26 * (1 - L$115)</f>
        <v>0.82605680143934179</v>
      </c>
      <c r="M131" s="280">
        <f t="shared" si="29"/>
        <v>0.82605680143934179</v>
      </c>
      <c r="N131" s="280">
        <f t="shared" ref="N131:P131" si="30">N26 * (1 - N$115)</f>
        <v>0.68535087866012556</v>
      </c>
      <c r="O131" s="280">
        <f t="shared" si="30"/>
        <v>0.58660905619209736</v>
      </c>
      <c r="P131" s="280">
        <f t="shared" si="30"/>
        <v>0.40324826299302663</v>
      </c>
      <c r="Q131" s="280">
        <f t="shared" ref="Q131:S131" si="31">Q26 * (1 - Q$115)</f>
        <v>1.6190979626033553</v>
      </c>
      <c r="R131" s="280">
        <f t="shared" si="31"/>
        <v>-0.50388559096746688</v>
      </c>
      <c r="S131" s="280">
        <f t="shared" si="31"/>
        <v>-0.46226410981549687</v>
      </c>
      <c r="T131" s="280">
        <f t="shared" ref="T131:U131" si="32">T26 * (1 - T$115)</f>
        <v>-0.50388559096746688</v>
      </c>
      <c r="U131" s="280">
        <f t="shared" si="32"/>
        <v>-0.50388559096746688</v>
      </c>
      <c r="V131" s="280">
        <f t="shared" ref="V131:W131" si="33">V26 * (1 - V$115)</f>
        <v>-0.46226410981549687</v>
      </c>
      <c r="W131" s="280">
        <f t="shared" si="33"/>
        <v>-0.46226410981549687</v>
      </c>
      <c r="X131" s="280">
        <f t="shared" ref="X131:Y131" si="34">X26 * (1 - X$115)</f>
        <v>-0.45562238409975692</v>
      </c>
      <c r="Y131" s="280">
        <f t="shared" si="34"/>
        <v>-0.45562238409975692</v>
      </c>
      <c r="Z131" s="266"/>
      <c r="AA131" s="266"/>
    </row>
    <row r="132" spans="4:27" x14ac:dyDescent="0.25">
      <c r="F132" t="s">
        <v>194</v>
      </c>
      <c r="G132" t="s">
        <v>268</v>
      </c>
      <c r="H132" s="266"/>
      <c r="I132" s="266"/>
      <c r="J132" s="280">
        <f t="shared" ref="J132:K132" si="35">J27 * (1 - J$116)</f>
        <v>0.33306752010726931</v>
      </c>
      <c r="K132" s="280">
        <f t="shared" si="35"/>
        <v>0.33306752010726931</v>
      </c>
      <c r="L132" s="280">
        <f t="shared" ref="L132:M132" si="36">L27 * (1 - L$116)</f>
        <v>0.40383571861509376</v>
      </c>
      <c r="M132" s="280">
        <f t="shared" si="36"/>
        <v>0.40383571861509376</v>
      </c>
      <c r="N132" s="280">
        <f t="shared" ref="N132:P132" si="37">N27 * (1 - N$116)</f>
        <v>0.3350485875849557</v>
      </c>
      <c r="O132" s="280">
        <f t="shared" si="37"/>
        <v>0.28677651384346459</v>
      </c>
      <c r="P132" s="280">
        <f t="shared" si="37"/>
        <v>0</v>
      </c>
      <c r="Q132" s="280">
        <f t="shared" ref="Q132:S132" si="38">Q27 * (1 - Q$116)</f>
        <v>0.7915310280078518</v>
      </c>
      <c r="R132" s="280">
        <f t="shared" si="38"/>
        <v>-0.24633536019990074</v>
      </c>
      <c r="S132" s="280">
        <f t="shared" si="38"/>
        <v>-0.22598779969129734</v>
      </c>
      <c r="T132" s="280">
        <f t="shared" ref="T132:U132" si="39">T27 * (1 - T$116)</f>
        <v>-0.24633536019990074</v>
      </c>
      <c r="U132" s="280">
        <f t="shared" si="39"/>
        <v>-0.24633536019990074</v>
      </c>
      <c r="V132" s="280">
        <f t="shared" ref="V132:W132" si="40">V27 * (1 - V$116)</f>
        <v>-0.22598779969129734</v>
      </c>
      <c r="W132" s="280">
        <f t="shared" si="40"/>
        <v>-0.22598779969129734</v>
      </c>
      <c r="X132" s="280">
        <f t="shared" ref="X132:Y132" si="41">X27 * (1 - X$116)</f>
        <v>-0.22274084854630741</v>
      </c>
      <c r="Y132" s="280">
        <f t="shared" si="41"/>
        <v>-0.22274084854630741</v>
      </c>
      <c r="Z132" s="266"/>
      <c r="AA132" s="266"/>
    </row>
    <row r="133" spans="4:27" x14ac:dyDescent="0.25">
      <c r="F133" t="s">
        <v>195</v>
      </c>
      <c r="G133" t="s">
        <v>268</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25">
      <c r="F134" t="s">
        <v>196</v>
      </c>
      <c r="G134" t="s">
        <v>268</v>
      </c>
      <c r="H134" s="266"/>
      <c r="I134" s="266"/>
      <c r="J134" s="280">
        <f t="shared" ref="J134:K134" si="49">J29 * (1 - J$118)</f>
        <v>1.0277427828956982</v>
      </c>
      <c r="K134" s="280">
        <f t="shared" si="49"/>
        <v>1.0277427828956982</v>
      </c>
      <c r="L134" s="280">
        <f t="shared" ref="L134:M134" si="50">L29 * (1 - L$118)</f>
        <v>1.2461114345478392</v>
      </c>
      <c r="M134" s="280">
        <f t="shared" si="50"/>
        <v>1.2461114345478392</v>
      </c>
      <c r="N134" s="280">
        <f t="shared" ref="N134:P134" si="51">N29 * (1 - N$118)</f>
        <v>0.82708459281513746</v>
      </c>
      <c r="O134" s="280">
        <f t="shared" si="51"/>
        <v>0</v>
      </c>
      <c r="P134" s="280">
        <f t="shared" si="51"/>
        <v>0</v>
      </c>
      <c r="Q134" s="280">
        <f t="shared" ref="Q134:S134" si="52">Q29 * (1 - Q$118)</f>
        <v>2.4424185859104064</v>
      </c>
      <c r="R134" s="280">
        <f t="shared" si="52"/>
        <v>-0.76011431116406458</v>
      </c>
      <c r="S134" s="280">
        <f t="shared" si="52"/>
        <v>-0.69732806753539855</v>
      </c>
      <c r="T134" s="280">
        <f t="shared" ref="T134:U134" si="53">T29 * (1 - T$118)</f>
        <v>-0.76011431116406458</v>
      </c>
      <c r="U134" s="280">
        <f t="shared" si="53"/>
        <v>-0.76011431116406458</v>
      </c>
      <c r="V134" s="280">
        <f t="shared" ref="V134:W134" si="54">V29 * (1 - V$118)</f>
        <v>-0.69732806753539855</v>
      </c>
      <c r="W134" s="280">
        <f t="shared" si="54"/>
        <v>-0.69732806753539855</v>
      </c>
      <c r="X134" s="280">
        <f t="shared" ref="X134:Y134" si="55">X29 * (1 - X$118)</f>
        <v>0</v>
      </c>
      <c r="Y134" s="280">
        <f t="shared" si="55"/>
        <v>0</v>
      </c>
      <c r="Z134" s="266"/>
      <c r="AA134" s="266"/>
    </row>
    <row r="135" spans="4:27" x14ac:dyDescent="0.25">
      <c r="F135" t="s">
        <v>197</v>
      </c>
      <c r="G135" t="s">
        <v>268</v>
      </c>
      <c r="H135" s="266"/>
      <c r="I135" s="266"/>
      <c r="J135" s="280">
        <f t="shared" ref="J135:K135" si="56">J30 * (1 - J$119)</f>
        <v>0.36306406987853712</v>
      </c>
      <c r="K135" s="280">
        <f t="shared" si="56"/>
        <v>0.36306406987853712</v>
      </c>
      <c r="L135" s="280">
        <f t="shared" ref="L135:M135" si="57">L30 * (1 - L$119)</f>
        <v>0.44020575622474112</v>
      </c>
      <c r="M135" s="280">
        <f t="shared" si="57"/>
        <v>0.44020575622474112</v>
      </c>
      <c r="N135" s="280">
        <f t="shared" ref="N135:P135" si="58">N30 * (1 - N$119)</f>
        <v>0</v>
      </c>
      <c r="O135" s="280">
        <f t="shared" si="58"/>
        <v>0</v>
      </c>
      <c r="P135" s="280">
        <f t="shared" si="58"/>
        <v>0</v>
      </c>
      <c r="Q135" s="280">
        <f t="shared" ref="Q135:S135" si="59">Q30 * (1 - Q$119)</f>
        <v>0.86281747428004729</v>
      </c>
      <c r="R135" s="280">
        <f t="shared" si="59"/>
        <v>-0.26852068433561865</v>
      </c>
      <c r="S135" s="280">
        <f t="shared" si="59"/>
        <v>0</v>
      </c>
      <c r="T135" s="280">
        <f t="shared" ref="T135:U135" si="60">T30 * (1 - T$119)</f>
        <v>-0.26852068433561865</v>
      </c>
      <c r="U135" s="280">
        <f t="shared" si="60"/>
        <v>-0.26852068433561865</v>
      </c>
      <c r="V135" s="280">
        <f t="shared" ref="V135:W135" si="61">V30 * (1 - V$119)</f>
        <v>0</v>
      </c>
      <c r="W135" s="280">
        <f t="shared" si="61"/>
        <v>0</v>
      </c>
      <c r="X135" s="280">
        <f t="shared" ref="X135:Y135" si="62">X30 * (1 - X$119)</f>
        <v>0</v>
      </c>
      <c r="Y135" s="280">
        <f t="shared" si="62"/>
        <v>0</v>
      </c>
      <c r="Z135" s="266"/>
      <c r="AA135" s="266"/>
    </row>
    <row r="136" spans="4:27" x14ac:dyDescent="0.25">
      <c r="F136" t="s">
        <v>198</v>
      </c>
      <c r="G136" t="s">
        <v>268</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1.7350702107879281</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374</v>
      </c>
      <c r="G137" s="90" t="s">
        <v>268</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375</v>
      </c>
      <c r="G138" s="91" t="s">
        <v>268</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619</v>
      </c>
      <c r="J140" s="101"/>
      <c r="K140" s="101"/>
      <c r="L140" s="101"/>
      <c r="M140" s="101"/>
      <c r="N140" s="101"/>
      <c r="O140" s="101"/>
      <c r="P140" s="101"/>
      <c r="Q140" s="101"/>
      <c r="R140" s="101"/>
      <c r="S140" s="101"/>
      <c r="T140" s="101"/>
      <c r="U140" s="101"/>
      <c r="V140" s="101"/>
      <c r="W140" s="101"/>
      <c r="X140" s="101"/>
      <c r="Y140" s="101"/>
    </row>
    <row r="141" spans="4:27" x14ac:dyDescent="0.25">
      <c r="F141" s="90" t="s">
        <v>188</v>
      </c>
      <c r="G141" s="90" t="s">
        <v>268</v>
      </c>
      <c r="H141" s="264"/>
      <c r="I141" s="264"/>
      <c r="J141" s="279">
        <f t="shared" ref="J141:K141" si="70">J36 * (1 - J$112)</f>
        <v>0.57345052898012894</v>
      </c>
      <c r="K141" s="279">
        <f t="shared" si="70"/>
        <v>0.57345052898012894</v>
      </c>
      <c r="L141" s="279">
        <f t="shared" ref="L141:M141" si="71">L36 * (1 - L$112)</f>
        <v>0.69529387430606349</v>
      </c>
      <c r="M141" s="279">
        <f t="shared" si="71"/>
        <v>0.69529387430606349</v>
      </c>
      <c r="N141" s="279">
        <f t="shared" ref="N141:P141" si="72">N36 * (1 - N$112)</f>
        <v>0.57686138150834532</v>
      </c>
      <c r="O141" s="279">
        <f t="shared" si="72"/>
        <v>0.49375016666184618</v>
      </c>
      <c r="P141" s="279">
        <f t="shared" si="72"/>
        <v>0.42426871644158987</v>
      </c>
      <c r="Q141" s="279">
        <f t="shared" ref="Q141:S141" si="73">Q36 * (1 - Q$112)</f>
        <v>1.4150190772213356</v>
      </c>
      <c r="R141" s="279">
        <f t="shared" si="73"/>
        <v>-0.4241216392629592</v>
      </c>
      <c r="S141" s="279">
        <f t="shared" si="73"/>
        <v>-0.38908874463139659</v>
      </c>
      <c r="T141" s="279">
        <f t="shared" ref="T141:U141" si="74">T36 * (1 - T$112)</f>
        <v>-0.4241216392629592</v>
      </c>
      <c r="U141" s="279">
        <f t="shared" si="74"/>
        <v>-0.4241216392629592</v>
      </c>
      <c r="V141" s="279">
        <f t="shared" ref="V141:W141" si="75">V36 * (1 - V$112)</f>
        <v>-0.38908874463139659</v>
      </c>
      <c r="W141" s="279">
        <f t="shared" si="75"/>
        <v>-0.38908874463139659</v>
      </c>
      <c r="X141" s="279">
        <f t="shared" ref="X141:Y141" si="76">X36 * (1 - X$112)</f>
        <v>-0.38349838910508344</v>
      </c>
      <c r="Y141" s="279">
        <f t="shared" si="76"/>
        <v>-0.38349838910508344</v>
      </c>
      <c r="Z141" s="266"/>
      <c r="AA141" s="266"/>
    </row>
    <row r="142" spans="4:27" x14ac:dyDescent="0.25">
      <c r="F142" t="s">
        <v>190</v>
      </c>
      <c r="G142" t="s">
        <v>268</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191</v>
      </c>
      <c r="G143" t="s">
        <v>268</v>
      </c>
      <c r="H143" s="266"/>
      <c r="I143" s="266"/>
      <c r="J143" s="280">
        <f t="shared" ref="J143:K143" si="84">J38 * (1 - J$113)</f>
        <v>0.27397966444395749</v>
      </c>
      <c r="K143" s="280">
        <f t="shared" si="84"/>
        <v>0.27397966444395749</v>
      </c>
      <c r="L143" s="280">
        <f t="shared" ref="L143:M143" si="85">L38 * (1 - L$113)</f>
        <v>0.33219322809084972</v>
      </c>
      <c r="M143" s="280">
        <f t="shared" si="85"/>
        <v>0.33219322809084972</v>
      </c>
      <c r="N143" s="280">
        <f t="shared" ref="N143:P143" si="86">N38 * (1 - N$113)</f>
        <v>0.27560928057285095</v>
      </c>
      <c r="O143" s="280">
        <f t="shared" si="86"/>
        <v>0.23590091585014183</v>
      </c>
      <c r="P143" s="280">
        <f t="shared" si="86"/>
        <v>0.20270449618638905</v>
      </c>
      <c r="Q143" s="280">
        <f t="shared" ref="Q143:S143" si="87">Q38 * (1 - Q$113)</f>
        <v>0.68990815277528805</v>
      </c>
      <c r="R143" s="280">
        <f t="shared" si="87"/>
        <v>-0.20263422655716704</v>
      </c>
      <c r="S143" s="280">
        <f t="shared" si="87"/>
        <v>-0.18589642576949245</v>
      </c>
      <c r="T143" s="280">
        <f t="shared" ref="T143:U143" si="88">T38 * (1 - T$113)</f>
        <v>-0.20263422655716704</v>
      </c>
      <c r="U143" s="280">
        <f t="shared" si="88"/>
        <v>-0.20263422655716704</v>
      </c>
      <c r="V143" s="280">
        <f t="shared" ref="V143:W143" si="89">V38 * (1 - V$113)</f>
        <v>-0.18589642576949245</v>
      </c>
      <c r="W143" s="280">
        <f t="shared" si="89"/>
        <v>-0.18589642576949245</v>
      </c>
      <c r="X143" s="280">
        <f t="shared" ref="X143:Y143" si="90">X38 * (1 - X$113)</f>
        <v>-0.18322550011188474</v>
      </c>
      <c r="Y143" s="280">
        <f t="shared" si="90"/>
        <v>-0.18322550011188474</v>
      </c>
      <c r="Z143" s="266"/>
      <c r="AA143" s="266"/>
    </row>
    <row r="144" spans="4:27" x14ac:dyDescent="0.25">
      <c r="F144" t="s">
        <v>192</v>
      </c>
      <c r="G144" t="s">
        <v>268</v>
      </c>
      <c r="H144" s="266"/>
      <c r="I144" s="266"/>
      <c r="J144" s="280">
        <f t="shared" ref="J144:K144" si="91">J39 * (1 - J$114)</f>
        <v>0.10964270661170306</v>
      </c>
      <c r="K144" s="280">
        <f t="shared" si="91"/>
        <v>0.10964270661170306</v>
      </c>
      <c r="L144" s="280">
        <f t="shared" ref="L144:M144" si="92">L39 * (1 - L$114)</f>
        <v>0.13293893442741198</v>
      </c>
      <c r="M144" s="280">
        <f t="shared" si="92"/>
        <v>0.13293893442741198</v>
      </c>
      <c r="N144" s="280">
        <f t="shared" ref="N144:P144" si="93">N39 * (1 - N$114)</f>
        <v>0.11029485546177406</v>
      </c>
      <c r="O144" s="280">
        <f t="shared" si="93"/>
        <v>9.4404141119312154E-2</v>
      </c>
      <c r="P144" s="280">
        <f t="shared" si="93"/>
        <v>8.111941318470911E-2</v>
      </c>
      <c r="Q144" s="280">
        <f t="shared" ref="Q144:S144" si="94">Q39 * (1 - Q$114)</f>
        <v>0.27609128340704198</v>
      </c>
      <c r="R144" s="280">
        <f t="shared" si="94"/>
        <v>-8.1091292293488423E-2</v>
      </c>
      <c r="S144" s="280">
        <f t="shared" si="94"/>
        <v>-7.4393066040774974E-2</v>
      </c>
      <c r="T144" s="280">
        <f t="shared" ref="T144:U144" si="95">T39 * (1 - T$114)</f>
        <v>-8.1091292293488423E-2</v>
      </c>
      <c r="U144" s="280">
        <f t="shared" si="95"/>
        <v>-8.1091292293488423E-2</v>
      </c>
      <c r="V144" s="280">
        <f t="shared" ref="V144:W144" si="96">V39 * (1 - V$114)</f>
        <v>-7.4393066040774974E-2</v>
      </c>
      <c r="W144" s="280">
        <f t="shared" si="96"/>
        <v>-7.4393066040774974E-2</v>
      </c>
      <c r="X144" s="280">
        <f t="shared" ref="X144:Y144" si="97">X39 * (1 - X$114)</f>
        <v>-7.3324200149384525E-2</v>
      </c>
      <c r="Y144" s="280">
        <f t="shared" si="97"/>
        <v>-7.3324200149384525E-2</v>
      </c>
      <c r="Z144" s="266"/>
      <c r="AA144" s="266"/>
    </row>
    <row r="145" spans="3:27" x14ac:dyDescent="0.25">
      <c r="F145" t="s">
        <v>193</v>
      </c>
      <c r="G145" t="s">
        <v>268</v>
      </c>
      <c r="H145" s="266"/>
      <c r="I145" s="266"/>
      <c r="J145" s="280">
        <f t="shared" ref="J145:K145" si="98">J40 * (1 - J$115)</f>
        <v>0.30205193555039728</v>
      </c>
      <c r="K145" s="280">
        <f t="shared" si="98"/>
        <v>0.30205193555039728</v>
      </c>
      <c r="L145" s="280">
        <f t="shared" ref="L145:M145" si="99">L40 * (1 - L$115)</f>
        <v>0.36623012779147424</v>
      </c>
      <c r="M145" s="280">
        <f t="shared" si="99"/>
        <v>0.36623012779147424</v>
      </c>
      <c r="N145" s="280">
        <f t="shared" ref="N145:P145" si="100">N40 * (1 - N$115)</f>
        <v>0.30384852401960138</v>
      </c>
      <c r="O145" s="280">
        <f t="shared" si="100"/>
        <v>0.26007159463917728</v>
      </c>
      <c r="P145" s="280">
        <f t="shared" si="100"/>
        <v>0.17877906535035118</v>
      </c>
      <c r="Q145" s="280">
        <f t="shared" ref="Q145:S145" si="101">Q40 * (1 - Q$115)</f>
        <v>0.71782285760246745</v>
      </c>
      <c r="R145" s="280">
        <f t="shared" si="101"/>
        <v>-0.22339636215179651</v>
      </c>
      <c r="S145" s="280">
        <f t="shared" si="101"/>
        <v>-0.20494358707071669</v>
      </c>
      <c r="T145" s="280">
        <f t="shared" ref="T145:U145" si="102">T40 * (1 - T$115)</f>
        <v>-0.22339636215179651</v>
      </c>
      <c r="U145" s="280">
        <f t="shared" si="102"/>
        <v>-0.22339636215179651</v>
      </c>
      <c r="V145" s="280">
        <f t="shared" ref="V145:W145" si="103">V40 * (1 - V$115)</f>
        <v>-0.20494358707071669</v>
      </c>
      <c r="W145" s="280">
        <f t="shared" si="103"/>
        <v>-0.20494358707071669</v>
      </c>
      <c r="X145" s="280">
        <f t="shared" ref="X145:Y145" si="104">X40 * (1 - X$115)</f>
        <v>-0.20199899530245927</v>
      </c>
      <c r="Y145" s="280">
        <f t="shared" si="104"/>
        <v>-0.20199899530245927</v>
      </c>
      <c r="Z145" s="266"/>
      <c r="AA145" s="266"/>
    </row>
    <row r="146" spans="3:27" x14ac:dyDescent="0.25">
      <c r="F146" t="s">
        <v>194</v>
      </c>
      <c r="G146" t="s">
        <v>268</v>
      </c>
      <c r="H146" s="266"/>
      <c r="I146" s="266"/>
      <c r="J146" s="280">
        <f t="shared" ref="J146:K146" si="105">J41 * (1 - J$116)</f>
        <v>0.14766461608879053</v>
      </c>
      <c r="K146" s="280">
        <f t="shared" si="105"/>
        <v>0.14766461608879053</v>
      </c>
      <c r="L146" s="280">
        <f t="shared" ref="L146:M146" si="106">L41 * (1 - L$116)</f>
        <v>0.17903951226776244</v>
      </c>
      <c r="M146" s="280">
        <f t="shared" si="106"/>
        <v>0.17903951226776244</v>
      </c>
      <c r="N146" s="280">
        <f t="shared" ref="N146:P146" si="107">N41 * (1 - N$116)</f>
        <v>0.14854291718655094</v>
      </c>
      <c r="O146" s="280">
        <f t="shared" si="107"/>
        <v>0.12714161923185585</v>
      </c>
      <c r="P146" s="280">
        <f t="shared" si="107"/>
        <v>0</v>
      </c>
      <c r="Q146" s="280">
        <f t="shared" ref="Q146:S146" si="108">Q41 * (1 - Q$116)</f>
        <v>0.35092321621604489</v>
      </c>
      <c r="R146" s="280">
        <f t="shared" si="108"/>
        <v>-0.10921213927223274</v>
      </c>
      <c r="S146" s="280">
        <f t="shared" si="108"/>
        <v>-0.1001911014061608</v>
      </c>
      <c r="T146" s="280">
        <f t="shared" ref="T146:U146" si="109">T41 * (1 - T$116)</f>
        <v>-0.10921213927223274</v>
      </c>
      <c r="U146" s="280">
        <f t="shared" si="109"/>
        <v>-0.10921213927223274</v>
      </c>
      <c r="V146" s="280">
        <f t="shared" ref="V146:W146" si="110">V41 * (1 - V$116)</f>
        <v>-0.1001911014061608</v>
      </c>
      <c r="W146" s="280">
        <f t="shared" si="110"/>
        <v>-0.1001911014061608</v>
      </c>
      <c r="X146" s="280">
        <f t="shared" ref="X146:Y146" si="111">X41 * (1 - X$116)</f>
        <v>-9.8751574087106747E-2</v>
      </c>
      <c r="Y146" s="280">
        <f t="shared" si="111"/>
        <v>-9.8751574087106747E-2</v>
      </c>
      <c r="Z146" s="266"/>
      <c r="AA146" s="266"/>
    </row>
    <row r="147" spans="3:27" x14ac:dyDescent="0.25">
      <c r="F147" t="s">
        <v>195</v>
      </c>
      <c r="G147" t="s">
        <v>268</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25">
      <c r="F148" t="s">
        <v>196</v>
      </c>
      <c r="G148" t="s">
        <v>268</v>
      </c>
      <c r="H148" s="266"/>
      <c r="I148" s="266"/>
      <c r="J148" s="280">
        <f t="shared" ref="J148:K148" si="119">J43 * (1 - J$118)</f>
        <v>0.45564708148498412</v>
      </c>
      <c r="K148" s="280">
        <f t="shared" si="119"/>
        <v>0.45564708148498412</v>
      </c>
      <c r="L148" s="280">
        <f t="shared" ref="L148:M148" si="120">L43 * (1 - L$118)</f>
        <v>0.55246025348582983</v>
      </c>
      <c r="M148" s="280">
        <f t="shared" si="120"/>
        <v>0.55246025348582983</v>
      </c>
      <c r="N148" s="280">
        <f t="shared" ref="N148:P148" si="121">N43 * (1 - N$118)</f>
        <v>0.36668579641649474</v>
      </c>
      <c r="O148" s="280">
        <f t="shared" si="121"/>
        <v>0</v>
      </c>
      <c r="P148" s="280">
        <f t="shared" si="121"/>
        <v>0</v>
      </c>
      <c r="Q148" s="280">
        <f t="shared" ref="Q148:S148" si="122">Q43 * (1 - Q$118)</f>
        <v>1.0828399079574957</v>
      </c>
      <c r="R148" s="280">
        <f t="shared" si="122"/>
        <v>-0.33699469676745392</v>
      </c>
      <c r="S148" s="280">
        <f t="shared" si="122"/>
        <v>-0.30915857945977321</v>
      </c>
      <c r="T148" s="280">
        <f t="shared" ref="T148:U148" si="123">T43 * (1 - T$118)</f>
        <v>-0.33699469676745392</v>
      </c>
      <c r="U148" s="280">
        <f t="shared" si="123"/>
        <v>-0.33699469676745392</v>
      </c>
      <c r="V148" s="280">
        <f t="shared" ref="V148:W148" si="124">V43 * (1 - V$118)</f>
        <v>-0.30915857945977321</v>
      </c>
      <c r="W148" s="280">
        <f t="shared" si="124"/>
        <v>-0.30915857945977321</v>
      </c>
      <c r="X148" s="280">
        <f t="shared" ref="X148:Y148" si="125">X43 * (1 - X$118)</f>
        <v>0</v>
      </c>
      <c r="Y148" s="280">
        <f t="shared" si="125"/>
        <v>0</v>
      </c>
      <c r="Z148" s="266"/>
      <c r="AA148" s="266"/>
    </row>
    <row r="149" spans="3:27" x14ac:dyDescent="0.25">
      <c r="F149" t="s">
        <v>197</v>
      </c>
      <c r="G149" t="s">
        <v>268</v>
      </c>
      <c r="H149" s="266"/>
      <c r="I149" s="266"/>
      <c r="J149" s="280">
        <f t="shared" ref="J149:K149" si="126">J44 * (1 - J$119)</f>
        <v>0.16096350817090047</v>
      </c>
      <c r="K149" s="280">
        <f t="shared" si="126"/>
        <v>0.16096350817090047</v>
      </c>
      <c r="L149" s="280">
        <f t="shared" ref="L149:M149" si="127">L44 * (1 - L$119)</f>
        <v>0.19516407355501669</v>
      </c>
      <c r="M149" s="280">
        <f t="shared" si="127"/>
        <v>0.19516407355501669</v>
      </c>
      <c r="N149" s="280">
        <f t="shared" ref="N149:P149" si="128">N44 * (1 - N$119)</f>
        <v>0</v>
      </c>
      <c r="O149" s="280">
        <f t="shared" si="128"/>
        <v>0</v>
      </c>
      <c r="P149" s="280">
        <f t="shared" si="128"/>
        <v>0</v>
      </c>
      <c r="Q149" s="280">
        <f t="shared" ref="Q149:S149" si="129">Q44 * (1 - Q$119)</f>
        <v>0.38252787618927719</v>
      </c>
      <c r="R149" s="280">
        <f t="shared" si="129"/>
        <v>-0.11904794484778415</v>
      </c>
      <c r="S149" s="280">
        <f t="shared" si="129"/>
        <v>0</v>
      </c>
      <c r="T149" s="280">
        <f t="shared" ref="T149:U149" si="130">T44 * (1 - T$119)</f>
        <v>-0.11904794484778415</v>
      </c>
      <c r="U149" s="280">
        <f t="shared" si="130"/>
        <v>-0.11904794484778415</v>
      </c>
      <c r="V149" s="280">
        <f t="shared" ref="V149:W149" si="131">V44 * (1 - V$119)</f>
        <v>0</v>
      </c>
      <c r="W149" s="280">
        <f t="shared" si="131"/>
        <v>0</v>
      </c>
      <c r="X149" s="280">
        <f t="shared" ref="X149:Y149" si="132">X44 * (1 - X$119)</f>
        <v>0</v>
      </c>
      <c r="Y149" s="280">
        <f t="shared" si="132"/>
        <v>0</v>
      </c>
      <c r="Z149" s="266"/>
      <c r="AA149" s="266"/>
    </row>
    <row r="150" spans="3:27" x14ac:dyDescent="0.25">
      <c r="F150" t="s">
        <v>198</v>
      </c>
      <c r="G150" t="s">
        <v>268</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0.76923885127129921</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374</v>
      </c>
      <c r="G151" s="90" t="s">
        <v>268</v>
      </c>
      <c r="H151" s="264"/>
      <c r="I151" s="264" t="s">
        <v>153</v>
      </c>
      <c r="J151" s="278"/>
      <c r="K151" s="278"/>
      <c r="L151" s="278"/>
      <c r="M151" s="278"/>
      <c r="N151" s="278"/>
      <c r="O151" s="278"/>
      <c r="P151" s="278"/>
      <c r="Q151" s="281">
        <f t="shared" ref="Q151" si="140">Q46</f>
        <v>0</v>
      </c>
      <c r="R151" s="278"/>
      <c r="S151" s="278"/>
      <c r="T151" s="278"/>
      <c r="U151" s="278"/>
      <c r="V151" s="278"/>
      <c r="W151" s="278"/>
      <c r="X151" s="278"/>
      <c r="Y151" s="278"/>
      <c r="Z151" s="266"/>
      <c r="AA151" s="266" t="s">
        <v>651</v>
      </c>
    </row>
    <row r="152" spans="3:27" x14ac:dyDescent="0.25">
      <c r="D152"/>
      <c r="F152" s="91" t="s">
        <v>375</v>
      </c>
      <c r="G152" s="91" t="s">
        <v>268</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153</v>
      </c>
      <c r="J155" s="101"/>
      <c r="K155" s="101"/>
      <c r="L155" s="101"/>
      <c r="M155" s="101"/>
      <c r="N155" s="101"/>
      <c r="O155" s="101"/>
      <c r="P155" s="101"/>
      <c r="Q155" s="101"/>
      <c r="R155" s="101"/>
      <c r="S155" s="101"/>
      <c r="T155" s="101"/>
      <c r="U155" s="101"/>
      <c r="V155" s="101"/>
      <c r="W155" s="101"/>
      <c r="X155" s="101"/>
      <c r="Y155" s="101"/>
      <c r="AA155" t="s">
        <v>653</v>
      </c>
    </row>
    <row r="156" spans="3:27" x14ac:dyDescent="0.25">
      <c r="E156" s="60" t="s">
        <v>618</v>
      </c>
      <c r="J156" s="101"/>
      <c r="K156" s="101"/>
      <c r="L156" s="101"/>
      <c r="M156" s="101"/>
      <c r="N156" s="101"/>
      <c r="O156" s="101"/>
      <c r="P156" s="101"/>
      <c r="Q156" s="101"/>
      <c r="R156" s="101"/>
      <c r="S156" s="101"/>
      <c r="T156" s="101"/>
      <c r="U156" s="101"/>
      <c r="V156" s="101"/>
      <c r="W156" s="101"/>
      <c r="X156" s="101"/>
      <c r="Y156" s="101"/>
    </row>
    <row r="157" spans="3:27" x14ac:dyDescent="0.25">
      <c r="F157" s="90" t="s">
        <v>188</v>
      </c>
      <c r="G157" s="90" t="s">
        <v>268</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190</v>
      </c>
      <c r="G158" t="s">
        <v>268</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191</v>
      </c>
      <c r="G159" t="s">
        <v>268</v>
      </c>
      <c r="H159" s="266"/>
      <c r="I159" s="266"/>
      <c r="J159" s="280">
        <f t="shared" ref="J159:K159" si="155">J54 * (1 - J$113)</f>
        <v>0.17136157881403721</v>
      </c>
      <c r="K159" s="280">
        <f t="shared" si="155"/>
        <v>0.17136157881403721</v>
      </c>
      <c r="L159" s="280">
        <f t="shared" ref="L159:M159" si="156">L54 * (1 - L$113)</f>
        <v>0.20777146417968415</v>
      </c>
      <c r="M159" s="280">
        <f t="shared" si="156"/>
        <v>0.20777146417968415</v>
      </c>
      <c r="N159" s="280">
        <f t="shared" ref="N159:P159" si="157">N54 * (1 - N$113)</f>
        <v>0.17238082815604491</v>
      </c>
      <c r="O159" s="280">
        <f t="shared" si="157"/>
        <v>0.14754508684357645</v>
      </c>
      <c r="P159" s="280">
        <f t="shared" si="157"/>
        <v>0.12678226528125705</v>
      </c>
      <c r="Q159" s="280">
        <f t="shared" ref="Q159:S159" si="158">Q54 * (1 - Q$113)</f>
        <v>0.12811708862829693</v>
      </c>
      <c r="R159" s="280">
        <f t="shared" si="158"/>
        <v>-0.12673831488577569</v>
      </c>
      <c r="S159" s="280">
        <f t="shared" si="158"/>
        <v>-0.11626959643299635</v>
      </c>
      <c r="T159" s="280">
        <f t="shared" ref="T159:U159" si="159">T54 * (1 - T$113)</f>
        <v>-0.12673831488577569</v>
      </c>
      <c r="U159" s="280">
        <f t="shared" si="159"/>
        <v>-0.12673831488577569</v>
      </c>
      <c r="V159" s="280">
        <f t="shared" ref="V159:W159" si="160">V54 * (1 - V$113)</f>
        <v>-0.11626959643299635</v>
      </c>
      <c r="W159" s="280">
        <f t="shared" si="160"/>
        <v>-0.11626959643299635</v>
      </c>
      <c r="X159" s="280">
        <f t="shared" ref="X159:Y159" si="161">X54 * (1 - X$113)</f>
        <v>-0.11459905625436133</v>
      </c>
      <c r="Y159" s="280">
        <f t="shared" si="161"/>
        <v>-0.11459905625436133</v>
      </c>
      <c r="Z159" s="266"/>
      <c r="AA159" s="266"/>
    </row>
    <row r="160" spans="3:27" x14ac:dyDescent="0.25">
      <c r="F160" t="s">
        <v>192</v>
      </c>
      <c r="G160" t="s">
        <v>268</v>
      </c>
      <c r="H160" s="266"/>
      <c r="I160" s="266"/>
      <c r="J160" s="280">
        <f t="shared" ref="J160:K160" si="162">J55 * (1 - J$114)</f>
        <v>6.8576430110450448E-2</v>
      </c>
      <c r="K160" s="280">
        <f t="shared" si="162"/>
        <v>6.8576430110450448E-2</v>
      </c>
      <c r="L160" s="280">
        <f t="shared" ref="L160:M160" si="163">L55 * (1 - L$114)</f>
        <v>8.3147140630201274E-2</v>
      </c>
      <c r="M160" s="280">
        <f t="shared" si="163"/>
        <v>8.3147140630201274E-2</v>
      </c>
      <c r="N160" s="280">
        <f t="shared" ref="N160:P160" si="164">N55 * (1 - N$114)</f>
        <v>6.8984318983505058E-2</v>
      </c>
      <c r="O160" s="280">
        <f t="shared" si="164"/>
        <v>5.9045413832520245E-2</v>
      </c>
      <c r="P160" s="280">
        <f t="shared" si="164"/>
        <v>5.0736432369941013E-2</v>
      </c>
      <c r="Q160" s="280">
        <f t="shared" ref="Q160:S160" si="165">Q55 * (1 - Q$114)</f>
        <v>5.1270609404265678E-2</v>
      </c>
      <c r="R160" s="280">
        <f t="shared" si="165"/>
        <v>-5.0718844056125777E-2</v>
      </c>
      <c r="S160" s="280">
        <f t="shared" si="165"/>
        <v>-4.6529414055004673E-2</v>
      </c>
      <c r="T160" s="280">
        <f t="shared" ref="T160:U160" si="166">T55 * (1 - T$114)</f>
        <v>-5.0718844056125777E-2</v>
      </c>
      <c r="U160" s="280">
        <f t="shared" si="166"/>
        <v>-5.0718844056125777E-2</v>
      </c>
      <c r="V160" s="280">
        <f t="shared" ref="V160:W160" si="167">V55 * (1 - V$114)</f>
        <v>-4.6529414055004673E-2</v>
      </c>
      <c r="W160" s="280">
        <f t="shared" si="167"/>
        <v>-4.6529414055004673E-2</v>
      </c>
      <c r="X160" s="280">
        <f t="shared" ref="X160:Y160" si="168">X55 * (1 - X$114)</f>
        <v>-4.5860887990995983E-2</v>
      </c>
      <c r="Y160" s="280">
        <f t="shared" si="168"/>
        <v>-4.5860887990995983E-2</v>
      </c>
      <c r="Z160" s="266"/>
      <c r="AA160" s="266"/>
    </row>
    <row r="161" spans="4:27" x14ac:dyDescent="0.25">
      <c r="F161" t="s">
        <v>193</v>
      </c>
      <c r="G161" t="s">
        <v>268</v>
      </c>
      <c r="H161" s="266"/>
      <c r="I161" s="266"/>
      <c r="J161" s="280">
        <f t="shared" ref="J161:K161" si="169">J56 * (1 - J$115)</f>
        <v>0.25450910421412082</v>
      </c>
      <c r="K161" s="280">
        <f t="shared" si="169"/>
        <v>0.25450910421412082</v>
      </c>
      <c r="L161" s="280">
        <f t="shared" ref="L161:M161" si="170">L56 * (1 - L$115)</f>
        <v>0.30858567944809356</v>
      </c>
      <c r="M161" s="280">
        <f t="shared" si="170"/>
        <v>0.30858567944809356</v>
      </c>
      <c r="N161" s="280">
        <f t="shared" ref="N161:P161" si="171">N56 * (1 - N$115)</f>
        <v>0.2560229105107279</v>
      </c>
      <c r="O161" s="280">
        <f t="shared" si="171"/>
        <v>0.21913644904325102</v>
      </c>
      <c r="P161" s="280">
        <f t="shared" si="171"/>
        <v>0.15063932529233481</v>
      </c>
      <c r="Q161" s="280">
        <f t="shared" ref="Q161:S161" si="172">Q56 * (1 - Q$115)</f>
        <v>0.19603764237187893</v>
      </c>
      <c r="R161" s="280">
        <f t="shared" si="172"/>
        <v>-0.18823388074750669</v>
      </c>
      <c r="S161" s="280">
        <f t="shared" si="172"/>
        <v>-0.17268556370860896</v>
      </c>
      <c r="T161" s="280">
        <f t="shared" ref="T161:U161" si="173">T56 * (1 - T$115)</f>
        <v>-0.18823388074750669</v>
      </c>
      <c r="U161" s="280">
        <f t="shared" si="173"/>
        <v>-0.18823388074750669</v>
      </c>
      <c r="V161" s="280">
        <f t="shared" ref="V161:W161" si="174">V56 * (1 - V$115)</f>
        <v>-0.17268556370860896</v>
      </c>
      <c r="W161" s="280">
        <f t="shared" si="174"/>
        <v>-0.17268556370860896</v>
      </c>
      <c r="X161" s="280">
        <f t="shared" ref="X161:Y161" si="175">X56 * (1 - X$115)</f>
        <v>-0.17020444928750827</v>
      </c>
      <c r="Y161" s="280">
        <f t="shared" si="175"/>
        <v>-0.17020444928750827</v>
      </c>
      <c r="Z161" s="266"/>
      <c r="AA161" s="266"/>
    </row>
    <row r="162" spans="4:27" x14ac:dyDescent="0.25">
      <c r="F162" t="s">
        <v>194</v>
      </c>
      <c r="G162" t="s">
        <v>268</v>
      </c>
      <c r="H162" s="266"/>
      <c r="I162" s="266"/>
      <c r="J162" s="280">
        <f t="shared" ref="J162:K162" si="176">J57 * (1 - J$116)</f>
        <v>0.12442227558117927</v>
      </c>
      <c r="K162" s="280">
        <f t="shared" si="176"/>
        <v>0.12442227558117927</v>
      </c>
      <c r="L162" s="280">
        <f t="shared" ref="L162:M162" si="177">L57 * (1 - L$116)</f>
        <v>0.15085877798852387</v>
      </c>
      <c r="M162" s="280">
        <f t="shared" si="177"/>
        <v>0.15085877798852387</v>
      </c>
      <c r="N162" s="280">
        <f t="shared" ref="N162:P162" si="178">N57 * (1 - N$116)</f>
        <v>0.12516233250289358</v>
      </c>
      <c r="O162" s="280">
        <f t="shared" si="178"/>
        <v>0.10712958869165538</v>
      </c>
      <c r="P162" s="280">
        <f t="shared" si="178"/>
        <v>0</v>
      </c>
      <c r="Q162" s="280">
        <f t="shared" ref="Q162:S162" si="179">Q57 * (1 - Q$116)</f>
        <v>9.583723788111656E-2</v>
      </c>
      <c r="R162" s="280">
        <f t="shared" si="179"/>
        <v>-9.2022200370393201E-2</v>
      </c>
      <c r="S162" s="280">
        <f t="shared" si="179"/>
        <v>-8.4421069584086572E-2</v>
      </c>
      <c r="T162" s="280">
        <f t="shared" ref="T162:U162" si="180">T57 * (1 - T$116)</f>
        <v>-9.2022200370393201E-2</v>
      </c>
      <c r="U162" s="280">
        <f t="shared" si="180"/>
        <v>-9.2022200370393201E-2</v>
      </c>
      <c r="V162" s="280">
        <f t="shared" ref="V162:W162" si="181">V57 * (1 - V$116)</f>
        <v>-8.4421069584086572E-2</v>
      </c>
      <c r="W162" s="280">
        <f t="shared" si="181"/>
        <v>-8.4421069584086572E-2</v>
      </c>
      <c r="X162" s="280">
        <f t="shared" ref="X162:Y162" si="182">X57 * (1 - X$116)</f>
        <v>-8.3208123182016355E-2</v>
      </c>
      <c r="Y162" s="280">
        <f t="shared" si="182"/>
        <v>-8.3208123182016355E-2</v>
      </c>
      <c r="Z162" s="266"/>
      <c r="AA162" s="266"/>
    </row>
    <row r="163" spans="4:27" x14ac:dyDescent="0.25">
      <c r="F163" t="s">
        <v>195</v>
      </c>
      <c r="G163" t="s">
        <v>268</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25">
      <c r="F164" t="s">
        <v>196</v>
      </c>
      <c r="G164" t="s">
        <v>268</v>
      </c>
      <c r="H164" s="266"/>
      <c r="I164" s="266"/>
      <c r="J164" s="280">
        <f t="shared" ref="J164:K164" si="190">J59 * (1 - J$118)</f>
        <v>0.38392844705732015</v>
      </c>
      <c r="K164" s="280">
        <f t="shared" si="190"/>
        <v>0.38392844705732015</v>
      </c>
      <c r="L164" s="280">
        <f t="shared" ref="L164:M164" si="191">L59 * (1 - L$118)</f>
        <v>0.46550327172170869</v>
      </c>
      <c r="M164" s="280">
        <f t="shared" si="191"/>
        <v>0.46550327172170869</v>
      </c>
      <c r="N164" s="280">
        <f t="shared" ref="N164:P164" si="192">N59 * (1 - N$118)</f>
        <v>0.30896962604774403</v>
      </c>
      <c r="O164" s="280">
        <f t="shared" si="192"/>
        <v>0</v>
      </c>
      <c r="P164" s="280">
        <f t="shared" si="192"/>
        <v>0</v>
      </c>
      <c r="Q164" s="280">
        <f t="shared" ref="Q164:S164" si="193">Q59 * (1 - Q$118)</f>
        <v>0.2957239106750898</v>
      </c>
      <c r="R164" s="280">
        <f t="shared" si="193"/>
        <v>-0.28395189139545685</v>
      </c>
      <c r="S164" s="280">
        <f t="shared" si="193"/>
        <v>-0.2604971657441626</v>
      </c>
      <c r="T164" s="280">
        <f t="shared" ref="T164:U164" si="194">T59 * (1 - T$118)</f>
        <v>-0.28395189139545685</v>
      </c>
      <c r="U164" s="280">
        <f t="shared" si="194"/>
        <v>-0.28395189139545685</v>
      </c>
      <c r="V164" s="280">
        <f t="shared" ref="V164:W164" si="195">V59 * (1 - V$118)</f>
        <v>-0.2604971657441626</v>
      </c>
      <c r="W164" s="280">
        <f t="shared" si="195"/>
        <v>-0.2604971657441626</v>
      </c>
      <c r="X164" s="280">
        <f t="shared" ref="X164:Y164" si="196">X59 * (1 - X$118)</f>
        <v>0</v>
      </c>
      <c r="Y164" s="280">
        <f t="shared" si="196"/>
        <v>0</v>
      </c>
      <c r="Z164" s="266"/>
      <c r="AA164" s="266"/>
    </row>
    <row r="165" spans="4:27" x14ac:dyDescent="0.25">
      <c r="F165" t="s">
        <v>197</v>
      </c>
      <c r="G165" t="s">
        <v>268</v>
      </c>
      <c r="H165" s="266"/>
      <c r="I165" s="266"/>
      <c r="J165" s="280">
        <f t="shared" ref="J165:K165" si="197">J60 * (1 - J$119)</f>
        <v>0.13562792835970064</v>
      </c>
      <c r="K165" s="280">
        <f t="shared" si="197"/>
        <v>0.13562792835970064</v>
      </c>
      <c r="L165" s="280">
        <f t="shared" ref="L165:M165" si="198">L60 * (1 - L$119)</f>
        <v>0.16444534098003974</v>
      </c>
      <c r="M165" s="280">
        <f t="shared" si="198"/>
        <v>0.16444534098003974</v>
      </c>
      <c r="N165" s="280">
        <f t="shared" ref="N165:P165" si="199">N60 * (1 - N$119)</f>
        <v>0</v>
      </c>
      <c r="O165" s="280">
        <f t="shared" si="199"/>
        <v>0</v>
      </c>
      <c r="P165" s="280">
        <f t="shared" si="199"/>
        <v>0</v>
      </c>
      <c r="Q165" s="280">
        <f t="shared" ref="Q165:S165" si="200">Q60 * (1 - Q$119)</f>
        <v>0.10446848020434242</v>
      </c>
      <c r="R165" s="280">
        <f t="shared" si="200"/>
        <v>-0.10030985481530295</v>
      </c>
      <c r="S165" s="280">
        <f t="shared" si="200"/>
        <v>0</v>
      </c>
      <c r="T165" s="280">
        <f t="shared" ref="T165:U165" si="201">T60 * (1 - T$119)</f>
        <v>-0.10030985481530295</v>
      </c>
      <c r="U165" s="280">
        <f t="shared" si="201"/>
        <v>-0.10030985481530295</v>
      </c>
      <c r="V165" s="280">
        <f t="shared" ref="V165:W165" si="202">V60 * (1 - V$119)</f>
        <v>0</v>
      </c>
      <c r="W165" s="280">
        <f t="shared" si="202"/>
        <v>0</v>
      </c>
      <c r="X165" s="280">
        <f t="shared" ref="X165:Y165" si="203">X60 * (1 - X$119)</f>
        <v>0</v>
      </c>
      <c r="Y165" s="280">
        <f t="shared" si="203"/>
        <v>0</v>
      </c>
      <c r="Z165" s="266"/>
      <c r="AA165" s="266"/>
    </row>
    <row r="166" spans="4:27" x14ac:dyDescent="0.25">
      <c r="F166" t="s">
        <v>198</v>
      </c>
      <c r="G166" t="s">
        <v>268</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0.21007936599810995</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374</v>
      </c>
      <c r="G167" s="90" t="s">
        <v>268</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375</v>
      </c>
      <c r="G168" s="91" t="s">
        <v>268</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619</v>
      </c>
      <c r="J170" s="101"/>
      <c r="K170" s="101"/>
      <c r="L170" s="101"/>
      <c r="M170" s="101"/>
      <c r="N170" s="101"/>
      <c r="O170" s="101"/>
      <c r="P170" s="101"/>
      <c r="Q170" s="101"/>
      <c r="R170" s="101"/>
      <c r="S170" s="101"/>
      <c r="T170" s="101"/>
      <c r="U170" s="101"/>
      <c r="V170" s="101"/>
      <c r="W170" s="101"/>
      <c r="X170" s="101"/>
      <c r="Y170" s="101"/>
    </row>
    <row r="171" spans="4:27" x14ac:dyDescent="0.25">
      <c r="F171" s="90" t="s">
        <v>188</v>
      </c>
      <c r="G171" s="90" t="s">
        <v>268</v>
      </c>
      <c r="H171" s="264"/>
      <c r="I171" s="264"/>
      <c r="J171" s="279">
        <f t="shared" ref="J171:K171" si="211">J66 * (1 - J$112)</f>
        <v>9.8061526818595882E-2</v>
      </c>
      <c r="K171" s="279">
        <f t="shared" si="211"/>
        <v>9.8061526818595882E-2</v>
      </c>
      <c r="L171" s="279">
        <f t="shared" ref="L171:M171" si="212">L66 * (1 - L$112)</f>
        <v>0.11889705468286714</v>
      </c>
      <c r="M171" s="279">
        <f t="shared" si="212"/>
        <v>0.11889705468286714</v>
      </c>
      <c r="N171" s="279">
        <f t="shared" ref="N171:P171" si="213">N66 * (1 - N$112)</f>
        <v>9.8644791441727026E-2</v>
      </c>
      <c r="O171" s="279">
        <f t="shared" si="213"/>
        <v>8.4432558281718112E-2</v>
      </c>
      <c r="P171" s="279">
        <f t="shared" si="213"/>
        <v>7.2551050200652764E-2</v>
      </c>
      <c r="Q171" s="279">
        <f t="shared" ref="Q171:S171" si="214">Q66 * (1 - Q$112)</f>
        <v>7.8481873874888253E-2</v>
      </c>
      <c r="R171" s="279">
        <f t="shared" si="214"/>
        <v>-7.2525899621888198E-2</v>
      </c>
      <c r="S171" s="279">
        <f t="shared" si="214"/>
        <v>-6.6535183835897432E-2</v>
      </c>
      <c r="T171" s="279">
        <f t="shared" ref="T171:U171" si="215">T66 * (1 - T$112)</f>
        <v>-7.2525899621888198E-2</v>
      </c>
      <c r="U171" s="279">
        <f t="shared" si="215"/>
        <v>-7.2525899621888198E-2</v>
      </c>
      <c r="V171" s="279">
        <f t="shared" ref="V171:W171" si="216">V66 * (1 - V$112)</f>
        <v>-6.6535183835897432E-2</v>
      </c>
      <c r="W171" s="279">
        <f t="shared" si="216"/>
        <v>-6.6535183835897432E-2</v>
      </c>
      <c r="X171" s="279">
        <f t="shared" ref="X171:Y171" si="217">X66 * (1 - X$112)</f>
        <v>-6.5579218550898891E-2</v>
      </c>
      <c r="Y171" s="279">
        <f t="shared" si="217"/>
        <v>-6.5579218550898891E-2</v>
      </c>
      <c r="Z171" s="266"/>
      <c r="AA171" s="266"/>
    </row>
    <row r="172" spans="4:27" x14ac:dyDescent="0.25">
      <c r="F172" t="s">
        <v>190</v>
      </c>
      <c r="G172" t="s">
        <v>268</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191</v>
      </c>
      <c r="G173" t="s">
        <v>268</v>
      </c>
      <c r="H173" s="266"/>
      <c r="I173" s="266"/>
      <c r="J173" s="280">
        <f t="shared" ref="J173:K173" si="225">J68 * (1 - J$113)</f>
        <v>7.5972708896365176E-2</v>
      </c>
      <c r="K173" s="280">
        <f t="shared" si="225"/>
        <v>7.5972708896365176E-2</v>
      </c>
      <c r="L173" s="280">
        <f t="shared" ref="L173:M173" si="226">L68 * (1 - L$113)</f>
        <v>9.2114936582281745E-2</v>
      </c>
      <c r="M173" s="280">
        <f t="shared" si="226"/>
        <v>9.2114936582281745E-2</v>
      </c>
      <c r="N173" s="280">
        <f t="shared" ref="N173:P173" si="227">N68 * (1 - N$113)</f>
        <v>7.6424590432991296E-2</v>
      </c>
      <c r="O173" s="280">
        <f t="shared" si="227"/>
        <v>6.5413729316887742E-2</v>
      </c>
      <c r="P173" s="280">
        <f t="shared" si="227"/>
        <v>5.6208586546038983E-2</v>
      </c>
      <c r="Q173" s="280">
        <f t="shared" ref="Q173:S173" si="228">Q68 * (1 - Q$113)</f>
        <v>5.6800376994484723E-2</v>
      </c>
      <c r="R173" s="280">
        <f t="shared" si="228"/>
        <v>-5.6189101252865949E-2</v>
      </c>
      <c r="S173" s="280">
        <f t="shared" si="228"/>
        <v>-5.1547822239008834E-2</v>
      </c>
      <c r="T173" s="280">
        <f t="shared" ref="T173:U173" si="229">T68 * (1 - T$113)</f>
        <v>-5.6189101252865949E-2</v>
      </c>
      <c r="U173" s="280">
        <f t="shared" si="229"/>
        <v>-5.6189101252865949E-2</v>
      </c>
      <c r="V173" s="280">
        <f t="shared" ref="V173:W173" si="230">V68 * (1 - V$113)</f>
        <v>-5.1547822239008834E-2</v>
      </c>
      <c r="W173" s="280">
        <f t="shared" si="230"/>
        <v>-5.1547822239008834E-2</v>
      </c>
      <c r="X173" s="280">
        <f t="shared" ref="X173:Y173" si="231">X68 * (1 - X$113)</f>
        <v>-5.0807192609138012E-2</v>
      </c>
      <c r="Y173" s="280">
        <f t="shared" si="231"/>
        <v>-5.0807192609138012E-2</v>
      </c>
      <c r="Z173" s="266"/>
      <c r="AA173" s="266"/>
    </row>
    <row r="174" spans="4:27" x14ac:dyDescent="0.25">
      <c r="F174" t="s">
        <v>192</v>
      </c>
      <c r="G174" t="s">
        <v>268</v>
      </c>
      <c r="H174" s="266"/>
      <c r="I174" s="266"/>
      <c r="J174" s="280">
        <f t="shared" ref="J174:K174" si="232">J69 * (1 - J$114)</f>
        <v>3.0403181378172547E-2</v>
      </c>
      <c r="K174" s="280">
        <f t="shared" si="232"/>
        <v>3.0403181378172547E-2</v>
      </c>
      <c r="L174" s="280">
        <f t="shared" ref="L174:M174" si="233">L69 * (1 - L$114)</f>
        <v>3.6863067873099939E-2</v>
      </c>
      <c r="M174" s="280">
        <f t="shared" si="233"/>
        <v>3.6863067873099939E-2</v>
      </c>
      <c r="N174" s="280">
        <f t="shared" ref="N174:P174" si="234">N69 * (1 - N$114)</f>
        <v>3.0584017845886657E-2</v>
      </c>
      <c r="O174" s="280">
        <f t="shared" si="234"/>
        <v>2.6177630177132875E-2</v>
      </c>
      <c r="P174" s="280">
        <f t="shared" si="234"/>
        <v>2.2493864923272381E-2</v>
      </c>
      <c r="Q174" s="280">
        <f t="shared" ref="Q174:S174" si="235">Q69 * (1 - Q$114)</f>
        <v>2.2730690917808254E-2</v>
      </c>
      <c r="R174" s="280">
        <f t="shared" si="235"/>
        <v>-2.248606719022913E-2</v>
      </c>
      <c r="S174" s="280">
        <f t="shared" si="235"/>
        <v>-2.0628694329173296E-2</v>
      </c>
      <c r="T174" s="280">
        <f t="shared" ref="T174:U174" si="236">T69 * (1 - T$114)</f>
        <v>-2.248606719022913E-2</v>
      </c>
      <c r="U174" s="280">
        <f t="shared" si="236"/>
        <v>-2.248606719022913E-2</v>
      </c>
      <c r="V174" s="280">
        <f t="shared" ref="V174:W174" si="237">V69 * (1 - V$114)</f>
        <v>-2.0628694329173296E-2</v>
      </c>
      <c r="W174" s="280">
        <f t="shared" si="237"/>
        <v>-2.0628694329173296E-2</v>
      </c>
      <c r="X174" s="280">
        <f t="shared" ref="X174:Y174" si="238">X69 * (1 - X$114)</f>
        <v>-2.0332305042834599E-2</v>
      </c>
      <c r="Y174" s="280">
        <f t="shared" si="238"/>
        <v>-2.0332305042834599E-2</v>
      </c>
      <c r="Z174" s="266"/>
      <c r="AA174" s="266"/>
    </row>
    <row r="175" spans="4:27" x14ac:dyDescent="0.25">
      <c r="F175" t="s">
        <v>193</v>
      </c>
      <c r="G175" t="s">
        <v>268</v>
      </c>
      <c r="H175" s="266"/>
      <c r="I175" s="266"/>
      <c r="J175" s="280">
        <f t="shared" ref="J175:K175" si="239">J70 * (1 - J$115)</f>
        <v>0.11283594735618858</v>
      </c>
      <c r="K175" s="280">
        <f t="shared" si="239"/>
        <v>0.11283594735618858</v>
      </c>
      <c r="L175" s="280">
        <f t="shared" ref="L175:M175" si="240">L70 * (1 - L$115)</f>
        <v>0.13681065590402125</v>
      </c>
      <c r="M175" s="280">
        <f t="shared" si="240"/>
        <v>0.13681065590402125</v>
      </c>
      <c r="N175" s="280">
        <f t="shared" ref="N175:P175" si="241">N70 * (1 - N$115)</f>
        <v>0.11350708942837048</v>
      </c>
      <c r="O175" s="280">
        <f t="shared" si="241"/>
        <v>9.7153572971062641E-2</v>
      </c>
      <c r="P175" s="280">
        <f t="shared" si="241"/>
        <v>6.6785551860484654E-2</v>
      </c>
      <c r="Q175" s="280">
        <f t="shared" ref="Q175:S175" si="242">Q70 * (1 - Q$115)</f>
        <v>8.6912777296543467E-2</v>
      </c>
      <c r="R175" s="280">
        <f t="shared" si="242"/>
        <v>-8.3452999939867462E-2</v>
      </c>
      <c r="S175" s="280">
        <f t="shared" si="242"/>
        <v>-7.6559694145185986E-2</v>
      </c>
      <c r="T175" s="280">
        <f t="shared" ref="T175:U175" si="243">T70 * (1 - T$115)</f>
        <v>-8.3452999939867462E-2</v>
      </c>
      <c r="U175" s="280">
        <f t="shared" si="243"/>
        <v>-8.3452999939867462E-2</v>
      </c>
      <c r="V175" s="280">
        <f t="shared" ref="V175:W175" si="244">V70 * (1 - V$115)</f>
        <v>-7.6559694145185986E-2</v>
      </c>
      <c r="W175" s="280">
        <f t="shared" si="244"/>
        <v>-7.6559694145185986E-2</v>
      </c>
      <c r="X175" s="280">
        <f t="shared" ref="X175:Y175" si="245">X70 * (1 - X$115)</f>
        <v>-7.5459698539651704E-2</v>
      </c>
      <c r="Y175" s="280">
        <f t="shared" si="245"/>
        <v>-7.5459698539651704E-2</v>
      </c>
      <c r="Z175" s="266"/>
      <c r="AA175" s="266"/>
    </row>
    <row r="176" spans="4:27" x14ac:dyDescent="0.25">
      <c r="F176" t="s">
        <v>194</v>
      </c>
      <c r="G176" t="s">
        <v>268</v>
      </c>
      <c r="H176" s="266"/>
      <c r="I176" s="266"/>
      <c r="J176" s="280">
        <f t="shared" ref="J176:K176" si="246">J71 * (1 - J$116)</f>
        <v>5.5162291269563936E-2</v>
      </c>
      <c r="K176" s="280">
        <f t="shared" si="246"/>
        <v>5.5162291269563936E-2</v>
      </c>
      <c r="L176" s="280">
        <f t="shared" ref="L176:M176" si="247">L71 * (1 - L$116)</f>
        <v>6.6882845640802754E-2</v>
      </c>
      <c r="M176" s="280">
        <f t="shared" si="247"/>
        <v>6.6882845640802754E-2</v>
      </c>
      <c r="N176" s="280">
        <f t="shared" ref="N176:P176" si="248">N71 * (1 - N$116)</f>
        <v>5.5490393575047224E-2</v>
      </c>
      <c r="O176" s="280">
        <f t="shared" si="248"/>
        <v>4.7495623652551007E-2</v>
      </c>
      <c r="P176" s="280">
        <f t="shared" si="248"/>
        <v>0</v>
      </c>
      <c r="Q176" s="280">
        <f t="shared" ref="Q176:S176" si="249">Q71 * (1 - Q$116)</f>
        <v>4.2489189381682682E-2</v>
      </c>
      <c r="R176" s="280">
        <f t="shared" si="249"/>
        <v>-4.0797802454479858E-2</v>
      </c>
      <c r="S176" s="280">
        <f t="shared" si="249"/>
        <v>-3.742786095121E-2</v>
      </c>
      <c r="T176" s="280">
        <f t="shared" ref="T176:U176" si="250">T71 * (1 - T$116)</f>
        <v>-4.0797802454479858E-2</v>
      </c>
      <c r="U176" s="280">
        <f t="shared" si="250"/>
        <v>-4.0797802454479858E-2</v>
      </c>
      <c r="V176" s="280">
        <f t="shared" ref="V176:W176" si="251">V71 * (1 - V$116)</f>
        <v>-3.742786095121E-2</v>
      </c>
      <c r="W176" s="280">
        <f t="shared" si="251"/>
        <v>-3.742786095121E-2</v>
      </c>
      <c r="X176" s="280">
        <f t="shared" ref="X176:Y176" si="252">X71 * (1 - X$116)</f>
        <v>-3.6890104328347779E-2</v>
      </c>
      <c r="Y176" s="280">
        <f t="shared" si="252"/>
        <v>-3.6890104328347779E-2</v>
      </c>
      <c r="Z176" s="266"/>
      <c r="AA176" s="266"/>
    </row>
    <row r="177" spans="3:27" x14ac:dyDescent="0.25">
      <c r="F177" t="s">
        <v>195</v>
      </c>
      <c r="G177" t="s">
        <v>268</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25">
      <c r="F178" t="s">
        <v>196</v>
      </c>
      <c r="G178" t="s">
        <v>268</v>
      </c>
      <c r="H178" s="266"/>
      <c r="I178" s="266"/>
      <c r="J178" s="280">
        <f t="shared" ref="J178:K178" si="260">J73 * (1 - J$118)</f>
        <v>0.17021367535935666</v>
      </c>
      <c r="K178" s="280">
        <f t="shared" si="260"/>
        <v>0.17021367535935666</v>
      </c>
      <c r="L178" s="280">
        <f t="shared" ref="L178:M178" si="261">L73 * (1 - L$118)</f>
        <v>0.20637966105108013</v>
      </c>
      <c r="M178" s="280">
        <f t="shared" si="261"/>
        <v>0.20637966105108013</v>
      </c>
      <c r="N178" s="280">
        <f t="shared" ref="N178:P178" si="262">N73 * (1 - N$118)</f>
        <v>0.13698087762728547</v>
      </c>
      <c r="O178" s="280">
        <f t="shared" si="262"/>
        <v>0</v>
      </c>
      <c r="P178" s="280">
        <f t="shared" si="262"/>
        <v>0</v>
      </c>
      <c r="Q178" s="280">
        <f t="shared" ref="Q178:S178" si="263">Q73 * (1 - Q$118)</f>
        <v>0.1311084242740001</v>
      </c>
      <c r="R178" s="280">
        <f t="shared" si="263"/>
        <v>-0.12588933023878171</v>
      </c>
      <c r="S178" s="280">
        <f t="shared" si="263"/>
        <v>-0.11549073881308269</v>
      </c>
      <c r="T178" s="280">
        <f t="shared" ref="T178:U178" si="264">T73 * (1 - T$118)</f>
        <v>-0.12588933023878171</v>
      </c>
      <c r="U178" s="280">
        <f t="shared" si="264"/>
        <v>-0.12588933023878171</v>
      </c>
      <c r="V178" s="280">
        <f t="shared" ref="V178:W178" si="265">V73 * (1 - V$118)</f>
        <v>-0.11549073881308269</v>
      </c>
      <c r="W178" s="280">
        <f t="shared" si="265"/>
        <v>-0.11549073881308269</v>
      </c>
      <c r="X178" s="280">
        <f t="shared" ref="X178:Y178" si="266">X73 * (1 - X$118)</f>
        <v>0</v>
      </c>
      <c r="Y178" s="280">
        <f t="shared" si="266"/>
        <v>0</v>
      </c>
      <c r="Z178" s="266"/>
      <c r="AA178" s="266"/>
    </row>
    <row r="179" spans="3:27" x14ac:dyDescent="0.25">
      <c r="F179" t="s">
        <v>197</v>
      </c>
      <c r="G179" t="s">
        <v>268</v>
      </c>
      <c r="H179" s="266"/>
      <c r="I179" s="266"/>
      <c r="J179" s="280">
        <f t="shared" ref="J179:K179" si="267">J74 * (1 - J$119)</f>
        <v>6.0130288194126656E-2</v>
      </c>
      <c r="K179" s="280">
        <f t="shared" si="267"/>
        <v>6.0130288194126656E-2</v>
      </c>
      <c r="L179" s="280">
        <f t="shared" ref="L179:M179" si="268">L74 * (1 - L$119)</f>
        <v>7.2906412896661929E-2</v>
      </c>
      <c r="M179" s="280">
        <f t="shared" si="268"/>
        <v>7.2906412896661929E-2</v>
      </c>
      <c r="N179" s="280">
        <f t="shared" ref="N179:P179" si="269">N74 * (1 - N$119)</f>
        <v>0</v>
      </c>
      <c r="O179" s="280">
        <f t="shared" si="269"/>
        <v>0</v>
      </c>
      <c r="P179" s="280">
        <f t="shared" si="269"/>
        <v>0</v>
      </c>
      <c r="Q179" s="280">
        <f t="shared" ref="Q179:S179" si="270">Q74 * (1 - Q$119)</f>
        <v>4.6315828147353945E-2</v>
      </c>
      <c r="R179" s="280">
        <f t="shared" si="270"/>
        <v>-4.4472112430697347E-2</v>
      </c>
      <c r="S179" s="280">
        <f t="shared" si="270"/>
        <v>0</v>
      </c>
      <c r="T179" s="280">
        <f t="shared" ref="T179:U179" si="271">T74 * (1 - T$119)</f>
        <v>-4.4472112430697347E-2</v>
      </c>
      <c r="U179" s="280">
        <f t="shared" si="271"/>
        <v>-4.4472112430697347E-2</v>
      </c>
      <c r="V179" s="280">
        <f t="shared" ref="V179:W179" si="272">V74 * (1 - V$119)</f>
        <v>0</v>
      </c>
      <c r="W179" s="280">
        <f t="shared" si="272"/>
        <v>0</v>
      </c>
      <c r="X179" s="280">
        <f t="shared" ref="X179:Y179" si="273">X74 * (1 - X$119)</f>
        <v>0</v>
      </c>
      <c r="Y179" s="280">
        <f t="shared" si="273"/>
        <v>0</v>
      </c>
      <c r="Z179" s="266"/>
      <c r="AA179" s="266"/>
    </row>
    <row r="180" spans="3:27" x14ac:dyDescent="0.25">
      <c r="F180" t="s">
        <v>198</v>
      </c>
      <c r="G180" t="s">
        <v>268</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9.3138138832320111E-2</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374</v>
      </c>
      <c r="G181" s="90" t="s">
        <v>268</v>
      </c>
      <c r="H181" s="264"/>
      <c r="I181" s="264" t="s">
        <v>153</v>
      </c>
      <c r="J181" s="278"/>
      <c r="K181" s="278"/>
      <c r="L181" s="278"/>
      <c r="M181" s="278"/>
      <c r="N181" s="278"/>
      <c r="O181" s="278"/>
      <c r="P181" s="278"/>
      <c r="Q181" s="281">
        <f>Q76</f>
        <v>0</v>
      </c>
      <c r="R181" s="278"/>
      <c r="S181" s="278"/>
      <c r="T181" s="278"/>
      <c r="U181" s="278"/>
      <c r="V181" s="278"/>
      <c r="W181" s="278"/>
      <c r="X181" s="278"/>
      <c r="Y181" s="278"/>
      <c r="Z181" s="266"/>
      <c r="AA181" s="266" t="s">
        <v>651</v>
      </c>
    </row>
    <row r="182" spans="3:27" x14ac:dyDescent="0.25">
      <c r="F182" s="91" t="s">
        <v>375</v>
      </c>
      <c r="G182" s="91" t="s">
        <v>268</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153</v>
      </c>
      <c r="J185" s="101"/>
      <c r="K185" s="101"/>
      <c r="L185" s="101"/>
      <c r="M185" s="101"/>
      <c r="N185" s="101"/>
      <c r="O185" s="101"/>
      <c r="P185" s="101"/>
      <c r="Q185" s="101"/>
      <c r="R185" s="101"/>
      <c r="S185" s="101"/>
      <c r="T185" s="101"/>
      <c r="U185" s="101"/>
      <c r="V185" s="101"/>
      <c r="W185" s="101"/>
      <c r="X185" s="101"/>
      <c r="Y185" s="101"/>
      <c r="AA185" t="s">
        <v>653</v>
      </c>
    </row>
    <row r="186" spans="3:27" x14ac:dyDescent="0.25">
      <c r="E186" s="60" t="s">
        <v>618</v>
      </c>
      <c r="J186" s="101"/>
      <c r="K186" s="101"/>
      <c r="L186" s="101"/>
      <c r="M186" s="101"/>
      <c r="N186" s="101"/>
      <c r="O186" s="101"/>
      <c r="P186" s="101"/>
      <c r="Q186" s="101"/>
      <c r="R186" s="101"/>
      <c r="S186" s="101"/>
      <c r="T186" s="101"/>
      <c r="U186" s="101"/>
      <c r="V186" s="101"/>
      <c r="W186" s="101"/>
      <c r="X186" s="101"/>
      <c r="Y186" s="101"/>
    </row>
    <row r="187" spans="3:27" x14ac:dyDescent="0.25">
      <c r="F187" s="90" t="s">
        <v>188</v>
      </c>
      <c r="G187" s="90" t="s">
        <v>268</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190</v>
      </c>
      <c r="G188" t="s">
        <v>268</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191</v>
      </c>
      <c r="G189" t="s">
        <v>268</v>
      </c>
      <c r="H189" s="266"/>
      <c r="I189" s="266"/>
      <c r="J189" s="280">
        <f t="shared" ref="J189:K189" si="295">J84 * (1 - J$113)</f>
        <v>1.5987660205365132E-2</v>
      </c>
      <c r="K189" s="280">
        <f t="shared" si="295"/>
        <v>1.5987660205365132E-2</v>
      </c>
      <c r="L189" s="280">
        <f t="shared" ref="L189:M189" si="296">L84 * (1 - L$113)</f>
        <v>1.9384622811399292E-2</v>
      </c>
      <c r="M189" s="280">
        <f t="shared" si="296"/>
        <v>1.9384622811399292E-2</v>
      </c>
      <c r="N189" s="280">
        <f t="shared" ref="N189:P189" si="297">N84 * (1 - N$113)</f>
        <v>1.6082753937912062E-2</v>
      </c>
      <c r="O189" s="280">
        <f t="shared" si="297"/>
        <v>1.3765633637083175E-2</v>
      </c>
      <c r="P189" s="280">
        <f t="shared" si="297"/>
        <v>1.1828507833619238E-2</v>
      </c>
      <c r="Q189" s="280">
        <f t="shared" ref="Q189:S189" si="298">Q84 * (1 - Q$113)</f>
        <v>1.3805258262319646E-2</v>
      </c>
      <c r="R189" s="280">
        <f t="shared" si="298"/>
        <v>-1.1824407357925032E-2</v>
      </c>
      <c r="S189" s="280">
        <f t="shared" si="298"/>
        <v>-1.0847698841541069E-2</v>
      </c>
      <c r="T189" s="280">
        <f t="shared" ref="T189:U189" si="299">T84 * (1 - T$113)</f>
        <v>-1.1824407357925032E-2</v>
      </c>
      <c r="U189" s="280">
        <f t="shared" si="299"/>
        <v>-1.1824407357925032E-2</v>
      </c>
      <c r="V189" s="280">
        <f t="shared" ref="V189:W189" si="300">V84 * (1 - V$113)</f>
        <v>-1.0847698841541069E-2</v>
      </c>
      <c r="W189" s="280">
        <f t="shared" si="300"/>
        <v>-1.0847698841541069E-2</v>
      </c>
      <c r="X189" s="280">
        <f t="shared" ref="X189:Y189" si="301">X84 * (1 - X$113)</f>
        <v>-1.0691841099564902E-2</v>
      </c>
      <c r="Y189" s="280">
        <f t="shared" si="301"/>
        <v>-1.0691841099564902E-2</v>
      </c>
      <c r="Z189" s="266"/>
      <c r="AA189" s="266"/>
    </row>
    <row r="190" spans="3:27" x14ac:dyDescent="0.25">
      <c r="F190" t="s">
        <v>192</v>
      </c>
      <c r="G190" t="s">
        <v>268</v>
      </c>
      <c r="H190" s="266"/>
      <c r="I190" s="266"/>
      <c r="J190" s="280">
        <f t="shared" ref="J190:K190" si="302">J85 * (1 - J$114)</f>
        <v>6.3980308205064318E-3</v>
      </c>
      <c r="K190" s="280">
        <f t="shared" si="302"/>
        <v>6.3980308205064318E-3</v>
      </c>
      <c r="L190" s="280">
        <f t="shared" ref="L190:M190" si="303">L85 * (1 - L$114)</f>
        <v>7.7574462177776938E-3</v>
      </c>
      <c r="M190" s="280">
        <f t="shared" si="303"/>
        <v>7.7574462177776938E-3</v>
      </c>
      <c r="N190" s="280">
        <f t="shared" ref="N190:P190" si="304">N85 * (1 - N$114)</f>
        <v>6.4360859595234644E-3</v>
      </c>
      <c r="O190" s="280">
        <f t="shared" si="304"/>
        <v>5.5088078644742969E-3</v>
      </c>
      <c r="P190" s="280">
        <f t="shared" si="304"/>
        <v>4.7335980817694188E-3</v>
      </c>
      <c r="Q190" s="280">
        <f t="shared" ref="Q190:S190" si="305">Q85 * (1 - Q$114)</f>
        <v>5.524665067483208E-3</v>
      </c>
      <c r="R190" s="280">
        <f t="shared" si="305"/>
        <v>-4.7319571305899913E-3</v>
      </c>
      <c r="S190" s="280">
        <f t="shared" si="305"/>
        <v>-4.3410924818417847E-3</v>
      </c>
      <c r="T190" s="280">
        <f t="shared" ref="T190:U190" si="306">T85 * (1 - T$114)</f>
        <v>-4.7319571305899913E-3</v>
      </c>
      <c r="U190" s="280">
        <f t="shared" si="306"/>
        <v>-4.7319571305899913E-3</v>
      </c>
      <c r="V190" s="280">
        <f t="shared" ref="V190:W190" si="307">V85 * (1 - V$114)</f>
        <v>-4.3410924818417847E-3</v>
      </c>
      <c r="W190" s="280">
        <f t="shared" si="307"/>
        <v>-4.3410924818417847E-3</v>
      </c>
      <c r="X190" s="280">
        <f t="shared" ref="X190:Y190" si="308">X85 * (1 - X$114)</f>
        <v>-4.2787204634245173E-3</v>
      </c>
      <c r="Y190" s="280">
        <f t="shared" si="308"/>
        <v>-4.2787204634245173E-3</v>
      </c>
      <c r="Z190" s="266"/>
      <c r="AA190" s="266"/>
    </row>
    <row r="191" spans="3:27" x14ac:dyDescent="0.25">
      <c r="F191" t="s">
        <v>193</v>
      </c>
      <c r="G191" t="s">
        <v>268</v>
      </c>
      <c r="H191" s="266"/>
      <c r="I191" s="266"/>
      <c r="J191" s="280">
        <f t="shared" ref="J191:K191" si="309">J86 * (1 - J$115)</f>
        <v>4.2268823575795929E-2</v>
      </c>
      <c r="K191" s="280">
        <f t="shared" si="309"/>
        <v>4.2268823575795929E-2</v>
      </c>
      <c r="L191" s="280">
        <f t="shared" ref="L191:M191" si="310">L86 * (1 - L$115)</f>
        <v>5.1249850895844259E-2</v>
      </c>
      <c r="M191" s="280">
        <f t="shared" si="310"/>
        <v>5.1249850895844259E-2</v>
      </c>
      <c r="N191" s="280">
        <f t="shared" ref="N191:P191" si="311">N86 * (1 - N$115)</f>
        <v>4.2520236237346069E-2</v>
      </c>
      <c r="O191" s="280">
        <f t="shared" si="311"/>
        <v>3.6394139739075217E-2</v>
      </c>
      <c r="P191" s="280">
        <f t="shared" si="311"/>
        <v>2.501815046663999E-2</v>
      </c>
      <c r="Q191" s="280">
        <f t="shared" ref="Q191:S191" si="312">Q86 * (1 - Q$115)</f>
        <v>3.649890092813373E-2</v>
      </c>
      <c r="R191" s="280">
        <f t="shared" si="312"/>
        <v>-3.1261847079584064E-2</v>
      </c>
      <c r="S191" s="280">
        <f t="shared" si="312"/>
        <v>-2.8679585545769569E-2</v>
      </c>
      <c r="T191" s="280">
        <f t="shared" ref="T191:U191" si="313">T86 * (1 - T$115)</f>
        <v>-3.1261847079584064E-2</v>
      </c>
      <c r="U191" s="280">
        <f t="shared" si="313"/>
        <v>-3.1261847079584064E-2</v>
      </c>
      <c r="V191" s="280">
        <f t="shared" ref="V191:W191" si="314">V86 * (1 - V$115)</f>
        <v>-2.8679585545769569E-2</v>
      </c>
      <c r="W191" s="280">
        <f t="shared" si="314"/>
        <v>-2.8679585545769569E-2</v>
      </c>
      <c r="X191" s="280">
        <f t="shared" ref="X191:Y191" si="315">X86 * (1 - X$115)</f>
        <v>-2.8267522535054487E-2</v>
      </c>
      <c r="Y191" s="280">
        <f t="shared" si="315"/>
        <v>-2.8267522535054487E-2</v>
      </c>
      <c r="Z191" s="266"/>
      <c r="AA191" s="266"/>
    </row>
    <row r="192" spans="3:27" x14ac:dyDescent="0.25">
      <c r="F192" t="s">
        <v>194</v>
      </c>
      <c r="G192" t="s">
        <v>268</v>
      </c>
      <c r="H192" s="266"/>
      <c r="I192" s="266"/>
      <c r="J192" s="280">
        <f t="shared" ref="J192:K192" si="316">J87 * (1 - J$116)</f>
        <v>2.0664027841673316E-2</v>
      </c>
      <c r="K192" s="280">
        <f t="shared" si="316"/>
        <v>2.0664027841673316E-2</v>
      </c>
      <c r="L192" s="280">
        <f t="shared" ref="L192:M192" si="317">L87 * (1 - L$116)</f>
        <v>2.5054597128644839E-2</v>
      </c>
      <c r="M192" s="280">
        <f t="shared" si="317"/>
        <v>2.5054597128644839E-2</v>
      </c>
      <c r="N192" s="280">
        <f t="shared" ref="N192:P192" si="318">N87 * (1 - N$116)</f>
        <v>2.078693635434354E-2</v>
      </c>
      <c r="O192" s="280">
        <f t="shared" si="318"/>
        <v>1.779206169515065E-2</v>
      </c>
      <c r="P192" s="280">
        <f t="shared" si="318"/>
        <v>0</v>
      </c>
      <c r="Q192" s="280">
        <f t="shared" ref="Q192:S192" si="319">Q87 * (1 - Q$116)</f>
        <v>1.7843276466329459E-2</v>
      </c>
      <c r="R192" s="280">
        <f t="shared" si="319"/>
        <v>-1.5283029518819408E-2</v>
      </c>
      <c r="S192" s="280">
        <f t="shared" si="319"/>
        <v>-1.402063516489232E-2</v>
      </c>
      <c r="T192" s="280">
        <f t="shared" ref="T192:U192" si="320">T87 * (1 - T$116)</f>
        <v>-1.5283029518819408E-2</v>
      </c>
      <c r="U192" s="280">
        <f t="shared" si="320"/>
        <v>-1.5283029518819408E-2</v>
      </c>
      <c r="V192" s="280">
        <f t="shared" ref="V192:W192" si="321">V87 * (1 - V$116)</f>
        <v>-1.402063516489232E-2</v>
      </c>
      <c r="W192" s="280">
        <f t="shared" si="321"/>
        <v>-1.402063516489232E-2</v>
      </c>
      <c r="X192" s="280">
        <f t="shared" ref="X192:Y192" si="322">X87 * (1 - X$116)</f>
        <v>-1.3819189257350763E-2</v>
      </c>
      <c r="Y192" s="280">
        <f t="shared" si="322"/>
        <v>-1.3819189257350763E-2</v>
      </c>
      <c r="Z192" s="266"/>
      <c r="AA192" s="266"/>
    </row>
    <row r="193" spans="4:27" x14ac:dyDescent="0.25">
      <c r="F193" t="s">
        <v>195</v>
      </c>
      <c r="G193" t="s">
        <v>268</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25">
      <c r="F194" t="s">
        <v>196</v>
      </c>
      <c r="G194" t="s">
        <v>268</v>
      </c>
      <c r="H194" s="266"/>
      <c r="I194" s="266"/>
      <c r="J194" s="280">
        <f t="shared" ref="J194:K194" si="330">J89 * (1 - J$118)</f>
        <v>6.3762763397030534E-2</v>
      </c>
      <c r="K194" s="280">
        <f t="shared" si="330"/>
        <v>6.3762763397030534E-2</v>
      </c>
      <c r="L194" s="280">
        <f t="shared" ref="L194:M194" si="331">L89 * (1 - L$118)</f>
        <v>7.7310694747512315E-2</v>
      </c>
      <c r="M194" s="280">
        <f t="shared" si="331"/>
        <v>7.7310694747512315E-2</v>
      </c>
      <c r="N194" s="280">
        <f t="shared" ref="N194:P194" si="332">N89 * (1 - N$118)</f>
        <v>5.1313616674020505E-2</v>
      </c>
      <c r="O194" s="280">
        <f t="shared" si="332"/>
        <v>0</v>
      </c>
      <c r="P194" s="280">
        <f t="shared" si="332"/>
        <v>0</v>
      </c>
      <c r="Q194" s="280">
        <f t="shared" ref="Q194:S194" si="333">Q89 * (1 - Q$118)</f>
        <v>5.5058801907723227E-2</v>
      </c>
      <c r="R194" s="280">
        <f t="shared" si="333"/>
        <v>-4.7158676065711488E-2</v>
      </c>
      <c r="S194" s="280">
        <f t="shared" si="333"/>
        <v>-4.326331969473006E-2</v>
      </c>
      <c r="T194" s="280">
        <f t="shared" ref="T194:U194" si="334">T89 * (1 - T$118)</f>
        <v>-4.7158676065711488E-2</v>
      </c>
      <c r="U194" s="280">
        <f t="shared" si="334"/>
        <v>-4.7158676065711488E-2</v>
      </c>
      <c r="V194" s="280">
        <f t="shared" ref="V194:W194" si="335">V89 * (1 - V$118)</f>
        <v>-4.326331969473006E-2</v>
      </c>
      <c r="W194" s="280">
        <f t="shared" si="335"/>
        <v>-4.326331969473006E-2</v>
      </c>
      <c r="X194" s="280">
        <f t="shared" ref="X194:Y194" si="336">X89 * (1 - X$118)</f>
        <v>0</v>
      </c>
      <c r="Y194" s="280">
        <f t="shared" si="336"/>
        <v>0</v>
      </c>
      <c r="Z194" s="266"/>
      <c r="AA194" s="266"/>
    </row>
    <row r="195" spans="4:27" x14ac:dyDescent="0.25">
      <c r="F195" t="s">
        <v>197</v>
      </c>
      <c r="G195" t="s">
        <v>268</v>
      </c>
      <c r="H195" s="266"/>
      <c r="I195" s="266"/>
      <c r="J195" s="280">
        <f t="shared" ref="J195:K195" si="337">J90 * (1 - J$119)</f>
        <v>2.2525060521857754E-2</v>
      </c>
      <c r="K195" s="280">
        <f t="shared" si="337"/>
        <v>2.2525060521857754E-2</v>
      </c>
      <c r="L195" s="280">
        <f t="shared" ref="L195:M195" si="338">L90 * (1 - L$119)</f>
        <v>2.7311050923738426E-2</v>
      </c>
      <c r="M195" s="280">
        <f t="shared" si="338"/>
        <v>2.7311050923738426E-2</v>
      </c>
      <c r="N195" s="280">
        <f t="shared" ref="N195:P195" si="339">N90 * (1 - N$119)</f>
        <v>0</v>
      </c>
      <c r="O195" s="280">
        <f t="shared" si="339"/>
        <v>0</v>
      </c>
      <c r="P195" s="280">
        <f t="shared" si="339"/>
        <v>0</v>
      </c>
      <c r="Q195" s="280">
        <f t="shared" ref="Q195:S195" si="340">Q90 * (1 - Q$119)</f>
        <v>1.9450268137064457E-2</v>
      </c>
      <c r="R195" s="280">
        <f t="shared" si="340"/>
        <v>-1.6659441591270585E-2</v>
      </c>
      <c r="S195" s="280">
        <f t="shared" si="340"/>
        <v>0</v>
      </c>
      <c r="T195" s="280">
        <f t="shared" ref="T195:U195" si="341">T90 * (1 - T$119)</f>
        <v>-1.6659441591270585E-2</v>
      </c>
      <c r="U195" s="280">
        <f t="shared" si="341"/>
        <v>-1.6659441591270585E-2</v>
      </c>
      <c r="V195" s="280">
        <f t="shared" ref="V195:W195" si="342">V90 * (1 - V$119)</f>
        <v>0</v>
      </c>
      <c r="W195" s="280">
        <f t="shared" si="342"/>
        <v>0</v>
      </c>
      <c r="X195" s="280">
        <f t="shared" ref="X195:Y195" si="343">X90 * (1 - X$119)</f>
        <v>0</v>
      </c>
      <c r="Y195" s="280">
        <f t="shared" si="343"/>
        <v>0</v>
      </c>
      <c r="Z195" s="266"/>
      <c r="AA195" s="266"/>
    </row>
    <row r="196" spans="4:27" x14ac:dyDescent="0.25">
      <c r="F196" t="s">
        <v>198</v>
      </c>
      <c r="G196" t="s">
        <v>268</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3.9113232917098513E-2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374</v>
      </c>
      <c r="G197" s="90" t="s">
        <v>268</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375</v>
      </c>
      <c r="G198" s="91" t="s">
        <v>268</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619</v>
      </c>
      <c r="J200" s="101"/>
      <c r="K200" s="101"/>
      <c r="L200" s="101"/>
      <c r="M200" s="101"/>
      <c r="N200" s="101"/>
      <c r="O200" s="101"/>
      <c r="P200" s="101"/>
      <c r="Q200" s="101"/>
      <c r="R200" s="101"/>
      <c r="S200" s="101"/>
      <c r="T200" s="101"/>
      <c r="U200" s="101"/>
      <c r="V200" s="101"/>
      <c r="W200" s="101"/>
      <c r="X200" s="101"/>
      <c r="Y200" s="101"/>
    </row>
    <row r="201" spans="4:27" x14ac:dyDescent="0.25">
      <c r="F201" s="90" t="s">
        <v>188</v>
      </c>
      <c r="G201" s="90" t="s">
        <v>268</v>
      </c>
      <c r="H201" s="264"/>
      <c r="I201" s="264"/>
      <c r="J201" s="279">
        <f t="shared" ref="J201:K201" si="351">J96 * (1 - J$112)</f>
        <v>9.5631075865621942E-3</v>
      </c>
      <c r="K201" s="279">
        <f t="shared" si="351"/>
        <v>9.5631075865621942E-3</v>
      </c>
      <c r="L201" s="279">
        <f t="shared" ref="L201:M201" si="352">L96 * (1 - L$112)</f>
        <v>1.1595019601938395E-2</v>
      </c>
      <c r="M201" s="279">
        <f t="shared" si="352"/>
        <v>1.1595019601938395E-2</v>
      </c>
      <c r="N201" s="279">
        <f t="shared" ref="N201:P201" si="353">N96 * (1 - N$112)</f>
        <v>9.619988429879647E-3</v>
      </c>
      <c r="O201" s="279">
        <f t="shared" si="353"/>
        <v>8.2339900759492834E-3</v>
      </c>
      <c r="P201" s="279">
        <f t="shared" si="353"/>
        <v>7.0752875372867008E-3</v>
      </c>
      <c r="Q201" s="279">
        <f t="shared" ref="Q201:S201" si="354">Q96 * (1 - Q$112)</f>
        <v>8.25769176521126E-3</v>
      </c>
      <c r="R201" s="279">
        <f t="shared" si="354"/>
        <v>-7.0728348150173974E-3</v>
      </c>
      <c r="S201" s="279">
        <f t="shared" si="354"/>
        <v>-6.4886112011231659E-3</v>
      </c>
      <c r="T201" s="279">
        <f t="shared" ref="T201:U201" si="355">T96 * (1 - T$112)</f>
        <v>-7.0728348150173974E-3</v>
      </c>
      <c r="U201" s="279">
        <f t="shared" si="355"/>
        <v>-7.0728348150173974E-3</v>
      </c>
      <c r="V201" s="279">
        <f t="shared" ref="V201:W201" si="356">V96 * (1 - V$112)</f>
        <v>-6.4886112011231659E-3</v>
      </c>
      <c r="W201" s="279">
        <f t="shared" si="356"/>
        <v>-6.4886112011231659E-3</v>
      </c>
      <c r="X201" s="279">
        <f t="shared" ref="X201:Y201" si="357">X96 * (1 - X$112)</f>
        <v>-6.395384028693234E-3</v>
      </c>
      <c r="Y201" s="279">
        <f t="shared" si="357"/>
        <v>-6.395384028693234E-3</v>
      </c>
      <c r="Z201" s="266"/>
      <c r="AA201" s="266"/>
    </row>
    <row r="202" spans="4:27" x14ac:dyDescent="0.25">
      <c r="F202" t="s">
        <v>190</v>
      </c>
      <c r="G202" t="s">
        <v>268</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191</v>
      </c>
      <c r="G203" t="s">
        <v>268</v>
      </c>
      <c r="H203" s="266"/>
      <c r="I203" s="266"/>
      <c r="J203" s="280">
        <f t="shared" ref="J203:K203" si="365">J98 * (1 - J$113)</f>
        <v>7.0880874413180315E-3</v>
      </c>
      <c r="K203" s="280">
        <f t="shared" si="365"/>
        <v>7.0880874413180315E-3</v>
      </c>
      <c r="L203" s="280">
        <f t="shared" ref="L203:M203" si="366">L98 * (1 - L$113)</f>
        <v>8.5941219502562206E-3</v>
      </c>
      <c r="M203" s="280">
        <f t="shared" si="366"/>
        <v>8.5941219502562206E-3</v>
      </c>
      <c r="N203" s="280">
        <f t="shared" ref="N203:P203" si="367">N98 * (1 - N$113)</f>
        <v>7.1302469995495592E-3</v>
      </c>
      <c r="O203" s="280">
        <f t="shared" si="367"/>
        <v>6.1029577593881522E-3</v>
      </c>
      <c r="P203" s="280">
        <f t="shared" si="367"/>
        <v>5.2441380882534009E-3</v>
      </c>
      <c r="Q203" s="280">
        <f t="shared" ref="Q203:S203" si="368">Q98 * (1 - Q$113)</f>
        <v>6.120525233608759E-3</v>
      </c>
      <c r="R203" s="280">
        <f t="shared" si="368"/>
        <v>-5.2423201530522401E-3</v>
      </c>
      <c r="S203" s="280">
        <f t="shared" si="368"/>
        <v>-4.809298980480263E-3</v>
      </c>
      <c r="T203" s="280">
        <f t="shared" ref="T203:U203" si="369">T98 * (1 - T$113)</f>
        <v>-5.2423201530522401E-3</v>
      </c>
      <c r="U203" s="280">
        <f t="shared" si="369"/>
        <v>-5.2423201530522401E-3</v>
      </c>
      <c r="V203" s="280">
        <f t="shared" ref="V203:W203" si="370">V98 * (1 - V$113)</f>
        <v>-4.809298980480263E-3</v>
      </c>
      <c r="W203" s="280">
        <f t="shared" si="370"/>
        <v>-4.809298980480263E-3</v>
      </c>
      <c r="X203" s="280">
        <f t="shared" ref="X203:Y203" si="371">X98 * (1 - X$113)</f>
        <v>-4.7401998571975001E-3</v>
      </c>
      <c r="Y203" s="280">
        <f t="shared" si="371"/>
        <v>-4.7401998571975001E-3</v>
      </c>
      <c r="Z203" s="266"/>
      <c r="AA203" s="266"/>
    </row>
    <row r="204" spans="4:27" x14ac:dyDescent="0.25">
      <c r="F204" t="s">
        <v>192</v>
      </c>
      <c r="G204" t="s">
        <v>268</v>
      </c>
      <c r="H204" s="266"/>
      <c r="I204" s="266"/>
      <c r="J204" s="280">
        <f t="shared" ref="J204:K204" si="372">J99 * (1 - J$114)</f>
        <v>2.8365502722392652E-3</v>
      </c>
      <c r="K204" s="280">
        <f t="shared" si="372"/>
        <v>2.8365502722392652E-3</v>
      </c>
      <c r="L204" s="280">
        <f t="shared" ref="L204:M204" si="373">L99 * (1 - L$114)</f>
        <v>3.4392435419961041E-3</v>
      </c>
      <c r="M204" s="280">
        <f t="shared" si="373"/>
        <v>3.4392435419961041E-3</v>
      </c>
      <c r="N204" s="280">
        <f t="shared" ref="N204:P204" si="374">N99 * (1 - N$114)</f>
        <v>2.8534219188391676E-3</v>
      </c>
      <c r="O204" s="280">
        <f t="shared" si="374"/>
        <v>2.4423155946053268E-3</v>
      </c>
      <c r="P204" s="280">
        <f t="shared" si="374"/>
        <v>2.0986283599133231E-3</v>
      </c>
      <c r="Q204" s="280">
        <f t="shared" ref="Q204:S204" si="375">Q99 * (1 - Q$114)</f>
        <v>2.4493458441889509E-3</v>
      </c>
      <c r="R204" s="280">
        <f t="shared" si="375"/>
        <v>-2.0979008484890557E-3</v>
      </c>
      <c r="S204" s="280">
        <f t="shared" si="375"/>
        <v>-1.9246120262061287E-3</v>
      </c>
      <c r="T204" s="280">
        <f t="shared" ref="T204:U204" si="376">T99 * (1 - T$114)</f>
        <v>-2.0979008484890557E-3</v>
      </c>
      <c r="U204" s="280">
        <f t="shared" si="376"/>
        <v>-2.0979008484890557E-3</v>
      </c>
      <c r="V204" s="280">
        <f t="shared" ref="V204:W204" si="377">V99 * (1 - V$114)</f>
        <v>-1.9246120262061287E-3</v>
      </c>
      <c r="W204" s="280">
        <f t="shared" si="377"/>
        <v>-1.9246120262061287E-3</v>
      </c>
      <c r="X204" s="280">
        <f t="shared" ref="X204:Y204" si="378">X99 * (1 - X$114)</f>
        <v>-1.8969595545652355E-3</v>
      </c>
      <c r="Y204" s="280">
        <f t="shared" si="378"/>
        <v>-1.8969595545652355E-3</v>
      </c>
      <c r="Z204" s="266"/>
      <c r="AA204" s="266"/>
    </row>
    <row r="205" spans="4:27" x14ac:dyDescent="0.25">
      <c r="F205" t="s">
        <v>193</v>
      </c>
      <c r="G205" t="s">
        <v>268</v>
      </c>
      <c r="H205" s="266"/>
      <c r="I205" s="266"/>
      <c r="J205" s="280">
        <f t="shared" ref="J205:K205" si="379">J100 * (1 - J$115)</f>
        <v>1.8739772655810207E-2</v>
      </c>
      <c r="K205" s="280">
        <f t="shared" si="379"/>
        <v>1.8739772655810207E-2</v>
      </c>
      <c r="L205" s="280">
        <f t="shared" ref="L205:M205" si="380">L100 * (1 - L$115)</f>
        <v>2.2721487687257166E-2</v>
      </c>
      <c r="M205" s="280">
        <f t="shared" si="380"/>
        <v>2.2721487687257166E-2</v>
      </c>
      <c r="N205" s="280">
        <f t="shared" ref="N205:P205" si="381">N100 * (1 - N$115)</f>
        <v>1.8851235803389731E-2</v>
      </c>
      <c r="O205" s="280">
        <f t="shared" si="381"/>
        <v>1.6135246903455251E-2</v>
      </c>
      <c r="P205" s="280">
        <f t="shared" si="381"/>
        <v>1.1091731738712279E-2</v>
      </c>
      <c r="Q205" s="280">
        <f t="shared" ref="Q205:S205" si="382">Q100 * (1 - Q$115)</f>
        <v>1.618169250330944E-2</v>
      </c>
      <c r="R205" s="280">
        <f t="shared" si="382"/>
        <v>-1.3859858342676345E-2</v>
      </c>
      <c r="S205" s="280">
        <f t="shared" si="382"/>
        <v>-1.271501942860642E-2</v>
      </c>
      <c r="T205" s="280">
        <f t="shared" ref="T205:U205" si="383">T100 * (1 - T$115)</f>
        <v>-1.3859858342676345E-2</v>
      </c>
      <c r="U205" s="280">
        <f t="shared" si="383"/>
        <v>-1.3859858342676345E-2</v>
      </c>
      <c r="V205" s="280">
        <f t="shared" ref="V205:W205" si="384">V100 * (1 - V$115)</f>
        <v>-1.271501942860642E-2</v>
      </c>
      <c r="W205" s="280">
        <f t="shared" si="384"/>
        <v>-1.271501942860642E-2</v>
      </c>
      <c r="X205" s="280">
        <f t="shared" ref="X205:Y205" si="385">X100 * (1 - X$115)</f>
        <v>-1.253233236785058E-2</v>
      </c>
      <c r="Y205" s="280">
        <f t="shared" si="385"/>
        <v>-1.253233236785058E-2</v>
      </c>
      <c r="Z205" s="266"/>
      <c r="AA205" s="266"/>
    </row>
    <row r="206" spans="4:27" x14ac:dyDescent="0.25">
      <c r="F206" t="s">
        <v>194</v>
      </c>
      <c r="G206" t="s">
        <v>268</v>
      </c>
      <c r="H206" s="266"/>
      <c r="I206" s="266"/>
      <c r="J206" s="280">
        <f t="shared" ref="J206:K206" si="386">J101 * (1 - J$116)</f>
        <v>9.1613428325464999E-3</v>
      </c>
      <c r="K206" s="280">
        <f t="shared" si="386"/>
        <v>9.1613428325464999E-3</v>
      </c>
      <c r="L206" s="280">
        <f t="shared" ref="L206:M206" si="387">L101 * (1 - L$116)</f>
        <v>1.1107890271225239E-2</v>
      </c>
      <c r="M206" s="280">
        <f t="shared" si="387"/>
        <v>1.1107890271225239E-2</v>
      </c>
      <c r="N206" s="280">
        <f t="shared" ref="N206:P206" si="388">N101 * (1 - N$116)</f>
        <v>9.2158340009787978E-3</v>
      </c>
      <c r="O206" s="280">
        <f t="shared" si="388"/>
        <v>7.8880641342522657E-3</v>
      </c>
      <c r="P206" s="280">
        <f t="shared" si="388"/>
        <v>0</v>
      </c>
      <c r="Q206" s="280">
        <f t="shared" ref="Q206:S206" si="389">Q101 * (1 - Q$116)</f>
        <v>7.9107700694384959E-3</v>
      </c>
      <c r="R206" s="280">
        <f t="shared" si="389"/>
        <v>-6.7756912647720709E-3</v>
      </c>
      <c r="S206" s="280">
        <f t="shared" si="389"/>
        <v>-6.2160120214604948E-3</v>
      </c>
      <c r="T206" s="280">
        <f t="shared" ref="T206:U206" si="390">T101 * (1 - T$116)</f>
        <v>-6.7756912647720709E-3</v>
      </c>
      <c r="U206" s="280">
        <f t="shared" si="390"/>
        <v>-6.7756912647720709E-3</v>
      </c>
      <c r="V206" s="280">
        <f t="shared" ref="V206:W206" si="391">V101 * (1 - V$116)</f>
        <v>-6.2160120214604948E-3</v>
      </c>
      <c r="W206" s="280">
        <f t="shared" si="391"/>
        <v>-6.2160120214604948E-3</v>
      </c>
      <c r="X206" s="280">
        <f t="shared" ref="X206:Y206" si="392">X101 * (1 - X$116)</f>
        <v>-6.1267015039107734E-3</v>
      </c>
      <c r="Y206" s="280">
        <f t="shared" si="392"/>
        <v>-6.1267015039107734E-3</v>
      </c>
      <c r="Z206" s="266"/>
      <c r="AA206" s="266"/>
    </row>
    <row r="207" spans="4:27" x14ac:dyDescent="0.25">
      <c r="F207" t="s">
        <v>195</v>
      </c>
      <c r="G207" t="s">
        <v>268</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25">
      <c r="F208" t="s">
        <v>196</v>
      </c>
      <c r="G208" t="s">
        <v>268</v>
      </c>
      <c r="H208" s="266"/>
      <c r="I208" s="266"/>
      <c r="J208" s="280">
        <f t="shared" ref="J208:K208" si="400">J103 * (1 - J$118)</f>
        <v>2.8269054799310658E-2</v>
      </c>
      <c r="K208" s="280">
        <f t="shared" si="400"/>
        <v>2.8269054799310658E-2</v>
      </c>
      <c r="L208" s="280">
        <f t="shared" ref="L208:M208" si="401">L103 * (1 - L$118)</f>
        <v>3.4275494817904713E-2</v>
      </c>
      <c r="M208" s="280">
        <f t="shared" si="401"/>
        <v>3.4275494817904713E-2</v>
      </c>
      <c r="N208" s="280">
        <f t="shared" ref="N208:P208" si="402">N103 * (1 - N$118)</f>
        <v>2.2749758078650987E-2</v>
      </c>
      <c r="O208" s="280">
        <f t="shared" si="402"/>
        <v>0</v>
      </c>
      <c r="P208" s="280">
        <f t="shared" si="402"/>
        <v>0</v>
      </c>
      <c r="Q208" s="280">
        <f t="shared" ref="Q208:S208" si="403">Q103 * (1 - Q$118)</f>
        <v>2.4410176181076607E-2</v>
      </c>
      <c r="R208" s="280">
        <f t="shared" si="403"/>
        <v>-2.0907675999917889E-2</v>
      </c>
      <c r="S208" s="280">
        <f t="shared" si="403"/>
        <v>-1.9180679915566146E-2</v>
      </c>
      <c r="T208" s="280">
        <f t="shared" ref="T208:U208" si="404">T103 * (1 - T$118)</f>
        <v>-2.0907675999917889E-2</v>
      </c>
      <c r="U208" s="280">
        <f t="shared" si="404"/>
        <v>-2.0907675999917889E-2</v>
      </c>
      <c r="V208" s="280">
        <f t="shared" ref="V208:W208" si="405">V103 * (1 - V$118)</f>
        <v>-1.9180679915566146E-2</v>
      </c>
      <c r="W208" s="280">
        <f t="shared" si="405"/>
        <v>-1.9180679915566146E-2</v>
      </c>
      <c r="X208" s="280">
        <f t="shared" ref="X208:Y208" si="406">X103 * (1 - X$118)</f>
        <v>0</v>
      </c>
      <c r="Y208" s="280">
        <f t="shared" si="406"/>
        <v>0</v>
      </c>
      <c r="Z208" s="266"/>
      <c r="AA208" s="266"/>
    </row>
    <row r="209" spans="2:27" x14ac:dyDescent="0.25">
      <c r="F209" t="s">
        <v>197</v>
      </c>
      <c r="G209" t="s">
        <v>268</v>
      </c>
      <c r="H209" s="266"/>
      <c r="I209" s="266"/>
      <c r="J209" s="280">
        <f t="shared" ref="J209:K209" si="407">J104 * (1 - J$119)</f>
        <v>9.9864268159971289E-3</v>
      </c>
      <c r="K209" s="280">
        <f t="shared" si="407"/>
        <v>9.9864268159971289E-3</v>
      </c>
      <c r="L209" s="280">
        <f t="shared" ref="L209:M209" si="408">L104 * (1 - L$119)</f>
        <v>1.2108283174343738E-2</v>
      </c>
      <c r="M209" s="280">
        <f t="shared" si="408"/>
        <v>1.2108283174343738E-2</v>
      </c>
      <c r="N209" s="280">
        <f t="shared" ref="N209:P209" si="409">N104 * (1 - N$119)</f>
        <v>0</v>
      </c>
      <c r="O209" s="280">
        <f t="shared" si="409"/>
        <v>0</v>
      </c>
      <c r="P209" s="280">
        <f t="shared" si="409"/>
        <v>0</v>
      </c>
      <c r="Q209" s="280">
        <f t="shared" ref="Q209:S209" si="410">Q104 * (1 - Q$119)</f>
        <v>8.6232256341256305E-3</v>
      </c>
      <c r="R209" s="280">
        <f t="shared" si="410"/>
        <v>-7.3859199661267423E-3</v>
      </c>
      <c r="S209" s="280">
        <f t="shared" si="410"/>
        <v>0</v>
      </c>
      <c r="T209" s="280">
        <f t="shared" ref="T209:U209" si="411">T104 * (1 - T$119)</f>
        <v>-7.3859199661267423E-3</v>
      </c>
      <c r="U209" s="280">
        <f t="shared" si="411"/>
        <v>-7.3859199661267423E-3</v>
      </c>
      <c r="V209" s="280">
        <f t="shared" ref="V209:W209" si="412">V104 * (1 - V$119)</f>
        <v>0</v>
      </c>
      <c r="W209" s="280">
        <f t="shared" si="412"/>
        <v>0</v>
      </c>
      <c r="X209" s="280">
        <f t="shared" ref="X209:Y209" si="413">X104 * (1 - X$119)</f>
        <v>0</v>
      </c>
      <c r="Y209" s="280">
        <f t="shared" si="413"/>
        <v>0</v>
      </c>
      <c r="Z209" s="266"/>
      <c r="AA209" s="266"/>
    </row>
    <row r="210" spans="2:27" x14ac:dyDescent="0.25">
      <c r="F210" t="s">
        <v>198</v>
      </c>
      <c r="G210" t="s">
        <v>268</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1.7340749770000587E-2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374</v>
      </c>
      <c r="G211" s="90" t="s">
        <v>268</v>
      </c>
      <c r="H211" s="264"/>
      <c r="I211" s="264" t="s">
        <v>153</v>
      </c>
      <c r="J211" s="278"/>
      <c r="K211" s="278"/>
      <c r="L211" s="278"/>
      <c r="M211" s="278"/>
      <c r="N211" s="278"/>
      <c r="O211" s="278"/>
      <c r="P211" s="278"/>
      <c r="Q211" s="281">
        <f>Q106</f>
        <v>0</v>
      </c>
      <c r="R211" s="278"/>
      <c r="S211" s="278"/>
      <c r="T211" s="278"/>
      <c r="U211" s="278"/>
      <c r="V211" s="278"/>
      <c r="W211" s="278"/>
      <c r="X211" s="278"/>
      <c r="Y211" s="278"/>
      <c r="Z211" s="266"/>
      <c r="AA211" s="266" t="s">
        <v>651</v>
      </c>
    </row>
    <row r="212" spans="2:27" x14ac:dyDescent="0.25">
      <c r="D212"/>
      <c r="F212" s="91" t="s">
        <v>375</v>
      </c>
      <c r="G212" s="91" t="s">
        <v>268</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654</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655</v>
      </c>
      <c r="G217" s="90" t="s">
        <v>268</v>
      </c>
      <c r="H217" s="264"/>
      <c r="I217" s="264"/>
      <c r="J217" s="282">
        <f t="shared" ref="J217:K217" si="421">SUM(J127:J138,J141:J152)</f>
        <v>5.2938591475870105</v>
      </c>
      <c r="K217" s="282">
        <f t="shared" si="421"/>
        <v>5.2938591475870105</v>
      </c>
      <c r="L217" s="282">
        <f t="shared" ref="L217:M217" si="422">SUM(L127:L138,L141:L152)</f>
        <v>6.4186667388773344</v>
      </c>
      <c r="M217" s="282">
        <f t="shared" si="422"/>
        <v>6.4186667388773344</v>
      </c>
      <c r="N217" s="282">
        <f t="shared" ref="N217:P217" si="423">SUM(N127:N138,N141:N152)</f>
        <v>4.4997596707397127</v>
      </c>
      <c r="O217" s="282">
        <f t="shared" si="423"/>
        <v>2.8296793840814214</v>
      </c>
      <c r="P217" s="282">
        <f t="shared" si="423"/>
        <v>1.9303039613019599</v>
      </c>
      <c r="Q217" s="282">
        <f t="shared" ref="Q217:S217" si="424">SUM(Q127:Q138,Q141:Q152)</f>
        <v>15.314183490491144</v>
      </c>
      <c r="R217" s="282">
        <f t="shared" si="424"/>
        <v>-3.9153163284981733</v>
      </c>
      <c r="S217" s="282">
        <f t="shared" si="424"/>
        <v>-3.2363520194065214</v>
      </c>
      <c r="T217" s="282">
        <f t="shared" ref="T217:U217" si="425">SUM(T127:T138,T141:T152)</f>
        <v>-3.9153163284981733</v>
      </c>
      <c r="U217" s="282">
        <f t="shared" si="425"/>
        <v>-3.9153163284981733</v>
      </c>
      <c r="V217" s="282">
        <f t="shared" ref="V217:W217" si="426">SUM(V127:V138,V141:V152)</f>
        <v>-3.2363520194065214</v>
      </c>
      <c r="W217" s="282">
        <f t="shared" si="426"/>
        <v>-3.2363520194065214</v>
      </c>
      <c r="X217" s="282">
        <f t="shared" ref="X217:Y217" si="427">SUM(X127:X138,X141:X152)</f>
        <v>-2.1978270768307269</v>
      </c>
      <c r="Y217" s="282">
        <f t="shared" si="427"/>
        <v>-2.1978270768307269</v>
      </c>
      <c r="Z217" s="266"/>
      <c r="AA217" s="266"/>
    </row>
    <row r="218" spans="2:27" x14ac:dyDescent="0.25">
      <c r="D218"/>
      <c r="F218" t="s">
        <v>656</v>
      </c>
      <c r="G218" t="s">
        <v>268</v>
      </c>
      <c r="H218" s="266"/>
      <c r="I218" s="266"/>
      <c r="J218" s="282">
        <f t="shared" ref="J218:K218" si="428">SUM(J157:J168,J171:J182)</f>
        <v>1.7412053834091776</v>
      </c>
      <c r="K218" s="282">
        <f t="shared" si="428"/>
        <v>1.7412053834091776</v>
      </c>
      <c r="L218" s="282">
        <f t="shared" ref="L218:M218" si="429">SUM(L157:L168,L171:L182)</f>
        <v>2.1111663095790658</v>
      </c>
      <c r="M218" s="282">
        <f t="shared" si="429"/>
        <v>2.1111663095790658</v>
      </c>
      <c r="N218" s="282">
        <f t="shared" ref="N218:P218" si="430">SUM(N157:N168,N171:N182)</f>
        <v>1.4431517765522237</v>
      </c>
      <c r="O218" s="282">
        <f t="shared" si="430"/>
        <v>0.85352965281035553</v>
      </c>
      <c r="P218" s="282">
        <f t="shared" si="430"/>
        <v>0.54619707647398175</v>
      </c>
      <c r="Q218" s="282">
        <f t="shared" ref="Q218:S218" si="431">SUM(Q157:Q168,Q171:Q182)</f>
        <v>1.6395116348821819</v>
      </c>
      <c r="R218" s="282">
        <f t="shared" si="431"/>
        <v>-1.287788299399371</v>
      </c>
      <c r="S218" s="282">
        <f t="shared" si="431"/>
        <v>-1.0485928038384174</v>
      </c>
      <c r="T218" s="282">
        <f t="shared" ref="T218:U218" si="432">SUM(T157:T168,T171:T182)</f>
        <v>-1.287788299399371</v>
      </c>
      <c r="U218" s="282">
        <f t="shared" si="432"/>
        <v>-1.287788299399371</v>
      </c>
      <c r="V218" s="282">
        <f t="shared" ref="V218:W218" si="433">SUM(V157:V168,V171:V182)</f>
        <v>-1.0485928038384174</v>
      </c>
      <c r="W218" s="282">
        <f t="shared" si="433"/>
        <v>-1.0485928038384174</v>
      </c>
      <c r="X218" s="282">
        <f t="shared" ref="X218:Y218" si="434">SUM(X157:X168,X171:X182)</f>
        <v>-0.66294103578575292</v>
      </c>
      <c r="Y218" s="282">
        <f t="shared" si="434"/>
        <v>-0.66294103578575292</v>
      </c>
      <c r="Z218" s="266"/>
      <c r="AA218" s="266"/>
    </row>
    <row r="219" spans="2:27" x14ac:dyDescent="0.25">
      <c r="D219"/>
      <c r="F219" s="91" t="s">
        <v>657</v>
      </c>
      <c r="G219" s="91" t="s">
        <v>268</v>
      </c>
      <c r="H219" s="268"/>
      <c r="I219" s="268"/>
      <c r="J219" s="283">
        <f t="shared" ref="J219:K219" si="435">SUM(J187:J198,J201:J212)</f>
        <v>0.25725070876601308</v>
      </c>
      <c r="K219" s="283">
        <f t="shared" si="435"/>
        <v>0.25725070876601308</v>
      </c>
      <c r="L219" s="283">
        <f t="shared" ref="L219:M219" si="436">SUM(L187:L198,L201:L212)</f>
        <v>0.3119098037698384</v>
      </c>
      <c r="M219" s="283">
        <f t="shared" si="436"/>
        <v>0.3119098037698384</v>
      </c>
      <c r="N219" s="283">
        <f t="shared" ref="N219:P219" si="437">SUM(N187:N198,N201:N212)</f>
        <v>0.20756011439443356</v>
      </c>
      <c r="O219" s="283">
        <f t="shared" si="437"/>
        <v>0.11426321740343361</v>
      </c>
      <c r="P219" s="283">
        <f t="shared" si="437"/>
        <v>6.7090042106194347E-2</v>
      </c>
      <c r="Q219" s="283">
        <f t="shared" ref="Q219:S219" si="438">SUM(Q187:Q198,Q201:Q212)</f>
        <v>0.27858858068711206</v>
      </c>
      <c r="R219" s="283">
        <f t="shared" si="438"/>
        <v>-0.19026156013395229</v>
      </c>
      <c r="S219" s="283">
        <f t="shared" si="438"/>
        <v>-0.15248656530221741</v>
      </c>
      <c r="T219" s="283">
        <f t="shared" ref="T219:U219" si="439">SUM(T187:T198,T201:T212)</f>
        <v>-0.19026156013395229</v>
      </c>
      <c r="U219" s="283">
        <f t="shared" si="439"/>
        <v>-0.19026156013395229</v>
      </c>
      <c r="V219" s="283">
        <f t="shared" ref="V219:W219" si="440">SUM(V187:V198,V201:V212)</f>
        <v>-0.15248656530221741</v>
      </c>
      <c r="W219" s="283">
        <f t="shared" si="440"/>
        <v>-0.15248656530221741</v>
      </c>
      <c r="X219" s="283">
        <f t="shared" ref="X219:Y219" si="441">SUM(X187:X198,X201:X212)</f>
        <v>-8.874885066761197E-2</v>
      </c>
      <c r="Y219" s="283">
        <f t="shared" si="441"/>
        <v>-8.874885066761197E-2</v>
      </c>
      <c r="Z219" s="266"/>
      <c r="AA219" s="266"/>
    </row>
    <row r="221" spans="2:27" x14ac:dyDescent="0.25">
      <c r="B221" s="70" t="s">
        <v>230</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231</v>
      </c>
      <c r="G223" s="6" t="s">
        <v>54</v>
      </c>
      <c r="H223" s="108">
        <f t="array" ref="H223">SUM(IF(ISERROR(H22:Y219), 1))</f>
        <v>0</v>
      </c>
      <c r="AA223" s="3"/>
    </row>
    <row r="225" spans="2:27" x14ac:dyDescent="0.25">
      <c r="B225" s="70" t="s">
        <v>105</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682</v>
      </c>
      <c r="E9"/>
    </row>
    <row r="10" spans="1:27" x14ac:dyDescent="0.25">
      <c r="D10" s="71" t="s">
        <v>683</v>
      </c>
      <c r="E10"/>
    </row>
    <row r="11" spans="1:27" x14ac:dyDescent="0.25">
      <c r="D11" s="71" t="s">
        <v>684</v>
      </c>
      <c r="E11"/>
    </row>
    <row r="12" spans="1:27" x14ac:dyDescent="0.25">
      <c r="D12" s="71" t="s">
        <v>685</v>
      </c>
      <c r="E12"/>
    </row>
    <row r="13" spans="1:27" x14ac:dyDescent="0.25">
      <c r="D13" s="71" t="s">
        <v>686</v>
      </c>
      <c r="E13"/>
    </row>
    <row r="14" spans="1:27" x14ac:dyDescent="0.25">
      <c r="D14" s="71" t="s">
        <v>687</v>
      </c>
      <c r="E14"/>
    </row>
    <row r="15" spans="1:27" x14ac:dyDescent="0.25">
      <c r="D15" s="71" t="s">
        <v>688</v>
      </c>
    </row>
    <row r="17" spans="2:27" x14ac:dyDescent="0.25">
      <c r="B17" s="70" t="s">
        <v>689</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690</v>
      </c>
      <c r="F21" s="2"/>
    </row>
    <row r="22" spans="2:27" x14ac:dyDescent="0.25">
      <c r="D22"/>
      <c r="E22" s="71" t="s">
        <v>691</v>
      </c>
      <c r="F22" s="2"/>
    </row>
    <row r="23" spans="2:27" x14ac:dyDescent="0.25">
      <c r="C23" s="100"/>
      <c r="F23" s="151" t="s">
        <v>188</v>
      </c>
      <c r="G23" s="151" t="s">
        <v>166</v>
      </c>
      <c r="H23" s="285">
        <f>'System peak demand'!H226</f>
        <v>0.19143992204560423</v>
      </c>
    </row>
    <row r="24" spans="2:27" x14ac:dyDescent="0.25">
      <c r="C24" s="100"/>
      <c r="F24" t="s">
        <v>190</v>
      </c>
      <c r="G24" t="s">
        <v>166</v>
      </c>
      <c r="H24" s="150">
        <f>'System peak demand'!H226</f>
        <v>0.19143992204560423</v>
      </c>
    </row>
    <row r="25" spans="2:27" x14ac:dyDescent="0.25">
      <c r="C25" s="100"/>
      <c r="F25" t="s">
        <v>191</v>
      </c>
      <c r="G25" t="s">
        <v>166</v>
      </c>
      <c r="H25" s="150">
        <f>'System peak demand'!H227</f>
        <v>0.53947503375864536</v>
      </c>
    </row>
    <row r="26" spans="2:27" x14ac:dyDescent="0.25">
      <c r="C26" s="100"/>
      <c r="F26" t="s">
        <v>192</v>
      </c>
      <c r="G26" t="s">
        <v>166</v>
      </c>
      <c r="H26" s="150">
        <f>'System peak demand'!H228</f>
        <v>0.53947503375864536</v>
      </c>
    </row>
    <row r="27" spans="2:27" x14ac:dyDescent="0.25">
      <c r="C27" s="100"/>
      <c r="F27" t="s">
        <v>193</v>
      </c>
      <c r="G27" t="s">
        <v>166</v>
      </c>
      <c r="H27" s="150">
        <f>'System peak demand'!H229</f>
        <v>1.0832536933546688</v>
      </c>
    </row>
    <row r="28" spans="2:27" x14ac:dyDescent="0.25">
      <c r="C28" s="100"/>
      <c r="F28" t="s">
        <v>194</v>
      </c>
      <c r="G28" t="s">
        <v>166</v>
      </c>
      <c r="H28" s="150">
        <f>'System peak demand'!H230</f>
        <v>1.0832536933546688</v>
      </c>
    </row>
    <row r="29" spans="2:27" x14ac:dyDescent="0.25">
      <c r="C29" s="100"/>
      <c r="F29" t="s">
        <v>195</v>
      </c>
      <c r="G29" t="s">
        <v>166</v>
      </c>
      <c r="H29" s="150">
        <f>'System peak demand'!H231</f>
        <v>0.53947503375864536</v>
      </c>
    </row>
    <row r="30" spans="2:27" x14ac:dyDescent="0.25">
      <c r="C30" s="100"/>
      <c r="F30" t="s">
        <v>196</v>
      </c>
      <c r="G30" t="s">
        <v>166</v>
      </c>
      <c r="H30" s="150">
        <f>'System peak demand'!H232</f>
        <v>1.7915599490952565</v>
      </c>
    </row>
    <row r="31" spans="2:27" x14ac:dyDescent="0.25">
      <c r="C31" s="100"/>
      <c r="F31" t="s">
        <v>197</v>
      </c>
      <c r="G31" t="s">
        <v>166</v>
      </c>
      <c r="H31" s="150">
        <f>'System peak demand'!H233</f>
        <v>1.7915599490952565</v>
      </c>
    </row>
    <row r="32" spans="2:27" x14ac:dyDescent="0.25">
      <c r="C32" s="100"/>
      <c r="F32" t="s">
        <v>198</v>
      </c>
      <c r="G32" t="s">
        <v>166</v>
      </c>
      <c r="H32" s="150">
        <f>'System peak demand'!H234</f>
        <v>0.91103996133176746</v>
      </c>
    </row>
    <row r="33" spans="3:8" x14ac:dyDescent="0.25">
      <c r="C33" s="100"/>
      <c r="F33" t="s">
        <v>374</v>
      </c>
      <c r="G33" t="s">
        <v>166</v>
      </c>
      <c r="H33" s="95"/>
    </row>
    <row r="34" spans="3:8" x14ac:dyDescent="0.25">
      <c r="C34" s="100"/>
      <c r="F34" s="91" t="s">
        <v>375</v>
      </c>
      <c r="G34" s="91" t="s">
        <v>166</v>
      </c>
      <c r="H34" s="97"/>
    </row>
    <row r="35" spans="3:8" x14ac:dyDescent="0.25">
      <c r="C35" s="100"/>
      <c r="F35" s="2"/>
    </row>
    <row r="36" spans="3:8" x14ac:dyDescent="0.25">
      <c r="E36" s="100" t="s">
        <v>392</v>
      </c>
      <c r="F36" s="2"/>
    </row>
    <row r="37" spans="3:8" x14ac:dyDescent="0.25">
      <c r="C37" s="100"/>
      <c r="F37" s="90" t="s">
        <v>188</v>
      </c>
      <c r="G37" s="93" t="s">
        <v>282</v>
      </c>
      <c r="H37" s="167">
        <f t="array" ref="H37:H46">TRANSPOSE('Load &amp; loss characteristics'!J29:S29)</f>
        <v>1</v>
      </c>
    </row>
    <row r="38" spans="3:8" x14ac:dyDescent="0.25">
      <c r="C38" s="100"/>
      <c r="F38" t="s">
        <v>190</v>
      </c>
      <c r="G38" s="89" t="s">
        <v>282</v>
      </c>
      <c r="H38" s="163">
        <v>1</v>
      </c>
    </row>
    <row r="39" spans="3:8" x14ac:dyDescent="0.25">
      <c r="C39" s="100"/>
      <c r="F39" t="s">
        <v>191</v>
      </c>
      <c r="G39" s="89" t="s">
        <v>282</v>
      </c>
      <c r="H39" s="163">
        <v>1.0069999999999999</v>
      </c>
    </row>
    <row r="40" spans="3:8" x14ac:dyDescent="0.25">
      <c r="C40" s="100"/>
      <c r="F40" t="s">
        <v>192</v>
      </c>
      <c r="G40" s="89" t="s">
        <v>282</v>
      </c>
      <c r="H40" s="163">
        <v>1.01</v>
      </c>
    </row>
    <row r="41" spans="3:8" x14ac:dyDescent="0.25">
      <c r="C41" s="100"/>
      <c r="F41" t="s">
        <v>193</v>
      </c>
      <c r="G41" s="89" t="s">
        <v>282</v>
      </c>
      <c r="H41" s="163">
        <v>1.0129999999999999</v>
      </c>
    </row>
    <row r="42" spans="3:8" x14ac:dyDescent="0.25">
      <c r="C42" s="100"/>
      <c r="F42" t="s">
        <v>194</v>
      </c>
      <c r="G42" s="89" t="s">
        <v>282</v>
      </c>
      <c r="H42" s="163">
        <v>1.0189999999999999</v>
      </c>
    </row>
    <row r="43" spans="3:8" x14ac:dyDescent="0.25">
      <c r="C43" s="100"/>
      <c r="F43" t="s">
        <v>195</v>
      </c>
      <c r="G43" s="89" t="s">
        <v>282</v>
      </c>
      <c r="H43" s="163">
        <v>1.0189999999999999</v>
      </c>
    </row>
    <row r="44" spans="3:8" x14ac:dyDescent="0.25">
      <c r="C44" s="100"/>
      <c r="F44" t="s">
        <v>196</v>
      </c>
      <c r="G44" s="89" t="s">
        <v>282</v>
      </c>
      <c r="H44" s="163">
        <v>1.0289999999999999</v>
      </c>
    </row>
    <row r="45" spans="3:8" x14ac:dyDescent="0.25">
      <c r="C45" s="100"/>
      <c r="F45" t="s">
        <v>197</v>
      </c>
      <c r="G45" s="89" t="s">
        <v>282</v>
      </c>
      <c r="H45" s="163">
        <v>1.044</v>
      </c>
    </row>
    <row r="46" spans="3:8" x14ac:dyDescent="0.25">
      <c r="C46" s="100"/>
      <c r="F46" t="s">
        <v>198</v>
      </c>
      <c r="G46" s="89" t="s">
        <v>282</v>
      </c>
      <c r="H46" s="163">
        <v>1.1379999999999999</v>
      </c>
    </row>
    <row r="47" spans="3:8" x14ac:dyDescent="0.25">
      <c r="C47" s="100"/>
      <c r="F47" t="s">
        <v>374</v>
      </c>
      <c r="G47" s="89" t="s">
        <v>282</v>
      </c>
      <c r="H47" s="114"/>
    </row>
    <row r="48" spans="3:8" x14ac:dyDescent="0.25">
      <c r="C48" s="100"/>
      <c r="F48" s="91" t="s">
        <v>375</v>
      </c>
      <c r="G48" s="96" t="s">
        <v>282</v>
      </c>
      <c r="H48" s="116"/>
    </row>
    <row r="49" spans="3:8" x14ac:dyDescent="0.25">
      <c r="C49" s="100"/>
      <c r="F49" s="2"/>
      <c r="H49" s="101"/>
    </row>
    <row r="50" spans="3:8" x14ac:dyDescent="0.25">
      <c r="C50" s="100"/>
      <c r="E50" s="100" t="s">
        <v>581</v>
      </c>
      <c r="H50" s="101"/>
    </row>
    <row r="51" spans="3:8" x14ac:dyDescent="0.25">
      <c r="C51" s="100"/>
      <c r="E51" s="71"/>
      <c r="F51" s="90" t="s">
        <v>188</v>
      </c>
      <c r="G51" s="90" t="s">
        <v>582</v>
      </c>
      <c r="H51" s="112"/>
    </row>
    <row r="52" spans="3:8" x14ac:dyDescent="0.25">
      <c r="C52" s="100"/>
      <c r="E52" s="71"/>
      <c r="F52" t="s">
        <v>190</v>
      </c>
      <c r="G52" t="s">
        <v>582</v>
      </c>
      <c r="H52" s="114"/>
    </row>
    <row r="53" spans="3:8" x14ac:dyDescent="0.25">
      <c r="C53" s="100"/>
      <c r="E53" s="71"/>
      <c r="F53" t="s">
        <v>191</v>
      </c>
      <c r="G53" t="s">
        <v>582</v>
      </c>
      <c r="H53" s="163">
        <f t="array" ref="H53:H60">TRANSPOSE('Unit costs'!L114:S114)</f>
        <v>7.3022692869416268</v>
      </c>
    </row>
    <row r="54" spans="3:8" x14ac:dyDescent="0.25">
      <c r="C54" s="100"/>
      <c r="E54" s="71"/>
      <c r="F54" t="s">
        <v>192</v>
      </c>
      <c r="G54" t="s">
        <v>582</v>
      </c>
      <c r="H54" s="163">
        <v>2.9309686023183494</v>
      </c>
    </row>
    <row r="55" spans="3:8" x14ac:dyDescent="0.25">
      <c r="C55" s="100"/>
      <c r="E55" s="71"/>
      <c r="F55" t="s">
        <v>193</v>
      </c>
      <c r="G55" t="s">
        <v>582</v>
      </c>
      <c r="H55" s="163">
        <v>10.110215600167953</v>
      </c>
    </row>
    <row r="56" spans="3:8" x14ac:dyDescent="0.25">
      <c r="C56" s="100"/>
      <c r="E56" s="71"/>
      <c r="F56" t="s">
        <v>194</v>
      </c>
      <c r="G56" t="s">
        <v>582</v>
      </c>
      <c r="H56" s="163">
        <v>4.9718723888224803</v>
      </c>
    </row>
    <row r="57" spans="3:8" x14ac:dyDescent="0.25">
      <c r="C57" s="100"/>
      <c r="E57" s="71"/>
      <c r="F57" t="s">
        <v>195</v>
      </c>
      <c r="G57" t="s">
        <v>582</v>
      </c>
      <c r="H57" s="163">
        <v>0</v>
      </c>
    </row>
    <row r="58" spans="3:8" x14ac:dyDescent="0.25">
      <c r="C58" s="100"/>
      <c r="E58" s="71"/>
      <c r="F58" t="s">
        <v>196</v>
      </c>
      <c r="G58" t="s">
        <v>582</v>
      </c>
      <c r="H58" s="163">
        <v>15.492207893460552</v>
      </c>
    </row>
    <row r="59" spans="3:8" x14ac:dyDescent="0.25">
      <c r="C59" s="100"/>
      <c r="E59" s="71"/>
      <c r="F59" t="s">
        <v>197</v>
      </c>
      <c r="G59" t="s">
        <v>582</v>
      </c>
      <c r="H59" s="163">
        <v>5.5526113454493755</v>
      </c>
    </row>
    <row r="60" spans="3:8" x14ac:dyDescent="0.25">
      <c r="C60" s="100"/>
      <c r="E60" s="71"/>
      <c r="F60" t="s">
        <v>198</v>
      </c>
      <c r="G60" t="s">
        <v>582</v>
      </c>
      <c r="H60" s="163">
        <v>12.171305431689953</v>
      </c>
    </row>
    <row r="61" spans="3:8" x14ac:dyDescent="0.25">
      <c r="C61" s="100"/>
      <c r="E61" s="71"/>
      <c r="F61" t="s">
        <v>374</v>
      </c>
      <c r="G61" t="s">
        <v>582</v>
      </c>
      <c r="H61" s="114"/>
    </row>
    <row r="62" spans="3:8" x14ac:dyDescent="0.25">
      <c r="C62" s="100"/>
      <c r="E62" s="71"/>
      <c r="F62" s="91" t="s">
        <v>375</v>
      </c>
      <c r="G62" s="91" t="s">
        <v>582</v>
      </c>
      <c r="H62" s="116"/>
    </row>
    <row r="63" spans="3:8" x14ac:dyDescent="0.25">
      <c r="C63" s="100"/>
      <c r="D63"/>
      <c r="E63" s="71"/>
      <c r="H63" s="101"/>
    </row>
    <row r="64" spans="3:8" x14ac:dyDescent="0.25">
      <c r="C64" s="100"/>
      <c r="E64" s="100" t="s">
        <v>600</v>
      </c>
      <c r="H64" s="101"/>
    </row>
    <row r="65" spans="3:25" x14ac:dyDescent="0.25">
      <c r="C65" s="100"/>
      <c r="F65" s="90" t="s">
        <v>188</v>
      </c>
      <c r="G65" s="90" t="s">
        <v>582</v>
      </c>
      <c r="H65" s="167">
        <f t="array" ref="H65:H74">TRANSPOSE('Unit costs'!J115:S115)</f>
        <v>5.4684203861685114</v>
      </c>
    </row>
    <row r="66" spans="3:25" x14ac:dyDescent="0.25">
      <c r="C66" s="100"/>
      <c r="F66" t="s">
        <v>190</v>
      </c>
      <c r="G66" t="s">
        <v>582</v>
      </c>
      <c r="H66" s="163">
        <v>0</v>
      </c>
    </row>
    <row r="67" spans="3:25" x14ac:dyDescent="0.25">
      <c r="C67" s="100"/>
      <c r="F67" t="s">
        <v>191</v>
      </c>
      <c r="G67" t="s">
        <v>582</v>
      </c>
      <c r="H67" s="163">
        <v>3.2374420372359438</v>
      </c>
    </row>
    <row r="68" spans="3:25" x14ac:dyDescent="0.25">
      <c r="C68" s="100"/>
      <c r="F68" t="s">
        <v>192</v>
      </c>
      <c r="G68" t="s">
        <v>582</v>
      </c>
      <c r="H68" s="163">
        <v>1.2994372831378103</v>
      </c>
    </row>
    <row r="69" spans="3:25" x14ac:dyDescent="0.25">
      <c r="C69" s="100"/>
      <c r="F69" t="s">
        <v>193</v>
      </c>
      <c r="G69" t="s">
        <v>582</v>
      </c>
      <c r="H69" s="163">
        <v>4.4823377094616861</v>
      </c>
    </row>
    <row r="70" spans="3:25" x14ac:dyDescent="0.25">
      <c r="C70" s="100"/>
      <c r="F70" t="s">
        <v>194</v>
      </c>
      <c r="G70" t="s">
        <v>582</v>
      </c>
      <c r="H70" s="163">
        <v>2.2042666523036512</v>
      </c>
    </row>
    <row r="71" spans="3:25" x14ac:dyDescent="0.25">
      <c r="C71" s="100"/>
      <c r="F71" t="s">
        <v>195</v>
      </c>
      <c r="G71" t="s">
        <v>582</v>
      </c>
      <c r="H71" s="163">
        <v>0</v>
      </c>
    </row>
    <row r="72" spans="3:25" x14ac:dyDescent="0.25">
      <c r="C72" s="100"/>
      <c r="F72" t="s">
        <v>196</v>
      </c>
      <c r="G72" t="s">
        <v>582</v>
      </c>
      <c r="H72" s="163">
        <v>6.8684299514369069</v>
      </c>
    </row>
    <row r="73" spans="3:25" x14ac:dyDescent="0.25">
      <c r="C73" s="100"/>
      <c r="F73" t="s">
        <v>197</v>
      </c>
      <c r="G73" t="s">
        <v>582</v>
      </c>
      <c r="H73" s="163">
        <v>2.4617357536152911</v>
      </c>
    </row>
    <row r="74" spans="3:25" x14ac:dyDescent="0.25">
      <c r="C74" s="100"/>
      <c r="F74" t="s">
        <v>198</v>
      </c>
      <c r="G74" t="s">
        <v>582</v>
      </c>
      <c r="H74" s="163">
        <v>5.3961165090221641</v>
      </c>
    </row>
    <row r="75" spans="3:25" x14ac:dyDescent="0.25">
      <c r="C75" s="100"/>
      <c r="F75" t="s">
        <v>374</v>
      </c>
      <c r="G75" t="s">
        <v>582</v>
      </c>
      <c r="H75" s="114"/>
    </row>
    <row r="76" spans="3:25" x14ac:dyDescent="0.25">
      <c r="C76" s="100"/>
      <c r="F76" s="91" t="s">
        <v>375</v>
      </c>
      <c r="G76" s="91" t="s">
        <v>582</v>
      </c>
      <c r="H76" s="116"/>
    </row>
    <row r="77" spans="3:25" x14ac:dyDescent="0.25">
      <c r="C77" s="100"/>
      <c r="F77" s="2"/>
    </row>
    <row r="78" spans="3:25" x14ac:dyDescent="0.25">
      <c r="E78" s="60" t="s">
        <v>406</v>
      </c>
      <c r="F78" s="2"/>
    </row>
    <row r="79" spans="3:25" x14ac:dyDescent="0.25">
      <c r="E79" s="71" t="s">
        <v>399</v>
      </c>
    </row>
    <row r="80" spans="3:25" x14ac:dyDescent="0.25">
      <c r="C80" s="100"/>
      <c r="F80" s="90" t="s">
        <v>188</v>
      </c>
      <c r="G80" s="93" t="s">
        <v>282</v>
      </c>
      <c r="H80" s="286"/>
      <c r="I80" s="286"/>
      <c r="J80" s="167">
        <f t="array" ref="J80:Y89">TRANSPOSE('Load &amp; loss characteristics'!J145:S160)</f>
        <v>1.1379999999999999</v>
      </c>
      <c r="K80" s="167">
        <v>1.1379999999999999</v>
      </c>
      <c r="L80" s="167">
        <v>1.1379999999999999</v>
      </c>
      <c r="M80" s="167">
        <v>1.1379999999999999</v>
      </c>
      <c r="N80" s="167">
        <v>1.1379999999999999</v>
      </c>
      <c r="O80" s="167">
        <v>1.044</v>
      </c>
      <c r="P80" s="167">
        <v>1.0289999999999999</v>
      </c>
      <c r="Q80" s="167">
        <v>1.1379999999999999</v>
      </c>
      <c r="R80" s="167">
        <v>-1.1379999999999999</v>
      </c>
      <c r="S80" s="167">
        <v>-1.044</v>
      </c>
      <c r="T80" s="167">
        <v>-1.1379999999999999</v>
      </c>
      <c r="U80" s="167">
        <v>-1.1379999999999999</v>
      </c>
      <c r="V80" s="167">
        <v>-1.044</v>
      </c>
      <c r="W80" s="167">
        <v>-1.044</v>
      </c>
      <c r="X80" s="167">
        <v>-1.0289999999999999</v>
      </c>
      <c r="Y80" s="167">
        <v>-1.0289999999999999</v>
      </c>
    </row>
    <row r="81" spans="3:42" x14ac:dyDescent="0.25">
      <c r="C81" s="100"/>
      <c r="F81" t="s">
        <v>190</v>
      </c>
      <c r="G81" s="89" t="s">
        <v>282</v>
      </c>
      <c r="H81" s="287"/>
      <c r="I81" s="287"/>
      <c r="J81" s="163">
        <v>1.1379999999999999</v>
      </c>
      <c r="K81" s="163">
        <v>1.1379999999999999</v>
      </c>
      <c r="L81" s="163">
        <v>1.1379999999999999</v>
      </c>
      <c r="M81" s="163">
        <v>1.1379999999999999</v>
      </c>
      <c r="N81" s="163">
        <v>1.1379999999999999</v>
      </c>
      <c r="O81" s="163">
        <v>1.044</v>
      </c>
      <c r="P81" s="163">
        <v>1.0289999999999999</v>
      </c>
      <c r="Q81" s="163">
        <v>1.1379999999999999</v>
      </c>
      <c r="R81" s="163">
        <v>-1.1379999999999999</v>
      </c>
      <c r="S81" s="163">
        <v>-1.044</v>
      </c>
      <c r="T81" s="163">
        <v>-1.1379999999999999</v>
      </c>
      <c r="U81" s="163">
        <v>-1.1379999999999999</v>
      </c>
      <c r="V81" s="163">
        <v>-1.044</v>
      </c>
      <c r="W81" s="163">
        <v>-1.044</v>
      </c>
      <c r="X81" s="163">
        <v>-1.0289999999999999</v>
      </c>
      <c r="Y81" s="163">
        <v>-1.0289999999999999</v>
      </c>
    </row>
    <row r="82" spans="3:42" x14ac:dyDescent="0.25">
      <c r="C82" s="100"/>
      <c r="F82" t="s">
        <v>191</v>
      </c>
      <c r="G82" s="89" t="s">
        <v>282</v>
      </c>
      <c r="H82" s="287"/>
      <c r="I82" s="287"/>
      <c r="J82" s="163">
        <v>1.1379999999999999</v>
      </c>
      <c r="K82" s="163">
        <v>1.1379999999999999</v>
      </c>
      <c r="L82" s="163">
        <v>1.1379999999999999</v>
      </c>
      <c r="M82" s="163">
        <v>1.1379999999999999</v>
      </c>
      <c r="N82" s="163">
        <v>1.1379999999999999</v>
      </c>
      <c r="O82" s="163">
        <v>1.044</v>
      </c>
      <c r="P82" s="163">
        <v>1.0289999999999999</v>
      </c>
      <c r="Q82" s="163">
        <v>1.1379999999999999</v>
      </c>
      <c r="R82" s="163">
        <v>-1.1379999999999999</v>
      </c>
      <c r="S82" s="163">
        <v>-1.044</v>
      </c>
      <c r="T82" s="163">
        <v>-1.1379999999999999</v>
      </c>
      <c r="U82" s="163">
        <v>-1.1379999999999999</v>
      </c>
      <c r="V82" s="163">
        <v>-1.044</v>
      </c>
      <c r="W82" s="163">
        <v>-1.044</v>
      </c>
      <c r="X82" s="163">
        <v>-1.0289999999999999</v>
      </c>
      <c r="Y82" s="163">
        <v>-1.0289999999999999</v>
      </c>
    </row>
    <row r="83" spans="3:42" x14ac:dyDescent="0.25">
      <c r="C83" s="100"/>
      <c r="F83" t="s">
        <v>192</v>
      </c>
      <c r="G83" s="89" t="s">
        <v>282</v>
      </c>
      <c r="H83" s="287"/>
      <c r="I83" s="287"/>
      <c r="J83" s="163">
        <v>1.1379999999999999</v>
      </c>
      <c r="K83" s="163">
        <v>1.1379999999999999</v>
      </c>
      <c r="L83" s="163">
        <v>1.1379999999999999</v>
      </c>
      <c r="M83" s="163">
        <v>1.1379999999999999</v>
      </c>
      <c r="N83" s="163">
        <v>1.1379999999999999</v>
      </c>
      <c r="O83" s="163">
        <v>1.044</v>
      </c>
      <c r="P83" s="163">
        <v>1.0289999999999999</v>
      </c>
      <c r="Q83" s="163">
        <v>1.1379999999999999</v>
      </c>
      <c r="R83" s="163">
        <v>-1.1379999999999999</v>
      </c>
      <c r="S83" s="163">
        <v>-1.044</v>
      </c>
      <c r="T83" s="163">
        <v>-1.1379999999999999</v>
      </c>
      <c r="U83" s="163">
        <v>-1.1379999999999999</v>
      </c>
      <c r="V83" s="163">
        <v>-1.044</v>
      </c>
      <c r="W83" s="163">
        <v>-1.044</v>
      </c>
      <c r="X83" s="163">
        <v>-1.0289999999999999</v>
      </c>
      <c r="Y83" s="163">
        <v>-1.0289999999999999</v>
      </c>
    </row>
    <row r="84" spans="3:42" x14ac:dyDescent="0.25">
      <c r="C84" s="100"/>
      <c r="F84" t="s">
        <v>193</v>
      </c>
      <c r="G84" s="89" t="s">
        <v>282</v>
      </c>
      <c r="H84" s="287"/>
      <c r="I84" s="287"/>
      <c r="J84" s="163">
        <v>1.1379999999999999</v>
      </c>
      <c r="K84" s="163">
        <v>1.1379999999999999</v>
      </c>
      <c r="L84" s="163">
        <v>1.1379999999999999</v>
      </c>
      <c r="M84" s="163">
        <v>1.1379999999999999</v>
      </c>
      <c r="N84" s="163">
        <v>1.1379999999999999</v>
      </c>
      <c r="O84" s="163">
        <v>1.044</v>
      </c>
      <c r="P84" s="163">
        <v>1.0289999999999999</v>
      </c>
      <c r="Q84" s="163">
        <v>1.1379999999999999</v>
      </c>
      <c r="R84" s="163">
        <v>-1.1379999999999999</v>
      </c>
      <c r="S84" s="163">
        <v>-1.044</v>
      </c>
      <c r="T84" s="163">
        <v>-1.1379999999999999</v>
      </c>
      <c r="U84" s="163">
        <v>-1.1379999999999999</v>
      </c>
      <c r="V84" s="163">
        <v>-1.044</v>
      </c>
      <c r="W84" s="163">
        <v>-1.044</v>
      </c>
      <c r="X84" s="163">
        <v>-1.0289999999999999</v>
      </c>
      <c r="Y84" s="163">
        <v>-1.0289999999999999</v>
      </c>
    </row>
    <row r="85" spans="3:42" x14ac:dyDescent="0.25">
      <c r="C85" s="100"/>
      <c r="F85" t="s">
        <v>194</v>
      </c>
      <c r="G85" s="89" t="s">
        <v>282</v>
      </c>
      <c r="H85" s="287"/>
      <c r="I85" s="287"/>
      <c r="J85" s="163">
        <v>1.1379999999999999</v>
      </c>
      <c r="K85" s="163">
        <v>1.1379999999999999</v>
      </c>
      <c r="L85" s="163">
        <v>1.1379999999999999</v>
      </c>
      <c r="M85" s="163">
        <v>1.1379999999999999</v>
      </c>
      <c r="N85" s="163">
        <v>1.1379999999999999</v>
      </c>
      <c r="O85" s="163">
        <v>1.044</v>
      </c>
      <c r="P85" s="163">
        <v>1.0289999999999999</v>
      </c>
      <c r="Q85" s="163">
        <v>1.1379999999999999</v>
      </c>
      <c r="R85" s="163">
        <v>-1.1379999999999999</v>
      </c>
      <c r="S85" s="163">
        <v>-1.044</v>
      </c>
      <c r="T85" s="163">
        <v>-1.1379999999999999</v>
      </c>
      <c r="U85" s="163">
        <v>-1.1379999999999999</v>
      </c>
      <c r="V85" s="163">
        <v>-1.044</v>
      </c>
      <c r="W85" s="163">
        <v>-1.044</v>
      </c>
      <c r="X85" s="163">
        <v>-1.0289999999999999</v>
      </c>
      <c r="Y85" s="163">
        <v>-1.0289999999999999</v>
      </c>
    </row>
    <row r="86" spans="3:42" x14ac:dyDescent="0.25">
      <c r="C86" s="100"/>
      <c r="F86" t="s">
        <v>195</v>
      </c>
      <c r="G86" s="89" t="s">
        <v>282</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25">
      <c r="C87" s="100"/>
      <c r="F87" t="s">
        <v>196</v>
      </c>
      <c r="G87" s="89" t="s">
        <v>282</v>
      </c>
      <c r="H87" s="287"/>
      <c r="I87" s="287"/>
      <c r="J87" s="163">
        <v>1.1379999999999999</v>
      </c>
      <c r="K87" s="163">
        <v>1.1379999999999999</v>
      </c>
      <c r="L87" s="163">
        <v>1.1379999999999999</v>
      </c>
      <c r="M87" s="163">
        <v>1.1379999999999999</v>
      </c>
      <c r="N87" s="163">
        <v>1.1379999999999999</v>
      </c>
      <c r="O87" s="163">
        <v>1.044</v>
      </c>
      <c r="P87" s="163">
        <v>1.0289999999999999</v>
      </c>
      <c r="Q87" s="163">
        <v>1.1379999999999999</v>
      </c>
      <c r="R87" s="163">
        <v>-1.1379999999999999</v>
      </c>
      <c r="S87" s="163">
        <v>-1.044</v>
      </c>
      <c r="T87" s="163">
        <v>-1.1379999999999999</v>
      </c>
      <c r="U87" s="163">
        <v>-1.1379999999999999</v>
      </c>
      <c r="V87" s="163">
        <v>-1.044</v>
      </c>
      <c r="W87" s="163">
        <v>-1.044</v>
      </c>
      <c r="X87" s="163">
        <v>0</v>
      </c>
      <c r="Y87" s="163">
        <v>0</v>
      </c>
    </row>
    <row r="88" spans="3:42" x14ac:dyDescent="0.25">
      <c r="C88" s="100"/>
      <c r="F88" t="s">
        <v>197</v>
      </c>
      <c r="G88" s="89" t="s">
        <v>282</v>
      </c>
      <c r="H88" s="287"/>
      <c r="I88" s="287"/>
      <c r="J88" s="163">
        <v>1.1379999999999999</v>
      </c>
      <c r="K88" s="163">
        <v>1.1379999999999999</v>
      </c>
      <c r="L88" s="163">
        <v>1.1379999999999999</v>
      </c>
      <c r="M88" s="163">
        <v>1.1379999999999999</v>
      </c>
      <c r="N88" s="163">
        <v>1.1379999999999999</v>
      </c>
      <c r="O88" s="163">
        <v>1.044</v>
      </c>
      <c r="P88" s="163">
        <v>0</v>
      </c>
      <c r="Q88" s="163">
        <v>1.1379999999999999</v>
      </c>
      <c r="R88" s="163">
        <v>-1.1379999999999999</v>
      </c>
      <c r="S88" s="163">
        <v>0</v>
      </c>
      <c r="T88" s="163">
        <v>-1.1379999999999999</v>
      </c>
      <c r="U88" s="163">
        <v>-1.1379999999999999</v>
      </c>
      <c r="V88" s="163">
        <v>0</v>
      </c>
      <c r="W88" s="163">
        <v>0</v>
      </c>
      <c r="X88" s="163">
        <v>0</v>
      </c>
      <c r="Y88" s="163">
        <v>0</v>
      </c>
    </row>
    <row r="89" spans="3:42" x14ac:dyDescent="0.25">
      <c r="C89" s="100"/>
      <c r="F89" t="s">
        <v>198</v>
      </c>
      <c r="G89" s="89" t="s">
        <v>282</v>
      </c>
      <c r="H89" s="287"/>
      <c r="I89" s="287"/>
      <c r="J89" s="163">
        <v>1.1379999999999999</v>
      </c>
      <c r="K89" s="163">
        <v>1.1379999999999999</v>
      </c>
      <c r="L89" s="163">
        <v>1.1379999999999999</v>
      </c>
      <c r="M89" s="163">
        <v>1.1379999999999999</v>
      </c>
      <c r="N89" s="163">
        <v>1.1379999999999999</v>
      </c>
      <c r="O89" s="163">
        <v>0</v>
      </c>
      <c r="P89" s="163">
        <v>0</v>
      </c>
      <c r="Q89" s="163">
        <v>1.1379999999999999</v>
      </c>
      <c r="R89" s="163">
        <v>0</v>
      </c>
      <c r="S89" s="163">
        <v>0</v>
      </c>
      <c r="T89" s="163">
        <v>0</v>
      </c>
      <c r="U89" s="163">
        <v>0</v>
      </c>
      <c r="V89" s="163">
        <v>0</v>
      </c>
      <c r="W89" s="163">
        <v>0</v>
      </c>
      <c r="X89" s="163">
        <v>0</v>
      </c>
      <c r="Y89" s="163">
        <v>0</v>
      </c>
    </row>
    <row r="90" spans="3:42" x14ac:dyDescent="0.25">
      <c r="C90" s="100"/>
      <c r="F90" t="s">
        <v>374</v>
      </c>
      <c r="G90" s="89" t="s">
        <v>282</v>
      </c>
      <c r="J90" s="114"/>
      <c r="K90" s="114"/>
      <c r="L90" s="114"/>
      <c r="M90" s="114"/>
      <c r="N90" s="114"/>
      <c r="O90" s="114"/>
      <c r="P90" s="114"/>
      <c r="Q90" s="114"/>
      <c r="R90" s="114"/>
      <c r="S90" s="114"/>
      <c r="T90" s="114"/>
      <c r="U90" s="114"/>
      <c r="V90" s="114"/>
      <c r="W90" s="114"/>
      <c r="X90" s="114"/>
      <c r="Y90" s="114"/>
    </row>
    <row r="91" spans="3:42" x14ac:dyDescent="0.25">
      <c r="C91" s="100"/>
      <c r="F91" s="91" t="s">
        <v>375</v>
      </c>
      <c r="G91" s="96" t="s">
        <v>282</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119</v>
      </c>
      <c r="H93" s="47"/>
      <c r="J93" s="92"/>
      <c r="L93" s="92"/>
      <c r="AP93" s="3"/>
    </row>
    <row r="94" spans="3:42" x14ac:dyDescent="0.25">
      <c r="C94" s="60"/>
      <c r="D94"/>
      <c r="E94"/>
      <c r="F94" s="90" t="s">
        <v>190</v>
      </c>
      <c r="G94" s="90" t="s">
        <v>166</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191</v>
      </c>
      <c r="G95" t="s">
        <v>166</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192</v>
      </c>
      <c r="G96" t="s">
        <v>166</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193</v>
      </c>
      <c r="G97" t="s">
        <v>166</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194</v>
      </c>
      <c r="G98" t="s">
        <v>166</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195</v>
      </c>
      <c r="G99" t="s">
        <v>166</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196</v>
      </c>
      <c r="G100" t="s">
        <v>166</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197</v>
      </c>
      <c r="G101" t="s">
        <v>166</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198</v>
      </c>
      <c r="G102" s="91" t="s">
        <v>166</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692</v>
      </c>
    </row>
    <row r="105" spans="3:42" x14ac:dyDescent="0.25">
      <c r="C105" s="100"/>
      <c r="F105" s="90" t="s">
        <v>188</v>
      </c>
      <c r="G105" s="90" t="s">
        <v>166</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190</v>
      </c>
      <c r="G106" t="s">
        <v>166</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191</v>
      </c>
      <c r="G107" t="s">
        <v>166</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192</v>
      </c>
      <c r="G108" t="s">
        <v>166</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193</v>
      </c>
      <c r="G109" t="s">
        <v>166</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194</v>
      </c>
      <c r="G110" t="s">
        <v>166</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195</v>
      </c>
      <c r="G111" t="s">
        <v>166</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196</v>
      </c>
      <c r="G112" t="s">
        <v>166</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197</v>
      </c>
      <c r="G113" t="s">
        <v>166</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198</v>
      </c>
      <c r="G114" t="s">
        <v>166</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374</v>
      </c>
      <c r="G115" t="s">
        <v>166</v>
      </c>
      <c r="J115" s="95"/>
      <c r="K115" s="95"/>
      <c r="L115" s="95"/>
      <c r="M115" s="95"/>
      <c r="N115" s="95"/>
      <c r="O115" s="95"/>
      <c r="P115" s="95"/>
      <c r="Q115" s="95"/>
      <c r="R115" s="95"/>
      <c r="S115" s="95"/>
      <c r="T115" s="95"/>
      <c r="U115" s="95"/>
      <c r="V115" s="95"/>
      <c r="W115" s="95"/>
      <c r="X115" s="95"/>
      <c r="Y115" s="95"/>
    </row>
    <row r="116" spans="2:27" x14ac:dyDescent="0.25">
      <c r="C116" s="100"/>
      <c r="F116" s="91" t="s">
        <v>375</v>
      </c>
      <c r="G116" s="91" t="s">
        <v>166</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693</v>
      </c>
      <c r="F118" s="2"/>
      <c r="I118" t="s">
        <v>153</v>
      </c>
      <c r="AA118" t="s">
        <v>694</v>
      </c>
    </row>
    <row r="119" spans="2:27" x14ac:dyDescent="0.25">
      <c r="D119"/>
      <c r="E119" s="71" t="s">
        <v>695</v>
      </c>
      <c r="F119" s="2"/>
    </row>
    <row r="120" spans="2:27" x14ac:dyDescent="0.25">
      <c r="D120"/>
      <c r="E120" s="71" t="s">
        <v>696</v>
      </c>
      <c r="F120" s="2"/>
    </row>
    <row r="121" spans="2:27" x14ac:dyDescent="0.25">
      <c r="D121"/>
      <c r="F121" s="90" t="s">
        <v>697</v>
      </c>
      <c r="G121" s="90" t="s">
        <v>670</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698</v>
      </c>
      <c r="G122" t="s">
        <v>670</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226</v>
      </c>
      <c r="G123" s="91" t="s">
        <v>670</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699</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700</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618</v>
      </c>
      <c r="I131" t="s">
        <v>153</v>
      </c>
      <c r="AA131" t="s">
        <v>701</v>
      </c>
    </row>
    <row r="132" spans="3:27" x14ac:dyDescent="0.25">
      <c r="C132" s="100"/>
      <c r="F132" s="90" t="s">
        <v>188</v>
      </c>
      <c r="G132" s="90" t="s">
        <v>270</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190</v>
      </c>
      <c r="G133" t="s">
        <v>270</v>
      </c>
      <c r="J133" s="114"/>
      <c r="K133" s="114"/>
      <c r="L133" s="114"/>
      <c r="M133" s="114"/>
      <c r="N133" s="114"/>
      <c r="O133" s="114"/>
      <c r="P133" s="114"/>
      <c r="Q133" s="114"/>
      <c r="R133" s="114"/>
      <c r="S133" s="114"/>
      <c r="T133" s="114"/>
      <c r="U133" s="114"/>
      <c r="V133" s="114"/>
      <c r="W133" s="114"/>
      <c r="X133" s="114"/>
      <c r="Y133" s="114"/>
    </row>
    <row r="134" spans="3:27" x14ac:dyDescent="0.25">
      <c r="C134" s="100"/>
      <c r="F134" t="s">
        <v>191</v>
      </c>
      <c r="G134" t="s">
        <v>270</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25">
      <c r="C135" s="100"/>
      <c r="F135" t="s">
        <v>192</v>
      </c>
      <c r="G135" t="s">
        <v>270</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193</v>
      </c>
      <c r="G136" t="s">
        <v>270</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0.25661670393404418</v>
      </c>
      <c r="Q136" s="141">
        <f t="shared" ref="Q136" si="11">hundred*Q97*$H55*Q84/$H41*(1-Q109)/days_in_year/(1+$H27)*PowerFactor</f>
        <v>0</v>
      </c>
      <c r="R136" s="114"/>
      <c r="S136" s="114"/>
      <c r="T136" s="114"/>
      <c r="U136" s="114"/>
      <c r="V136" s="114"/>
      <c r="W136" s="114"/>
      <c r="X136" s="114"/>
      <c r="Y136" s="114"/>
    </row>
    <row r="137" spans="3:27" x14ac:dyDescent="0.25">
      <c r="C137" s="100"/>
      <c r="F137" t="s">
        <v>194</v>
      </c>
      <c r="G137" t="s">
        <v>270</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0.62726310624930548</v>
      </c>
      <c r="Q137" s="141">
        <f t="shared" ref="Q137" si="15">hundred*Q98*$H56*Q85/$H42*(1-Q110)/days_in_year/(1+$H28)*PowerFactor</f>
        <v>0</v>
      </c>
      <c r="R137" s="114"/>
      <c r="S137" s="114"/>
      <c r="T137" s="114"/>
      <c r="U137" s="114"/>
      <c r="V137" s="114"/>
      <c r="W137" s="114"/>
      <c r="X137" s="114"/>
      <c r="Y137" s="114"/>
    </row>
    <row r="138" spans="3:27" x14ac:dyDescent="0.25">
      <c r="C138" s="100"/>
      <c r="F138" t="s">
        <v>195</v>
      </c>
      <c r="G138" t="s">
        <v>270</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25">
      <c r="C139" s="100"/>
      <c r="F139" t="s">
        <v>196</v>
      </c>
      <c r="G139" t="s">
        <v>270</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0.31948758110002695</v>
      </c>
      <c r="O139" s="141">
        <f t="shared" si="22"/>
        <v>1.465487850037031</v>
      </c>
      <c r="P139" s="141">
        <f t="shared" si="22"/>
        <v>1.4444319901227054</v>
      </c>
      <c r="Q139" s="141">
        <f t="shared" ref="Q139" si="23">hundred*Q100*$H58*Q87/$H44*(1-Q112)/days_in_year/(1+$H30)*PowerFactor</f>
        <v>0</v>
      </c>
      <c r="R139" s="114"/>
      <c r="S139" s="114"/>
      <c r="T139" s="114"/>
      <c r="U139" s="114"/>
      <c r="V139" s="114"/>
      <c r="W139" s="114"/>
      <c r="X139" s="114"/>
      <c r="Y139" s="114"/>
    </row>
    <row r="140" spans="3:27" x14ac:dyDescent="0.25">
      <c r="C140" s="100"/>
      <c r="F140" t="s">
        <v>197</v>
      </c>
      <c r="G140" t="s">
        <v>270</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0.5643165945812183</v>
      </c>
      <c r="O140" s="141">
        <f t="shared" si="26"/>
        <v>0.5177034488073744</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198</v>
      </c>
      <c r="G141" t="s">
        <v>270</v>
      </c>
      <c r="J141" s="141">
        <f t="shared" ref="J141:K141" si="28">hundred*J102*$H60*J89/$H46*(1-J114)/days_in_year/(1+$H32)*PowerFactor</f>
        <v>1.6576702112809909</v>
      </c>
      <c r="K141" s="141">
        <f t="shared" si="28"/>
        <v>1.6576702112809909</v>
      </c>
      <c r="L141" s="141">
        <f t="shared" ref="L141:M141" si="29">hundred*L102*$H60*L89/$H46*(1-L114)/days_in_year/(1+$H32)*PowerFactor</f>
        <v>1.6576702112809909</v>
      </c>
      <c r="M141" s="141">
        <f t="shared" si="29"/>
        <v>1.6576702112809909</v>
      </c>
      <c r="N141" s="141">
        <f t="shared" ref="N141:P141" si="30">hundred*N102*$H60*N89/$H46*(1-N114)/days_in_year/(1+$H32)*PowerFactor</f>
        <v>1.6576702112809909</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374</v>
      </c>
      <c r="G142" t="s">
        <v>270</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375</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619</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188</v>
      </c>
      <c r="G146" s="90" t="s">
        <v>270</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190</v>
      </c>
      <c r="G147" t="s">
        <v>270</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191</v>
      </c>
      <c r="G148" t="s">
        <v>270</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25">
      <c r="C149" s="100"/>
      <c r="F149" t="s">
        <v>192</v>
      </c>
      <c r="G149" t="s">
        <v>270</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193</v>
      </c>
      <c r="G150" t="s">
        <v>270</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0.11377034619343064</v>
      </c>
      <c r="Q150" s="141">
        <f t="shared" ref="Q150" si="51">hundred*Q97*$H69*Q84/$H41/days_in_year/(1+$H27)*PowerFactor</f>
        <v>0</v>
      </c>
      <c r="R150" s="114"/>
      <c r="S150" s="114"/>
      <c r="T150" s="114"/>
      <c r="U150" s="114"/>
      <c r="V150" s="114"/>
      <c r="W150" s="114"/>
      <c r="X150" s="114"/>
      <c r="Y150" s="114"/>
    </row>
    <row r="151" spans="3:27" x14ac:dyDescent="0.25">
      <c r="C151" s="100"/>
      <c r="F151" t="s">
        <v>194</v>
      </c>
      <c r="G151" t="s">
        <v>270</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0.2780954616683573</v>
      </c>
      <c r="Q151" s="141">
        <f t="shared" ref="Q151" si="55">hundred*Q98*$H70*Q85/$H42/days_in_year/(1+$H28)*PowerFactor</f>
        <v>0</v>
      </c>
      <c r="R151" s="114"/>
      <c r="S151" s="114"/>
      <c r="T151" s="114"/>
      <c r="U151" s="114"/>
      <c r="V151" s="114"/>
      <c r="W151" s="114"/>
      <c r="X151" s="114"/>
      <c r="Y151" s="114"/>
    </row>
    <row r="152" spans="3:27" x14ac:dyDescent="0.25">
      <c r="C152" s="100"/>
      <c r="F152" t="s">
        <v>195</v>
      </c>
      <c r="G152" t="s">
        <v>270</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25">
      <c r="C153" s="100"/>
      <c r="F153" t="s">
        <v>196</v>
      </c>
      <c r="G153" t="s">
        <v>270</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0.14164398555907751</v>
      </c>
      <c r="O153" s="141">
        <f t="shared" si="62"/>
        <v>0.64972021495464394</v>
      </c>
      <c r="P153" s="141">
        <f t="shared" si="62"/>
        <v>0.64038515439495058</v>
      </c>
      <c r="Q153" s="141">
        <f t="shared" ref="Q153" si="63">hundred*Q100*$H72*Q87/$H44/days_in_year/(1+$H30)*PowerFactor</f>
        <v>0</v>
      </c>
      <c r="R153" s="114"/>
      <c r="S153" s="114"/>
      <c r="T153" s="114"/>
      <c r="U153" s="114"/>
      <c r="V153" s="114"/>
      <c r="W153" s="114"/>
      <c r="X153" s="114"/>
      <c r="Y153" s="114"/>
    </row>
    <row r="154" spans="3:27" x14ac:dyDescent="0.25">
      <c r="C154" s="100"/>
      <c r="F154" t="s">
        <v>197</v>
      </c>
      <c r="G154" t="s">
        <v>270</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0.25018828994352776</v>
      </c>
      <c r="O154" s="141">
        <f t="shared" si="66"/>
        <v>0.22952247337525747</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198</v>
      </c>
      <c r="G155" t="s">
        <v>270</v>
      </c>
      <c r="J155" s="141">
        <f t="shared" ref="J155:K155" si="68">hundred*J102*$H74*J89/$H46/days_in_year/(1+$H32)*PowerFactor</f>
        <v>0.73492376342129373</v>
      </c>
      <c r="K155" s="141">
        <f t="shared" si="68"/>
        <v>0.73492376342129373</v>
      </c>
      <c r="L155" s="141">
        <f t="shared" ref="L155:M155" si="69">hundred*L102*$H74*L89/$H46/days_in_year/(1+$H32)*PowerFactor</f>
        <v>0.73492376342129373</v>
      </c>
      <c r="M155" s="141">
        <f t="shared" si="69"/>
        <v>0.73492376342129373</v>
      </c>
      <c r="N155" s="141">
        <f t="shared" ref="N155:P155" si="70">hundred*N102*$H74*N89/$H46/days_in_year/(1+$H32)*PowerFactor</f>
        <v>0.73492376342129373</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374</v>
      </c>
      <c r="G156" t="s">
        <v>270</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375</v>
      </c>
      <c r="G157" s="91" t="s">
        <v>270</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618</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188</v>
      </c>
      <c r="G162" s="90" t="s">
        <v>270</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190</v>
      </c>
      <c r="G163" t="s">
        <v>270</v>
      </c>
      <c r="J163" s="114"/>
      <c r="K163" s="114"/>
      <c r="L163" s="114"/>
      <c r="M163" s="114"/>
      <c r="N163" s="114"/>
      <c r="O163" s="114"/>
      <c r="P163" s="114"/>
      <c r="Q163" s="114"/>
      <c r="R163" s="114"/>
      <c r="S163" s="114"/>
      <c r="T163" s="114"/>
      <c r="U163" s="114"/>
      <c r="V163" s="114"/>
      <c r="W163" s="114"/>
      <c r="X163" s="114"/>
      <c r="Y163" s="114"/>
    </row>
    <row r="164" spans="3:25" x14ac:dyDescent="0.25">
      <c r="C164" s="100"/>
      <c r="F164" t="s">
        <v>191</v>
      </c>
      <c r="G164" t="s">
        <v>270</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25">
      <c r="C165" s="100"/>
      <c r="F165" t="s">
        <v>192</v>
      </c>
      <c r="G165" t="s">
        <v>270</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193</v>
      </c>
      <c r="G166" t="s">
        <v>270</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0.25661670393404418</v>
      </c>
      <c r="Q166" s="141">
        <f t="shared" ref="Q166" si="83">hundred*Q97*$H55*Q84/$H41/days_in_year/(1+$H27)*PowerFactor</f>
        <v>0</v>
      </c>
      <c r="R166" s="114"/>
      <c r="S166" s="114"/>
      <c r="T166" s="114"/>
      <c r="U166" s="114"/>
      <c r="V166" s="114"/>
      <c r="W166" s="114"/>
      <c r="X166" s="114"/>
      <c r="Y166" s="114"/>
    </row>
    <row r="167" spans="3:25" x14ac:dyDescent="0.25">
      <c r="C167" s="100"/>
      <c r="F167" t="s">
        <v>194</v>
      </c>
      <c r="G167" t="s">
        <v>270</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0.62726310624930548</v>
      </c>
      <c r="Q167" s="141">
        <f t="shared" ref="Q167" si="87">hundred*Q98*$H56*Q85/$H42/days_in_year/(1+$H28)*PowerFactor</f>
        <v>0</v>
      </c>
      <c r="R167" s="114"/>
      <c r="S167" s="114"/>
      <c r="T167" s="114"/>
      <c r="U167" s="114"/>
      <c r="V167" s="114"/>
      <c r="W167" s="114"/>
      <c r="X167" s="114"/>
      <c r="Y167" s="114"/>
    </row>
    <row r="168" spans="3:25" x14ac:dyDescent="0.25">
      <c r="C168" s="100"/>
      <c r="F168" t="s">
        <v>195</v>
      </c>
      <c r="G168" t="s">
        <v>270</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25">
      <c r="C169" s="100"/>
      <c r="F169" t="s">
        <v>196</v>
      </c>
      <c r="G169" t="s">
        <v>270</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0.31948758110002695</v>
      </c>
      <c r="O169" s="141">
        <f t="shared" si="94"/>
        <v>1.465487850037031</v>
      </c>
      <c r="P169" s="141">
        <f t="shared" si="94"/>
        <v>1.4444319901227054</v>
      </c>
      <c r="Q169" s="141">
        <f t="shared" ref="Q169" si="95">hundred*Q100*$H58*Q87/$H44/days_in_year/(1+$H30)*PowerFactor</f>
        <v>0</v>
      </c>
      <c r="R169" s="114"/>
      <c r="S169" s="114"/>
      <c r="T169" s="114"/>
      <c r="U169" s="114"/>
      <c r="V169" s="114"/>
      <c r="W169" s="114"/>
      <c r="X169" s="114"/>
      <c r="Y169" s="114"/>
    </row>
    <row r="170" spans="3:25" x14ac:dyDescent="0.25">
      <c r="C170" s="100"/>
      <c r="F170" t="s">
        <v>197</v>
      </c>
      <c r="G170" t="s">
        <v>270</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0.5643165945812183</v>
      </c>
      <c r="O170" s="141">
        <f t="shared" si="98"/>
        <v>0.5177034488073744</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198</v>
      </c>
      <c r="G171" t="s">
        <v>270</v>
      </c>
      <c r="J171" s="141">
        <f t="shared" ref="J171:K171" si="100">hundred*J102*$H60*J89/$H46/days_in_year/(1+$H32)*PowerFactor</f>
        <v>1.6576702112809909</v>
      </c>
      <c r="K171" s="141">
        <f t="shared" si="100"/>
        <v>1.6576702112809909</v>
      </c>
      <c r="L171" s="141">
        <f t="shared" ref="L171:M171" si="101">hundred*L102*$H60*L89/$H46/days_in_year/(1+$H32)*PowerFactor</f>
        <v>1.6576702112809909</v>
      </c>
      <c r="M171" s="141">
        <f t="shared" si="101"/>
        <v>1.6576702112809909</v>
      </c>
      <c r="N171" s="141">
        <f t="shared" ref="N171:P171" si="102">hundred*N102*$H60*N89/$H46/days_in_year/(1+$H32)*PowerFactor</f>
        <v>1.6576702112809909</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374</v>
      </c>
      <c r="G172" t="s">
        <v>270</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375</v>
      </c>
      <c r="G173" s="91" t="s">
        <v>270</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619</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188</v>
      </c>
      <c r="G176" s="90" t="s">
        <v>270</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190</v>
      </c>
      <c r="G177" t="s">
        <v>270</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191</v>
      </c>
      <c r="G178" t="s">
        <v>270</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25">
      <c r="C179" s="100"/>
      <c r="F179" t="s">
        <v>192</v>
      </c>
      <c r="G179" t="s">
        <v>270</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193</v>
      </c>
      <c r="G180" t="s">
        <v>270</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0.11377034619343064</v>
      </c>
      <c r="Q180" s="141">
        <f t="shared" ref="Q180" si="123">hundred*Q97*$H69*Q84/$H41/days_in_year/(1+$H27)*PowerFactor</f>
        <v>0</v>
      </c>
      <c r="R180" s="114"/>
      <c r="S180" s="114"/>
      <c r="T180" s="114"/>
      <c r="U180" s="114"/>
      <c r="V180" s="114"/>
      <c r="W180" s="114"/>
      <c r="X180" s="114"/>
      <c r="Y180" s="114"/>
    </row>
    <row r="181" spans="3:27" x14ac:dyDescent="0.25">
      <c r="C181" s="100"/>
      <c r="F181" t="s">
        <v>194</v>
      </c>
      <c r="G181" t="s">
        <v>270</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0.2780954616683573</v>
      </c>
      <c r="Q181" s="141">
        <f t="shared" ref="Q181" si="127">hundred*Q98*$H70*Q85/$H42/days_in_year/(1+$H28)*PowerFactor</f>
        <v>0</v>
      </c>
      <c r="R181" s="114"/>
      <c r="S181" s="114"/>
      <c r="T181" s="114"/>
      <c r="U181" s="114"/>
      <c r="V181" s="114"/>
      <c r="W181" s="114"/>
      <c r="X181" s="114"/>
      <c r="Y181" s="114"/>
    </row>
    <row r="182" spans="3:27" x14ac:dyDescent="0.25">
      <c r="C182" s="100"/>
      <c r="F182" t="s">
        <v>195</v>
      </c>
      <c r="G182" t="s">
        <v>270</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25">
      <c r="C183" s="100"/>
      <c r="F183" t="s">
        <v>196</v>
      </c>
      <c r="G183" t="s">
        <v>270</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0.14164398555907751</v>
      </c>
      <c r="O183" s="141">
        <f t="shared" si="134"/>
        <v>0.64972021495464394</v>
      </c>
      <c r="P183" s="141">
        <f t="shared" si="134"/>
        <v>0.64038515439495058</v>
      </c>
      <c r="Q183" s="141">
        <f t="shared" ref="Q183" si="135">hundred*Q100*$H72*Q87/$H44/days_in_year/(1+$H30)*PowerFactor</f>
        <v>0</v>
      </c>
      <c r="R183" s="114"/>
      <c r="S183" s="114"/>
      <c r="T183" s="114"/>
      <c r="U183" s="114"/>
      <c r="V183" s="114"/>
      <c r="W183" s="114"/>
      <c r="X183" s="114"/>
      <c r="Y183" s="114"/>
    </row>
    <row r="184" spans="3:27" x14ac:dyDescent="0.25">
      <c r="C184" s="100"/>
      <c r="F184" t="s">
        <v>197</v>
      </c>
      <c r="G184" t="s">
        <v>270</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0.25018828994352776</v>
      </c>
      <c r="O184" s="141">
        <f t="shared" si="138"/>
        <v>0.22952247337525747</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198</v>
      </c>
      <c r="G185" t="s">
        <v>270</v>
      </c>
      <c r="J185" s="141">
        <f t="shared" ref="J185:K185" si="140">hundred*J102*$H74*J89/$H46/days_in_year/(1+$H32)*PowerFactor</f>
        <v>0.73492376342129373</v>
      </c>
      <c r="K185" s="141">
        <f t="shared" si="140"/>
        <v>0.73492376342129373</v>
      </c>
      <c r="L185" s="141">
        <f t="shared" ref="L185:M185" si="141">hundred*L102*$H74*L89/$H46/days_in_year/(1+$H32)*PowerFactor</f>
        <v>0.73492376342129373</v>
      </c>
      <c r="M185" s="141">
        <f t="shared" si="141"/>
        <v>0.73492376342129373</v>
      </c>
      <c r="N185" s="141">
        <f t="shared" ref="N185:P185" si="142">hundred*N102*$H74*N89/$H46/days_in_year/(1+$H32)*PowerFactor</f>
        <v>0.73492376342129373</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374</v>
      </c>
      <c r="G186" t="s">
        <v>270</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375</v>
      </c>
      <c r="G187" s="91" t="s">
        <v>270</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153</v>
      </c>
      <c r="J190" s="101"/>
      <c r="K190" s="101"/>
      <c r="L190" s="101"/>
      <c r="M190" s="101"/>
      <c r="N190" s="101"/>
      <c r="O190" s="101"/>
      <c r="P190" s="101"/>
      <c r="Q190" s="101"/>
      <c r="R190" s="101"/>
      <c r="S190" s="101"/>
      <c r="T190" s="101"/>
      <c r="U190" s="101"/>
      <c r="V190" s="101"/>
      <c r="W190" s="101"/>
      <c r="X190" s="101"/>
      <c r="Y190" s="101"/>
      <c r="AA190" t="s">
        <v>702</v>
      </c>
    </row>
    <row r="191" spans="3:27" x14ac:dyDescent="0.25">
      <c r="C191" s="100"/>
      <c r="D191"/>
      <c r="E191" s="60" t="s">
        <v>618</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188</v>
      </c>
      <c r="G192" s="90" t="s">
        <v>270</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190</v>
      </c>
      <c r="G193" t="s">
        <v>270</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191</v>
      </c>
      <c r="G194" t="s">
        <v>270</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25">
      <c r="C195" s="100"/>
      <c r="D195"/>
      <c r="F195" t="s">
        <v>192</v>
      </c>
      <c r="G195" t="s">
        <v>270</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193</v>
      </c>
      <c r="G196" t="s">
        <v>270</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0.25661670393404418</v>
      </c>
      <c r="Q196" s="141">
        <f t="shared" ref="Q196" si="155">Q$121 * Q136</f>
        <v>0</v>
      </c>
      <c r="R196" s="114"/>
      <c r="S196" s="114"/>
      <c r="T196" s="114"/>
      <c r="U196" s="114"/>
      <c r="V196" s="114"/>
      <c r="W196" s="114"/>
      <c r="X196" s="114"/>
      <c r="Y196" s="114"/>
    </row>
    <row r="197" spans="3:25" x14ac:dyDescent="0.25">
      <c r="C197" s="100"/>
      <c r="D197"/>
      <c r="F197" t="s">
        <v>194</v>
      </c>
      <c r="G197" t="s">
        <v>270</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0.62726310624930548</v>
      </c>
      <c r="Q197" s="141">
        <f t="shared" ref="Q197" si="159">Q$121 * Q137</f>
        <v>0</v>
      </c>
      <c r="R197" s="114"/>
      <c r="S197" s="114"/>
      <c r="T197" s="114"/>
      <c r="U197" s="114"/>
      <c r="V197" s="114"/>
      <c r="W197" s="114"/>
      <c r="X197" s="114"/>
      <c r="Y197" s="114"/>
    </row>
    <row r="198" spans="3:25" x14ac:dyDescent="0.25">
      <c r="C198" s="100"/>
      <c r="D198"/>
      <c r="F198" t="s">
        <v>195</v>
      </c>
      <c r="G198" t="s">
        <v>270</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25">
      <c r="C199" s="100"/>
      <c r="D199"/>
      <c r="F199" t="s">
        <v>196</v>
      </c>
      <c r="G199" t="s">
        <v>270</v>
      </c>
      <c r="J199" s="141">
        <f t="shared" ref="J199:K199" si="164">J$121 * J139</f>
        <v>0</v>
      </c>
      <c r="K199" s="141">
        <f t="shared" si="164"/>
        <v>0</v>
      </c>
      <c r="L199" s="141">
        <f t="shared" ref="L199:M199" si="165">L$121 * L139</f>
        <v>0</v>
      </c>
      <c r="M199" s="141">
        <f t="shared" si="165"/>
        <v>0</v>
      </c>
      <c r="N199" s="141">
        <f t="shared" ref="N199:P199" si="166">N$121 * N139</f>
        <v>0.31948758110002695</v>
      </c>
      <c r="O199" s="141">
        <f t="shared" si="166"/>
        <v>1.465487850037031</v>
      </c>
      <c r="P199" s="141">
        <f t="shared" si="166"/>
        <v>1.4444319901227054</v>
      </c>
      <c r="Q199" s="141">
        <f t="shared" ref="Q199" si="167">Q$121 * Q139</f>
        <v>0</v>
      </c>
      <c r="R199" s="114"/>
      <c r="S199" s="114"/>
      <c r="T199" s="114"/>
      <c r="U199" s="114"/>
      <c r="V199" s="114"/>
      <c r="W199" s="114"/>
      <c r="X199" s="114"/>
      <c r="Y199" s="114"/>
    </row>
    <row r="200" spans="3:25" x14ac:dyDescent="0.25">
      <c r="C200" s="100"/>
      <c r="D200"/>
      <c r="F200" t="s">
        <v>197</v>
      </c>
      <c r="G200" t="s">
        <v>270</v>
      </c>
      <c r="J200" s="141">
        <f t="shared" ref="J200:K200" si="168">J$121 * J140</f>
        <v>0</v>
      </c>
      <c r="K200" s="141">
        <f t="shared" si="168"/>
        <v>0</v>
      </c>
      <c r="L200" s="141">
        <f t="shared" ref="L200:M200" si="169">L$121 * L140</f>
        <v>0</v>
      </c>
      <c r="M200" s="141">
        <f t="shared" si="169"/>
        <v>0</v>
      </c>
      <c r="N200" s="141">
        <f t="shared" ref="N200:P200" si="170">N$121 * N140</f>
        <v>0.5643165945812183</v>
      </c>
      <c r="O200" s="141">
        <f t="shared" si="170"/>
        <v>0.5177034488073744</v>
      </c>
      <c r="P200" s="141">
        <f t="shared" si="170"/>
        <v>0</v>
      </c>
      <c r="Q200" s="141">
        <f t="shared" ref="Q200" si="171">Q$121 * Q140</f>
        <v>0</v>
      </c>
      <c r="R200" s="114"/>
      <c r="S200" s="114"/>
      <c r="T200" s="114"/>
      <c r="U200" s="114"/>
      <c r="V200" s="114"/>
      <c r="W200" s="114"/>
      <c r="X200" s="114"/>
      <c r="Y200" s="114"/>
    </row>
    <row r="201" spans="3:25" x14ac:dyDescent="0.25">
      <c r="C201" s="100"/>
      <c r="D201"/>
      <c r="F201" t="s">
        <v>198</v>
      </c>
      <c r="G201" t="s">
        <v>270</v>
      </c>
      <c r="J201" s="141">
        <f t="shared" ref="J201:K201" si="172">J$121 * J141</f>
        <v>0</v>
      </c>
      <c r="K201" s="141">
        <f t="shared" si="172"/>
        <v>0</v>
      </c>
      <c r="L201" s="141">
        <f t="shared" ref="L201:M201" si="173">L$121 * L141</f>
        <v>0</v>
      </c>
      <c r="M201" s="141">
        <f t="shared" si="173"/>
        <v>0</v>
      </c>
      <c r="N201" s="141">
        <f t="shared" ref="N201:P201" si="174">N$121 * N141</f>
        <v>1.6576702112809909</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374</v>
      </c>
      <c r="G202" t="s">
        <v>270</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375</v>
      </c>
      <c r="G203" s="91" t="s">
        <v>270</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619</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188</v>
      </c>
      <c r="G206" s="90" t="s">
        <v>270</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190</v>
      </c>
      <c r="G207" t="s">
        <v>270</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191</v>
      </c>
      <c r="G208" t="s">
        <v>270</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25">
      <c r="C209" s="100"/>
      <c r="D209"/>
      <c r="F209" t="s">
        <v>192</v>
      </c>
      <c r="G209" t="s">
        <v>270</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193</v>
      </c>
      <c r="G210" t="s">
        <v>270</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0.11377034619343064</v>
      </c>
      <c r="Q210" s="141">
        <f t="shared" ref="Q210" si="195">Q$121 * Q150</f>
        <v>0</v>
      </c>
      <c r="R210" s="114"/>
      <c r="S210" s="114"/>
      <c r="T210" s="114"/>
      <c r="U210" s="114"/>
      <c r="V210" s="114"/>
      <c r="W210" s="114"/>
      <c r="X210" s="114"/>
      <c r="Y210" s="114"/>
    </row>
    <row r="211" spans="3:27" x14ac:dyDescent="0.25">
      <c r="C211" s="100"/>
      <c r="D211"/>
      <c r="F211" t="s">
        <v>194</v>
      </c>
      <c r="G211" t="s">
        <v>270</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0.2780954616683573</v>
      </c>
      <c r="Q211" s="141">
        <f t="shared" ref="Q211" si="199">Q$121 * Q151</f>
        <v>0</v>
      </c>
      <c r="R211" s="114"/>
      <c r="S211" s="114"/>
      <c r="T211" s="114"/>
      <c r="U211" s="114"/>
      <c r="V211" s="114"/>
      <c r="W211" s="114"/>
      <c r="X211" s="114"/>
      <c r="Y211" s="114"/>
    </row>
    <row r="212" spans="3:27" x14ac:dyDescent="0.25">
      <c r="C212" s="100"/>
      <c r="D212"/>
      <c r="F212" t="s">
        <v>195</v>
      </c>
      <c r="G212" t="s">
        <v>270</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25">
      <c r="C213" s="100"/>
      <c r="D213"/>
      <c r="F213" t="s">
        <v>196</v>
      </c>
      <c r="G213" t="s">
        <v>270</v>
      </c>
      <c r="J213" s="141">
        <f t="shared" ref="J213:K213" si="204">J$121 * J153</f>
        <v>0</v>
      </c>
      <c r="K213" s="141">
        <f t="shared" si="204"/>
        <v>0</v>
      </c>
      <c r="L213" s="141">
        <f t="shared" ref="L213:M213" si="205">L$121 * L153</f>
        <v>0</v>
      </c>
      <c r="M213" s="141">
        <f t="shared" si="205"/>
        <v>0</v>
      </c>
      <c r="N213" s="141">
        <f t="shared" ref="N213:P213" si="206">N$121 * N153</f>
        <v>0.14164398555907751</v>
      </c>
      <c r="O213" s="141">
        <f t="shared" si="206"/>
        <v>0.64972021495464394</v>
      </c>
      <c r="P213" s="141">
        <f t="shared" si="206"/>
        <v>0.64038515439495058</v>
      </c>
      <c r="Q213" s="141">
        <f t="shared" ref="Q213" si="207">Q$121 * Q153</f>
        <v>0</v>
      </c>
      <c r="R213" s="114"/>
      <c r="S213" s="114"/>
      <c r="T213" s="114"/>
      <c r="U213" s="114"/>
      <c r="V213" s="114"/>
      <c r="W213" s="114"/>
      <c r="X213" s="114"/>
      <c r="Y213" s="114"/>
    </row>
    <row r="214" spans="3:27" x14ac:dyDescent="0.25">
      <c r="C214" s="100"/>
      <c r="D214"/>
      <c r="F214" t="s">
        <v>197</v>
      </c>
      <c r="G214" t="s">
        <v>270</v>
      </c>
      <c r="J214" s="141">
        <f t="shared" ref="J214:K214" si="208">J$121 * J154</f>
        <v>0</v>
      </c>
      <c r="K214" s="141">
        <f t="shared" si="208"/>
        <v>0</v>
      </c>
      <c r="L214" s="141">
        <f t="shared" ref="L214:M214" si="209">L$121 * L154</f>
        <v>0</v>
      </c>
      <c r="M214" s="141">
        <f t="shared" si="209"/>
        <v>0</v>
      </c>
      <c r="N214" s="141">
        <f t="shared" ref="N214:P214" si="210">N$121 * N154</f>
        <v>0.25018828994352776</v>
      </c>
      <c r="O214" s="141">
        <f t="shared" si="210"/>
        <v>0.22952247337525747</v>
      </c>
      <c r="P214" s="141">
        <f t="shared" si="210"/>
        <v>0</v>
      </c>
      <c r="Q214" s="141">
        <f t="shared" ref="Q214" si="211">Q$121 * Q154</f>
        <v>0</v>
      </c>
      <c r="R214" s="114"/>
      <c r="S214" s="114"/>
      <c r="T214" s="114"/>
      <c r="U214" s="114"/>
      <c r="V214" s="114"/>
      <c r="W214" s="114"/>
      <c r="X214" s="114"/>
      <c r="Y214" s="114"/>
    </row>
    <row r="215" spans="3:27" x14ac:dyDescent="0.25">
      <c r="C215" s="100"/>
      <c r="D215"/>
      <c r="F215" t="s">
        <v>198</v>
      </c>
      <c r="G215" t="s">
        <v>270</v>
      </c>
      <c r="J215" s="141">
        <f t="shared" ref="J215:K215" si="212">J$121 * J155</f>
        <v>0</v>
      </c>
      <c r="K215" s="141">
        <f t="shared" si="212"/>
        <v>0</v>
      </c>
      <c r="L215" s="141">
        <f t="shared" ref="L215:M215" si="213">L$121 * L155</f>
        <v>0</v>
      </c>
      <c r="M215" s="141">
        <f t="shared" si="213"/>
        <v>0</v>
      </c>
      <c r="N215" s="141">
        <f t="shared" ref="N215:P215" si="214">N$121 * N155</f>
        <v>0.73492376342129373</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374</v>
      </c>
      <c r="G216" t="s">
        <v>270</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375</v>
      </c>
      <c r="G217" s="91" t="s">
        <v>270</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153</v>
      </c>
      <c r="J220" s="101"/>
      <c r="K220" s="101"/>
      <c r="L220" s="101"/>
      <c r="M220" s="101"/>
      <c r="N220" s="101"/>
      <c r="O220" s="101"/>
      <c r="P220" s="101"/>
      <c r="Q220" s="101"/>
      <c r="R220" s="101"/>
      <c r="S220" s="101"/>
      <c r="T220" s="101"/>
      <c r="U220" s="101"/>
      <c r="V220" s="101"/>
      <c r="W220" s="101"/>
      <c r="X220" s="101"/>
      <c r="Y220" s="101"/>
      <c r="AA220" t="s">
        <v>703</v>
      </c>
    </row>
    <row r="221" spans="3:27" x14ac:dyDescent="0.25">
      <c r="C221" s="100"/>
      <c r="D221"/>
      <c r="E221" s="60" t="s">
        <v>618</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188</v>
      </c>
      <c r="G222" s="90" t="s">
        <v>270</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190</v>
      </c>
      <c r="G223" t="s">
        <v>270</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191</v>
      </c>
      <c r="G224" t="s">
        <v>270</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25">
      <c r="C225" s="100"/>
      <c r="D225"/>
      <c r="F225" t="s">
        <v>192</v>
      </c>
      <c r="G225" t="s">
        <v>270</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193</v>
      </c>
      <c r="G226" t="s">
        <v>270</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0.25661670393404418</v>
      </c>
      <c r="Q226" s="141">
        <f t="shared" ref="Q226" si="227">Q$122 * Q166</f>
        <v>0</v>
      </c>
      <c r="R226" s="114"/>
      <c r="S226" s="114"/>
      <c r="T226" s="114"/>
      <c r="U226" s="114"/>
      <c r="V226" s="114"/>
      <c r="W226" s="114"/>
      <c r="X226" s="114"/>
      <c r="Y226" s="114"/>
    </row>
    <row r="227" spans="3:25" x14ac:dyDescent="0.25">
      <c r="C227" s="100"/>
      <c r="D227"/>
      <c r="F227" t="s">
        <v>194</v>
      </c>
      <c r="G227" t="s">
        <v>270</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0.62726310624930548</v>
      </c>
      <c r="Q227" s="141">
        <f t="shared" ref="Q227" si="231">Q$122 * Q167</f>
        <v>0</v>
      </c>
      <c r="R227" s="114"/>
      <c r="S227" s="114"/>
      <c r="T227" s="114"/>
      <c r="U227" s="114"/>
      <c r="V227" s="114"/>
      <c r="W227" s="114"/>
      <c r="X227" s="114"/>
      <c r="Y227" s="114"/>
    </row>
    <row r="228" spans="3:25" x14ac:dyDescent="0.25">
      <c r="C228" s="100"/>
      <c r="D228"/>
      <c r="F228" t="s">
        <v>195</v>
      </c>
      <c r="G228" t="s">
        <v>270</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25">
      <c r="C229" s="100"/>
      <c r="D229"/>
      <c r="F229" t="s">
        <v>196</v>
      </c>
      <c r="G229" t="s">
        <v>270</v>
      </c>
      <c r="J229" s="141">
        <f t="shared" ref="J229:K229" si="236">J$122 * J169</f>
        <v>0</v>
      </c>
      <c r="K229" s="141">
        <f t="shared" si="236"/>
        <v>0</v>
      </c>
      <c r="L229" s="141">
        <f t="shared" ref="L229:M229" si="237">L$122 * L169</f>
        <v>0</v>
      </c>
      <c r="M229" s="141">
        <f t="shared" si="237"/>
        <v>0</v>
      </c>
      <c r="N229" s="141">
        <f t="shared" ref="N229:P229" si="238">N$122 * N169</f>
        <v>0.31948758110002695</v>
      </c>
      <c r="O229" s="141">
        <f t="shared" si="238"/>
        <v>1.465487850037031</v>
      </c>
      <c r="P229" s="141">
        <f t="shared" si="238"/>
        <v>1.4444319901227054</v>
      </c>
      <c r="Q229" s="141">
        <f t="shared" ref="Q229" si="239">Q$122 * Q169</f>
        <v>0</v>
      </c>
      <c r="R229" s="114"/>
      <c r="S229" s="114"/>
      <c r="T229" s="114"/>
      <c r="U229" s="114"/>
      <c r="V229" s="114"/>
      <c r="W229" s="114"/>
      <c r="X229" s="114"/>
      <c r="Y229" s="114"/>
    </row>
    <row r="230" spans="3:25" x14ac:dyDescent="0.25">
      <c r="C230" s="100"/>
      <c r="D230"/>
      <c r="F230" t="s">
        <v>197</v>
      </c>
      <c r="G230" t="s">
        <v>270</v>
      </c>
      <c r="J230" s="141">
        <f t="shared" ref="J230:K230" si="240">J$122 * J170</f>
        <v>0</v>
      </c>
      <c r="K230" s="141">
        <f t="shared" si="240"/>
        <v>0</v>
      </c>
      <c r="L230" s="141">
        <f t="shared" ref="L230:M230" si="241">L$122 * L170</f>
        <v>0</v>
      </c>
      <c r="M230" s="141">
        <f t="shared" si="241"/>
        <v>0</v>
      </c>
      <c r="N230" s="141">
        <f t="shared" ref="N230:P230" si="242">N$122 * N170</f>
        <v>0.5643165945812183</v>
      </c>
      <c r="O230" s="141">
        <f t="shared" si="242"/>
        <v>0.5177034488073744</v>
      </c>
      <c r="P230" s="141">
        <f t="shared" si="242"/>
        <v>0</v>
      </c>
      <c r="Q230" s="141">
        <f t="shared" ref="Q230" si="243">Q$122 * Q170</f>
        <v>0</v>
      </c>
      <c r="R230" s="114"/>
      <c r="S230" s="114"/>
      <c r="T230" s="114"/>
      <c r="U230" s="114"/>
      <c r="V230" s="114"/>
      <c r="W230" s="114"/>
      <c r="X230" s="114"/>
      <c r="Y230" s="114"/>
    </row>
    <row r="231" spans="3:25" x14ac:dyDescent="0.25">
      <c r="C231" s="100"/>
      <c r="D231"/>
      <c r="F231" t="s">
        <v>198</v>
      </c>
      <c r="G231" t="s">
        <v>270</v>
      </c>
      <c r="J231" s="141">
        <f t="shared" ref="J231:K231" si="244">J$122 * J171</f>
        <v>0</v>
      </c>
      <c r="K231" s="141">
        <f t="shared" si="244"/>
        <v>0</v>
      </c>
      <c r="L231" s="141">
        <f t="shared" ref="L231:M231" si="245">L$122 * L171</f>
        <v>0</v>
      </c>
      <c r="M231" s="141">
        <f t="shared" si="245"/>
        <v>0</v>
      </c>
      <c r="N231" s="141">
        <f t="shared" ref="N231:P231" si="246">N$122 * N171</f>
        <v>1.6576702112809909</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374</v>
      </c>
      <c r="G232" t="s">
        <v>270</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375</v>
      </c>
      <c r="G233" s="91" t="s">
        <v>270</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619</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188</v>
      </c>
      <c r="G236" s="90" t="s">
        <v>270</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190</v>
      </c>
      <c r="G237" t="s">
        <v>270</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191</v>
      </c>
      <c r="G238" t="s">
        <v>270</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25">
      <c r="C239" s="100"/>
      <c r="D239"/>
      <c r="F239" t="s">
        <v>192</v>
      </c>
      <c r="G239" t="s">
        <v>270</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193</v>
      </c>
      <c r="G240" t="s">
        <v>270</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0.11377034619343064</v>
      </c>
      <c r="Q240" s="141">
        <f t="shared" ref="Q240" si="267">Q$122 * Q180</f>
        <v>0</v>
      </c>
      <c r="R240" s="114"/>
      <c r="S240" s="114"/>
      <c r="T240" s="114"/>
      <c r="U240" s="114"/>
      <c r="V240" s="114"/>
      <c r="W240" s="114"/>
      <c r="X240" s="114"/>
      <c r="Y240" s="114"/>
    </row>
    <row r="241" spans="2:27" x14ac:dyDescent="0.25">
      <c r="C241" s="100"/>
      <c r="D241"/>
      <c r="F241" t="s">
        <v>194</v>
      </c>
      <c r="G241" t="s">
        <v>270</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0.2780954616683573</v>
      </c>
      <c r="Q241" s="141">
        <f t="shared" ref="Q241" si="271">Q$122 * Q181</f>
        <v>0</v>
      </c>
      <c r="R241" s="114"/>
      <c r="S241" s="114"/>
      <c r="T241" s="114"/>
      <c r="U241" s="114"/>
      <c r="V241" s="114"/>
      <c r="W241" s="114"/>
      <c r="X241" s="114"/>
      <c r="Y241" s="114"/>
    </row>
    <row r="242" spans="2:27" x14ac:dyDescent="0.25">
      <c r="C242" s="100"/>
      <c r="D242"/>
      <c r="F242" t="s">
        <v>195</v>
      </c>
      <c r="G242" t="s">
        <v>270</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25">
      <c r="C243" s="100"/>
      <c r="D243"/>
      <c r="F243" t="s">
        <v>196</v>
      </c>
      <c r="G243" t="s">
        <v>270</v>
      </c>
      <c r="J243" s="141">
        <f t="shared" ref="J243:K243" si="276">J$122 * J183</f>
        <v>0</v>
      </c>
      <c r="K243" s="141">
        <f t="shared" si="276"/>
        <v>0</v>
      </c>
      <c r="L243" s="141">
        <f t="shared" ref="L243:M243" si="277">L$122 * L183</f>
        <v>0</v>
      </c>
      <c r="M243" s="141">
        <f t="shared" si="277"/>
        <v>0</v>
      </c>
      <c r="N243" s="141">
        <f t="shared" ref="N243:P243" si="278">N$122 * N183</f>
        <v>0.14164398555907751</v>
      </c>
      <c r="O243" s="141">
        <f t="shared" si="278"/>
        <v>0.64972021495464394</v>
      </c>
      <c r="P243" s="141">
        <f t="shared" si="278"/>
        <v>0.64038515439495058</v>
      </c>
      <c r="Q243" s="141">
        <f t="shared" ref="Q243" si="279">Q$122 * Q183</f>
        <v>0</v>
      </c>
      <c r="R243" s="114"/>
      <c r="S243" s="114"/>
      <c r="T243" s="114"/>
      <c r="U243" s="114"/>
      <c r="V243" s="114"/>
      <c r="W243" s="114"/>
      <c r="X243" s="114"/>
      <c r="Y243" s="114"/>
    </row>
    <row r="244" spans="2:27" x14ac:dyDescent="0.25">
      <c r="C244" s="100"/>
      <c r="D244"/>
      <c r="F244" t="s">
        <v>197</v>
      </c>
      <c r="G244" t="s">
        <v>270</v>
      </c>
      <c r="J244" s="141">
        <f t="shared" ref="J244:K244" si="280">J$122 * J184</f>
        <v>0</v>
      </c>
      <c r="K244" s="141">
        <f t="shared" si="280"/>
        <v>0</v>
      </c>
      <c r="L244" s="141">
        <f t="shared" ref="L244:M244" si="281">L$122 * L184</f>
        <v>0</v>
      </c>
      <c r="M244" s="141">
        <f t="shared" si="281"/>
        <v>0</v>
      </c>
      <c r="N244" s="141">
        <f t="shared" ref="N244:P244" si="282">N$122 * N184</f>
        <v>0.25018828994352776</v>
      </c>
      <c r="O244" s="141">
        <f t="shared" si="282"/>
        <v>0.22952247337525747</v>
      </c>
      <c r="P244" s="141">
        <f t="shared" si="282"/>
        <v>0</v>
      </c>
      <c r="Q244" s="141">
        <f t="shared" ref="Q244" si="283">Q$122 * Q184</f>
        <v>0</v>
      </c>
      <c r="R244" s="114"/>
      <c r="S244" s="114"/>
      <c r="T244" s="114"/>
      <c r="U244" s="114"/>
      <c r="V244" s="114"/>
      <c r="W244" s="114"/>
      <c r="X244" s="114"/>
      <c r="Y244" s="114"/>
    </row>
    <row r="245" spans="2:27" x14ac:dyDescent="0.25">
      <c r="C245" s="100"/>
      <c r="D245"/>
      <c r="F245" t="s">
        <v>198</v>
      </c>
      <c r="G245" t="s">
        <v>270</v>
      </c>
      <c r="J245" s="141">
        <f t="shared" ref="J245:K245" si="284">J$122 * J185</f>
        <v>0</v>
      </c>
      <c r="K245" s="141">
        <f t="shared" si="284"/>
        <v>0</v>
      </c>
      <c r="L245" s="141">
        <f t="shared" ref="L245:M245" si="285">L$122 * L185</f>
        <v>0</v>
      </c>
      <c r="M245" s="141">
        <f t="shared" si="285"/>
        <v>0</v>
      </c>
      <c r="N245" s="141">
        <f t="shared" ref="N245:P245" si="286">N$122 * N185</f>
        <v>0.73492376342129373</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374</v>
      </c>
      <c r="G246" t="s">
        <v>270</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375</v>
      </c>
      <c r="G247" s="91" t="s">
        <v>270</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704</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705</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706</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707</v>
      </c>
      <c r="G256" t="s">
        <v>270</v>
      </c>
      <c r="I256" t="s">
        <v>153</v>
      </c>
      <c r="J256" s="174">
        <f t="shared" ref="J256:K256" si="288">SUM(J192:J203,J206:J217)</f>
        <v>0</v>
      </c>
      <c r="K256" s="174">
        <f t="shared" si="288"/>
        <v>0</v>
      </c>
      <c r="L256" s="174">
        <f t="shared" ref="L256:M256" si="289">SUM(L192:L203,L206:L217)</f>
        <v>0</v>
      </c>
      <c r="M256" s="174">
        <f t="shared" si="289"/>
        <v>0</v>
      </c>
      <c r="N256" s="174">
        <f t="shared" ref="N256:P256" si="290">SUM(N192:N203,N206:N217)</f>
        <v>3.6682304258861356</v>
      </c>
      <c r="O256" s="174">
        <f t="shared" si="290"/>
        <v>2.862433987174307</v>
      </c>
      <c r="P256" s="174">
        <f t="shared" si="290"/>
        <v>3.3605627625627932</v>
      </c>
      <c r="Q256" s="174">
        <f t="shared" ref="Q256" si="291">SUM(Q192:Q203,Q206:Q217)</f>
        <v>0</v>
      </c>
      <c r="R256" s="114"/>
      <c r="S256" s="114"/>
      <c r="T256" s="114"/>
      <c r="U256" s="114"/>
      <c r="V256" s="114"/>
      <c r="W256" s="114"/>
      <c r="X256" s="114"/>
      <c r="Y256" s="114"/>
      <c r="AA256" t="s">
        <v>708</v>
      </c>
    </row>
    <row r="257" spans="3:27" x14ac:dyDescent="0.25">
      <c r="E257" t="s">
        <v>709</v>
      </c>
      <c r="G257" t="s">
        <v>270</v>
      </c>
      <c r="I257" t="s">
        <v>153</v>
      </c>
      <c r="J257" s="164">
        <f t="shared" ref="J257:K257" si="292">SUM(J222:J233,J236:J247)</f>
        <v>0</v>
      </c>
      <c r="K257" s="164">
        <f t="shared" si="292"/>
        <v>0</v>
      </c>
      <c r="L257" s="164">
        <f t="shared" ref="L257:M257" si="293">SUM(L222:L233,L236:L247)</f>
        <v>0</v>
      </c>
      <c r="M257" s="164">
        <f t="shared" si="293"/>
        <v>0</v>
      </c>
      <c r="N257" s="164">
        <f t="shared" ref="N257:P257" si="294">SUM(N222:N233,N236:N247)</f>
        <v>3.6682304258861356</v>
      </c>
      <c r="O257" s="164">
        <f t="shared" si="294"/>
        <v>2.862433987174307</v>
      </c>
      <c r="P257" s="164">
        <f t="shared" si="294"/>
        <v>3.3605627625627932</v>
      </c>
      <c r="Q257" s="164">
        <f t="shared" ref="Q257" si="295">SUM(Q222:Q233,Q236:Q247)</f>
        <v>0</v>
      </c>
      <c r="R257" s="114"/>
      <c r="S257" s="114"/>
      <c r="T257" s="114"/>
      <c r="U257" s="114"/>
      <c r="V257" s="114"/>
      <c r="W257" s="114"/>
      <c r="X257" s="114"/>
      <c r="Y257" s="114"/>
      <c r="AA257" t="s">
        <v>708</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153</v>
      </c>
      <c r="J260" s="101"/>
      <c r="K260" s="101"/>
      <c r="L260" s="101"/>
      <c r="M260" s="101"/>
      <c r="N260" s="101"/>
      <c r="O260" s="101"/>
      <c r="P260" s="101"/>
      <c r="Q260" s="101"/>
      <c r="R260" s="101"/>
      <c r="S260" s="101"/>
      <c r="T260" s="101"/>
      <c r="U260" s="101"/>
      <c r="V260" s="101"/>
      <c r="W260" s="101"/>
      <c r="X260" s="101"/>
      <c r="Y260" s="101"/>
      <c r="AA260" t="s">
        <v>710</v>
      </c>
    </row>
    <row r="261" spans="3:27" x14ac:dyDescent="0.25">
      <c r="C261" s="100"/>
      <c r="D261"/>
      <c r="E261" s="60" t="s">
        <v>618</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188</v>
      </c>
      <c r="G262" s="90" t="s">
        <v>270</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190</v>
      </c>
      <c r="G263" t="s">
        <v>270</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191</v>
      </c>
      <c r="G264" t="s">
        <v>270</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192</v>
      </c>
      <c r="G265" t="s">
        <v>270</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193</v>
      </c>
      <c r="G266" t="s">
        <v>270</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194</v>
      </c>
      <c r="G267" t="s">
        <v>270</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195</v>
      </c>
      <c r="G268" t="s">
        <v>270</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196</v>
      </c>
      <c r="G269" t="s">
        <v>270</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197</v>
      </c>
      <c r="G270" t="s">
        <v>270</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198</v>
      </c>
      <c r="G271" t="s">
        <v>270</v>
      </c>
      <c r="J271" s="164">
        <f t="shared" ref="J271:K271" si="324">J$123 * J141</f>
        <v>1.6576702112809909</v>
      </c>
      <c r="K271" s="164">
        <f t="shared" si="324"/>
        <v>0</v>
      </c>
      <c r="L271" s="164">
        <f t="shared" ref="L271:M271" si="325">L$123 * L141</f>
        <v>1.6576702112809909</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374</v>
      </c>
      <c r="G272" t="s">
        <v>270</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375</v>
      </c>
      <c r="G273" s="91" t="s">
        <v>270</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711</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188</v>
      </c>
      <c r="G276" s="90" t="s">
        <v>270</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190</v>
      </c>
      <c r="G277" t="s">
        <v>270</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191</v>
      </c>
      <c r="G278" t="s">
        <v>270</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192</v>
      </c>
      <c r="G279" t="s">
        <v>270</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193</v>
      </c>
      <c r="G280" t="s">
        <v>270</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194</v>
      </c>
      <c r="G281" t="s">
        <v>270</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195</v>
      </c>
      <c r="G282" t="s">
        <v>270</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196</v>
      </c>
      <c r="G283" t="s">
        <v>270</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197</v>
      </c>
      <c r="G284" t="s">
        <v>270</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198</v>
      </c>
      <c r="G285" t="s">
        <v>270</v>
      </c>
      <c r="J285" s="164">
        <f t="shared" ref="J285:K285" si="364">J$123 * J155</f>
        <v>0.73492376342129373</v>
      </c>
      <c r="K285" s="164">
        <f t="shared" si="364"/>
        <v>0</v>
      </c>
      <c r="L285" s="164">
        <f t="shared" ref="L285:M285" si="365">L$123 * L155</f>
        <v>0.73492376342129373</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374</v>
      </c>
      <c r="G286" t="s">
        <v>270</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375</v>
      </c>
      <c r="G287" s="91" t="s">
        <v>270</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230</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231</v>
      </c>
      <c r="G291" s="6" t="s">
        <v>54</v>
      </c>
      <c r="H291" s="250">
        <f t="array" ref="H291">SUM(IF(ISERROR(H51:Y287), 1))</f>
        <v>0</v>
      </c>
    </row>
    <row r="293" spans="2:27" x14ac:dyDescent="0.25">
      <c r="E293" t="s">
        <v>712</v>
      </c>
      <c r="G293" s="6" t="s">
        <v>54</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238</v>
      </c>
      <c r="G295" s="6" t="s">
        <v>54</v>
      </c>
      <c r="H295" s="108">
        <f>H291 + H293</f>
        <v>0</v>
      </c>
    </row>
    <row r="297" spans="2:27" x14ac:dyDescent="0.25">
      <c r="B297" s="70" t="s">
        <v>105</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658</v>
      </c>
      <c r="D9"/>
    </row>
    <row r="10" spans="1:27" x14ac:dyDescent="0.25">
      <c r="C10" s="71" t="s">
        <v>659</v>
      </c>
      <c r="D10"/>
      <c r="E10"/>
    </row>
    <row r="11" spans="1:27" x14ac:dyDescent="0.25">
      <c r="C11" s="129" t="s">
        <v>660</v>
      </c>
    </row>
    <row r="13" spans="1:27" x14ac:dyDescent="0.25">
      <c r="B13" s="70" t="s">
        <v>661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662</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284</v>
      </c>
    </row>
    <row r="20" spans="3:27" x14ac:dyDescent="0.25">
      <c r="D20" s="71" t="s">
        <v>663</v>
      </c>
      <c r="E20"/>
    </row>
    <row r="21" spans="3:27" x14ac:dyDescent="0.25">
      <c r="C21" s="100"/>
      <c r="E21" s="90" t="s">
        <v>188</v>
      </c>
      <c r="F21" s="90"/>
      <c r="G21" s="90" t="s">
        <v>664</v>
      </c>
      <c r="H21" s="112"/>
    </row>
    <row r="22" spans="3:27" x14ac:dyDescent="0.25">
      <c r="C22" s="100"/>
      <c r="E22" t="s">
        <v>190</v>
      </c>
      <c r="G22" t="s">
        <v>664</v>
      </c>
      <c r="H22" s="163">
        <f t="array" ref="H22:H30">TRANSPOSE('Inputs by network level'!K21:S21)</f>
        <v>9.4738990347426513E-2</v>
      </c>
    </row>
    <row r="23" spans="3:27" x14ac:dyDescent="0.25">
      <c r="C23" s="100"/>
      <c r="E23" t="s">
        <v>191</v>
      </c>
      <c r="G23" t="s">
        <v>664</v>
      </c>
      <c r="H23" s="163">
        <v>9.4738990347426513E-2</v>
      </c>
    </row>
    <row r="24" spans="3:27" x14ac:dyDescent="0.25">
      <c r="C24" s="100"/>
      <c r="E24" t="s">
        <v>192</v>
      </c>
      <c r="G24" t="s">
        <v>664</v>
      </c>
      <c r="H24" s="163">
        <v>0.13162085932207032</v>
      </c>
    </row>
    <row r="25" spans="3:27" x14ac:dyDescent="0.25">
      <c r="C25" s="100"/>
      <c r="E25" t="s">
        <v>193</v>
      </c>
      <c r="G25" t="s">
        <v>664</v>
      </c>
      <c r="H25" s="163">
        <v>0.13162085932207032</v>
      </c>
    </row>
    <row r="26" spans="3:27" x14ac:dyDescent="0.25">
      <c r="C26" s="100"/>
      <c r="E26" t="s">
        <v>194</v>
      </c>
      <c r="G26" t="s">
        <v>664</v>
      </c>
      <c r="H26" s="163">
        <v>0.1260844971520341</v>
      </c>
    </row>
    <row r="27" spans="3:27" x14ac:dyDescent="0.25">
      <c r="C27" s="100"/>
      <c r="E27" t="s">
        <v>195</v>
      </c>
      <c r="G27" t="s">
        <v>664</v>
      </c>
      <c r="H27" s="163">
        <v>0.1260844971520341</v>
      </c>
    </row>
    <row r="28" spans="3:27" x14ac:dyDescent="0.25">
      <c r="C28" s="100"/>
      <c r="E28" t="s">
        <v>196</v>
      </c>
      <c r="G28" t="s">
        <v>664</v>
      </c>
      <c r="H28" s="163">
        <v>0.1260844971520341</v>
      </c>
    </row>
    <row r="29" spans="3:27" x14ac:dyDescent="0.25">
      <c r="C29" s="100"/>
      <c r="E29" t="s">
        <v>197</v>
      </c>
      <c r="G29" t="s">
        <v>664</v>
      </c>
      <c r="H29" s="163">
        <v>0.1260844971520341</v>
      </c>
    </row>
    <row r="30" spans="3:27" x14ac:dyDescent="0.25">
      <c r="C30" s="100"/>
      <c r="E30" t="s">
        <v>198</v>
      </c>
      <c r="G30" t="s">
        <v>664</v>
      </c>
      <c r="H30" s="163">
        <v>0</v>
      </c>
    </row>
    <row r="31" spans="3:27" x14ac:dyDescent="0.25">
      <c r="C31" s="100"/>
      <c r="E31" t="s">
        <v>374</v>
      </c>
      <c r="G31" t="s">
        <v>664</v>
      </c>
      <c r="H31" s="114"/>
    </row>
    <row r="32" spans="3:27" x14ac:dyDescent="0.25">
      <c r="C32" s="100"/>
      <c r="E32" s="91" t="s">
        <v>375</v>
      </c>
      <c r="F32" s="91"/>
      <c r="G32" s="91" t="s">
        <v>664</v>
      </c>
      <c r="H32" s="116"/>
    </row>
    <row r="33" spans="3:8" x14ac:dyDescent="0.25">
      <c r="C33" s="100"/>
      <c r="H33" s="101"/>
    </row>
    <row r="34" spans="3:8" x14ac:dyDescent="0.25">
      <c r="D34" s="100" t="s">
        <v>392</v>
      </c>
      <c r="H34" s="101"/>
    </row>
    <row r="35" spans="3:8" x14ac:dyDescent="0.25">
      <c r="C35" s="100"/>
      <c r="E35" s="90" t="s">
        <v>188</v>
      </c>
      <c r="F35" s="90"/>
      <c r="G35" s="93" t="s">
        <v>282</v>
      </c>
      <c r="H35" s="167">
        <f t="array" ref="H35:H44">TRANSPOSE('Load &amp; loss characteristics'!J29:S29)</f>
        <v>1</v>
      </c>
    </row>
    <row r="36" spans="3:8" x14ac:dyDescent="0.25">
      <c r="C36" s="100"/>
      <c r="E36" t="s">
        <v>190</v>
      </c>
      <c r="G36" s="89" t="s">
        <v>282</v>
      </c>
      <c r="H36" s="163">
        <v>1</v>
      </c>
    </row>
    <row r="37" spans="3:8" x14ac:dyDescent="0.25">
      <c r="C37" s="100"/>
      <c r="E37" t="s">
        <v>191</v>
      </c>
      <c r="G37" s="89" t="s">
        <v>282</v>
      </c>
      <c r="H37" s="163">
        <v>1.0069999999999999</v>
      </c>
    </row>
    <row r="38" spans="3:8" x14ac:dyDescent="0.25">
      <c r="C38" s="100"/>
      <c r="E38" t="s">
        <v>192</v>
      </c>
      <c r="G38" s="89" t="s">
        <v>282</v>
      </c>
      <c r="H38" s="163">
        <v>1.01</v>
      </c>
    </row>
    <row r="39" spans="3:8" x14ac:dyDescent="0.25">
      <c r="C39" s="100"/>
      <c r="E39" t="s">
        <v>193</v>
      </c>
      <c r="G39" s="89" t="s">
        <v>282</v>
      </c>
      <c r="H39" s="163">
        <v>1.0129999999999999</v>
      </c>
    </row>
    <row r="40" spans="3:8" x14ac:dyDescent="0.25">
      <c r="C40" s="100"/>
      <c r="E40" t="s">
        <v>194</v>
      </c>
      <c r="G40" s="89" t="s">
        <v>282</v>
      </c>
      <c r="H40" s="163">
        <v>1.0189999999999999</v>
      </c>
    </row>
    <row r="41" spans="3:8" x14ac:dyDescent="0.25">
      <c r="C41" s="100"/>
      <c r="E41" t="s">
        <v>195</v>
      </c>
      <c r="G41" s="89" t="s">
        <v>282</v>
      </c>
      <c r="H41" s="163">
        <v>1.0189999999999999</v>
      </c>
    </row>
    <row r="42" spans="3:8" x14ac:dyDescent="0.25">
      <c r="C42" s="100"/>
      <c r="E42" t="s">
        <v>196</v>
      </c>
      <c r="G42" s="89" t="s">
        <v>282</v>
      </c>
      <c r="H42" s="163">
        <v>1.0289999999999999</v>
      </c>
    </row>
    <row r="43" spans="3:8" x14ac:dyDescent="0.25">
      <c r="C43" s="100"/>
      <c r="E43" t="s">
        <v>197</v>
      </c>
      <c r="G43" s="89" t="s">
        <v>282</v>
      </c>
      <c r="H43" s="163">
        <v>1.044</v>
      </c>
    </row>
    <row r="44" spans="3:8" x14ac:dyDescent="0.25">
      <c r="C44" s="100"/>
      <c r="E44" t="s">
        <v>198</v>
      </c>
      <c r="G44" s="89" t="s">
        <v>282</v>
      </c>
      <c r="H44" s="163">
        <v>1.1379999999999999</v>
      </c>
    </row>
    <row r="45" spans="3:8" x14ac:dyDescent="0.25">
      <c r="C45" s="100"/>
      <c r="E45" t="s">
        <v>374</v>
      </c>
      <c r="G45" s="89" t="s">
        <v>282</v>
      </c>
      <c r="H45" s="114"/>
    </row>
    <row r="46" spans="3:8" x14ac:dyDescent="0.25">
      <c r="C46" s="100"/>
      <c r="E46" s="91" t="s">
        <v>375</v>
      </c>
      <c r="F46" s="91"/>
      <c r="G46" s="96" t="s">
        <v>282</v>
      </c>
      <c r="H46" s="116"/>
    </row>
    <row r="47" spans="3:8" x14ac:dyDescent="0.25">
      <c r="C47" s="100"/>
      <c r="H47" s="101"/>
    </row>
    <row r="48" spans="3:8" x14ac:dyDescent="0.25">
      <c r="D48" s="60" t="s">
        <v>665</v>
      </c>
      <c r="H48" s="101"/>
    </row>
    <row r="49" spans="3:8" x14ac:dyDescent="0.25">
      <c r="C49" s="100"/>
      <c r="E49" s="90" t="s">
        <v>188</v>
      </c>
      <c r="F49" s="90"/>
      <c r="G49" s="90" t="s">
        <v>582</v>
      </c>
      <c r="H49" s="112"/>
    </row>
    <row r="50" spans="3:8" x14ac:dyDescent="0.25">
      <c r="C50" s="100"/>
      <c r="E50" t="s">
        <v>190</v>
      </c>
      <c r="G50" t="s">
        <v>582</v>
      </c>
      <c r="H50" s="114"/>
    </row>
    <row r="51" spans="3:8" x14ac:dyDescent="0.25">
      <c r="C51" s="100"/>
      <c r="E51" t="s">
        <v>191</v>
      </c>
      <c r="G51" t="s">
        <v>582</v>
      </c>
      <c r="H51" s="163">
        <f t="array" ref="H51:H58">TRANSPOSE('Unit costs'!L114:S114)</f>
        <v>7.3022692869416268</v>
      </c>
    </row>
    <row r="52" spans="3:8" x14ac:dyDescent="0.25">
      <c r="C52" s="100"/>
      <c r="E52" t="s">
        <v>192</v>
      </c>
      <c r="G52" t="s">
        <v>582</v>
      </c>
      <c r="H52" s="163">
        <v>2.9309686023183494</v>
      </c>
    </row>
    <row r="53" spans="3:8" x14ac:dyDescent="0.25">
      <c r="C53" s="100"/>
      <c r="E53" t="s">
        <v>193</v>
      </c>
      <c r="G53" t="s">
        <v>582</v>
      </c>
      <c r="H53" s="163">
        <v>10.110215600167953</v>
      </c>
    </row>
    <row r="54" spans="3:8" x14ac:dyDescent="0.25">
      <c r="C54" s="100"/>
      <c r="E54" t="s">
        <v>194</v>
      </c>
      <c r="G54" t="s">
        <v>582</v>
      </c>
      <c r="H54" s="163">
        <v>4.9718723888224803</v>
      </c>
    </row>
    <row r="55" spans="3:8" x14ac:dyDescent="0.25">
      <c r="C55" s="100"/>
      <c r="E55" t="s">
        <v>195</v>
      </c>
      <c r="G55" t="s">
        <v>582</v>
      </c>
      <c r="H55" s="163">
        <v>0</v>
      </c>
    </row>
    <row r="56" spans="3:8" x14ac:dyDescent="0.25">
      <c r="C56" s="100"/>
      <c r="E56" t="s">
        <v>196</v>
      </c>
      <c r="G56" t="s">
        <v>582</v>
      </c>
      <c r="H56" s="163">
        <v>15.492207893460552</v>
      </c>
    </row>
    <row r="57" spans="3:8" x14ac:dyDescent="0.25">
      <c r="C57" s="100"/>
      <c r="E57" t="s">
        <v>197</v>
      </c>
      <c r="G57" t="s">
        <v>582</v>
      </c>
      <c r="H57" s="163">
        <v>5.5526113454493755</v>
      </c>
    </row>
    <row r="58" spans="3:8" x14ac:dyDescent="0.25">
      <c r="C58" s="100"/>
      <c r="E58" t="s">
        <v>198</v>
      </c>
      <c r="G58" t="s">
        <v>582</v>
      </c>
      <c r="H58" s="163">
        <v>12.171305431689953</v>
      </c>
    </row>
    <row r="59" spans="3:8" x14ac:dyDescent="0.25">
      <c r="C59" s="100"/>
      <c r="E59" t="s">
        <v>374</v>
      </c>
      <c r="G59" t="s">
        <v>582</v>
      </c>
      <c r="H59" s="114"/>
    </row>
    <row r="60" spans="3:8" x14ac:dyDescent="0.25">
      <c r="C60" s="100"/>
      <c r="E60" s="91" t="s">
        <v>375</v>
      </c>
      <c r="F60" s="91"/>
      <c r="G60" s="91" t="s">
        <v>582</v>
      </c>
      <c r="H60" s="116"/>
    </row>
    <row r="61" spans="3:8" x14ac:dyDescent="0.25">
      <c r="C61" s="100"/>
      <c r="H61" s="101"/>
    </row>
    <row r="62" spans="3:8" x14ac:dyDescent="0.25">
      <c r="C62" s="100"/>
      <c r="D62" s="60" t="s">
        <v>666</v>
      </c>
      <c r="E62"/>
      <c r="H62" s="101"/>
    </row>
    <row r="63" spans="3:8" x14ac:dyDescent="0.25">
      <c r="C63" s="100"/>
      <c r="E63" s="90" t="s">
        <v>188</v>
      </c>
      <c r="F63" s="90"/>
      <c r="G63" s="90" t="s">
        <v>582</v>
      </c>
      <c r="H63" s="167">
        <f t="array" ref="H63:H72">TRANSPOSE('Unit costs'!J115:S115)</f>
        <v>5.4684203861685114</v>
      </c>
    </row>
    <row r="64" spans="3:8" x14ac:dyDescent="0.25">
      <c r="C64" s="100"/>
      <c r="E64" t="s">
        <v>190</v>
      </c>
      <c r="G64" t="s">
        <v>582</v>
      </c>
      <c r="H64" s="163">
        <v>0</v>
      </c>
    </row>
    <row r="65" spans="3:42" x14ac:dyDescent="0.25">
      <c r="C65" s="100"/>
      <c r="E65" t="s">
        <v>191</v>
      </c>
      <c r="G65" t="s">
        <v>582</v>
      </c>
      <c r="H65" s="163">
        <v>3.2374420372359438</v>
      </c>
    </row>
    <row r="66" spans="3:42" x14ac:dyDescent="0.25">
      <c r="C66" s="100"/>
      <c r="E66" t="s">
        <v>192</v>
      </c>
      <c r="G66" t="s">
        <v>582</v>
      </c>
      <c r="H66" s="163">
        <v>1.2994372831378103</v>
      </c>
    </row>
    <row r="67" spans="3:42" x14ac:dyDescent="0.25">
      <c r="C67" s="100"/>
      <c r="E67" t="s">
        <v>193</v>
      </c>
      <c r="G67" t="s">
        <v>582</v>
      </c>
      <c r="H67" s="163">
        <v>4.4823377094616861</v>
      </c>
    </row>
    <row r="68" spans="3:42" x14ac:dyDescent="0.25">
      <c r="C68" s="100"/>
      <c r="E68" t="s">
        <v>194</v>
      </c>
      <c r="G68" t="s">
        <v>582</v>
      </c>
      <c r="H68" s="163">
        <v>2.2042666523036512</v>
      </c>
    </row>
    <row r="69" spans="3:42" x14ac:dyDescent="0.25">
      <c r="C69" s="100"/>
      <c r="E69" t="s">
        <v>195</v>
      </c>
      <c r="G69" t="s">
        <v>582</v>
      </c>
      <c r="H69" s="163">
        <v>0</v>
      </c>
    </row>
    <row r="70" spans="3:42" x14ac:dyDescent="0.25">
      <c r="C70" s="100"/>
      <c r="E70" t="s">
        <v>196</v>
      </c>
      <c r="G70" t="s">
        <v>582</v>
      </c>
      <c r="H70" s="163">
        <v>6.8684299514369069</v>
      </c>
    </row>
    <row r="71" spans="3:42" x14ac:dyDescent="0.25">
      <c r="C71" s="100"/>
      <c r="E71" t="s">
        <v>197</v>
      </c>
      <c r="G71" t="s">
        <v>582</v>
      </c>
      <c r="H71" s="163">
        <v>2.4617357536152911</v>
      </c>
    </row>
    <row r="72" spans="3:42" x14ac:dyDescent="0.25">
      <c r="C72" s="100"/>
      <c r="E72" t="s">
        <v>198</v>
      </c>
      <c r="G72" t="s">
        <v>582</v>
      </c>
      <c r="H72" s="163">
        <v>5.3961165090221641</v>
      </c>
    </row>
    <row r="73" spans="3:42" x14ac:dyDescent="0.25">
      <c r="C73" s="100"/>
      <c r="E73" t="s">
        <v>374</v>
      </c>
      <c r="G73" t="s">
        <v>582</v>
      </c>
      <c r="H73" s="114"/>
    </row>
    <row r="74" spans="3:42" x14ac:dyDescent="0.25">
      <c r="C74" s="100"/>
      <c r="E74" s="91" t="s">
        <v>375</v>
      </c>
      <c r="F74" s="91"/>
      <c r="G74" s="91" t="s">
        <v>582</v>
      </c>
      <c r="H74" s="116"/>
    </row>
    <row r="75" spans="3:42" x14ac:dyDescent="0.25">
      <c r="C75" s="100"/>
      <c r="H75" s="92"/>
    </row>
    <row r="76" spans="3:42" x14ac:dyDescent="0.25">
      <c r="D76" s="100" t="s">
        <v>667</v>
      </c>
    </row>
    <row r="77" spans="3:42" x14ac:dyDescent="0.25">
      <c r="D77" s="71" t="s">
        <v>668</v>
      </c>
      <c r="E77" s="290"/>
    </row>
    <row r="78" spans="3:42" x14ac:dyDescent="0.25">
      <c r="C78" s="100"/>
      <c r="E78" t="s">
        <v>669</v>
      </c>
      <c r="G78" t="s">
        <v>670</v>
      </c>
      <c r="I78" t="s">
        <v>153</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222</v>
      </c>
    </row>
    <row r="79" spans="3:42" x14ac:dyDescent="0.25">
      <c r="C79" s="100"/>
    </row>
    <row r="80" spans="3:42" x14ac:dyDescent="0.25">
      <c r="D80" s="60" t="s">
        <v>119</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190</v>
      </c>
      <c r="F81" s="90"/>
      <c r="G81" s="90" t="s">
        <v>166</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191</v>
      </c>
      <c r="G82" t="s">
        <v>166</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192</v>
      </c>
      <c r="G83" t="s">
        <v>166</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193</v>
      </c>
      <c r="G84" t="s">
        <v>166</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194</v>
      </c>
      <c r="G85" t="s">
        <v>166</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195</v>
      </c>
      <c r="G86" t="s">
        <v>166</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196</v>
      </c>
      <c r="G87" t="s">
        <v>166</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197</v>
      </c>
      <c r="G88" t="s">
        <v>166</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198</v>
      </c>
      <c r="F89" s="91"/>
      <c r="G89" s="91" t="s">
        <v>166</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402</v>
      </c>
      <c r="E91" s="60"/>
      <c r="I91" t="s">
        <v>153</v>
      </c>
      <c r="AA91" t="s">
        <v>671</v>
      </c>
    </row>
    <row r="92" spans="3:42" x14ac:dyDescent="0.25">
      <c r="D92" s="71" t="s">
        <v>399</v>
      </c>
      <c r="E92"/>
      <c r="AA92" s="291"/>
    </row>
    <row r="93" spans="3:42" x14ac:dyDescent="0.25">
      <c r="D93"/>
      <c r="E93" s="90" t="s">
        <v>188</v>
      </c>
      <c r="F93" s="90"/>
      <c r="G93" s="93" t="s">
        <v>282</v>
      </c>
      <c r="H93" s="90"/>
      <c r="I93" s="90"/>
      <c r="J93" s="112"/>
      <c r="K93" s="112"/>
      <c r="L93" s="112"/>
      <c r="M93" s="112"/>
      <c r="N93" s="112"/>
      <c r="O93" s="112"/>
      <c r="P93" s="112"/>
      <c r="Q93" s="112"/>
      <c r="R93" s="167">
        <f t="array" ref="R93:Y102">TRANSPOSE('Load &amp; loss characteristics'!J172:S179)</f>
        <v>-1.1379999999999999</v>
      </c>
      <c r="S93" s="167">
        <v>-1.044</v>
      </c>
      <c r="T93" s="167">
        <v>-1.1379999999999999</v>
      </c>
      <c r="U93" s="167">
        <v>-1.1379999999999999</v>
      </c>
      <c r="V93" s="167">
        <v>-1.044</v>
      </c>
      <c r="W93" s="167">
        <v>-1.044</v>
      </c>
      <c r="X93" s="167">
        <v>-1.0289999999999999</v>
      </c>
      <c r="Y93" s="167">
        <v>-1.0289999999999999</v>
      </c>
    </row>
    <row r="94" spans="3:42" x14ac:dyDescent="0.25">
      <c r="D94"/>
      <c r="E94" t="s">
        <v>190</v>
      </c>
      <c r="G94" s="89" t="s">
        <v>282</v>
      </c>
      <c r="J94" s="114"/>
      <c r="K94" s="114"/>
      <c r="L94" s="114"/>
      <c r="M94" s="114"/>
      <c r="N94" s="114"/>
      <c r="O94" s="114"/>
      <c r="P94" s="114"/>
      <c r="Q94" s="114"/>
      <c r="R94" s="163">
        <v>-1.1379999999999999</v>
      </c>
      <c r="S94" s="163">
        <v>-1.044</v>
      </c>
      <c r="T94" s="163">
        <v>-1.1379999999999999</v>
      </c>
      <c r="U94" s="163">
        <v>-1.1379999999999999</v>
      </c>
      <c r="V94" s="163">
        <v>-1.044</v>
      </c>
      <c r="W94" s="163">
        <v>-1.044</v>
      </c>
      <c r="X94" s="163">
        <v>-1.0289999999999999</v>
      </c>
      <c r="Y94" s="163">
        <v>-1.0289999999999999</v>
      </c>
    </row>
    <row r="95" spans="3:42" x14ac:dyDescent="0.25">
      <c r="D95"/>
      <c r="E95" t="s">
        <v>191</v>
      </c>
      <c r="G95" s="89" t="s">
        <v>282</v>
      </c>
      <c r="J95" s="114"/>
      <c r="K95" s="114"/>
      <c r="L95" s="114"/>
      <c r="M95" s="114"/>
      <c r="N95" s="114"/>
      <c r="O95" s="114"/>
      <c r="P95" s="114"/>
      <c r="Q95" s="114"/>
      <c r="R95" s="163">
        <v>-1.1379999999999999</v>
      </c>
      <c r="S95" s="163">
        <v>-1.044</v>
      </c>
      <c r="T95" s="163">
        <v>-1.1379999999999999</v>
      </c>
      <c r="U95" s="163">
        <v>-1.1379999999999999</v>
      </c>
      <c r="V95" s="163">
        <v>-1.044</v>
      </c>
      <c r="W95" s="163">
        <v>-1.044</v>
      </c>
      <c r="X95" s="163">
        <v>-1.0289999999999999</v>
      </c>
      <c r="Y95" s="163">
        <v>-1.0289999999999999</v>
      </c>
    </row>
    <row r="96" spans="3:42" x14ac:dyDescent="0.25">
      <c r="D96"/>
      <c r="E96" t="s">
        <v>192</v>
      </c>
      <c r="G96" s="89" t="s">
        <v>282</v>
      </c>
      <c r="J96" s="114"/>
      <c r="K96" s="114"/>
      <c r="L96" s="114"/>
      <c r="M96" s="114"/>
      <c r="N96" s="114"/>
      <c r="O96" s="114"/>
      <c r="P96" s="114"/>
      <c r="Q96" s="114"/>
      <c r="R96" s="163">
        <v>-1.1379999999999999</v>
      </c>
      <c r="S96" s="163">
        <v>-1.044</v>
      </c>
      <c r="T96" s="163">
        <v>-1.1379999999999999</v>
      </c>
      <c r="U96" s="163">
        <v>-1.1379999999999999</v>
      </c>
      <c r="V96" s="163">
        <v>-1.044</v>
      </c>
      <c r="W96" s="163">
        <v>-1.044</v>
      </c>
      <c r="X96" s="163">
        <v>-1.0289999999999999</v>
      </c>
      <c r="Y96" s="163">
        <v>-1.0289999999999999</v>
      </c>
    </row>
    <row r="97" spans="3:25" x14ac:dyDescent="0.25">
      <c r="D97"/>
      <c r="E97" t="s">
        <v>193</v>
      </c>
      <c r="G97" s="89" t="s">
        <v>282</v>
      </c>
      <c r="J97" s="114"/>
      <c r="K97" s="114"/>
      <c r="L97" s="114"/>
      <c r="M97" s="114"/>
      <c r="N97" s="114"/>
      <c r="O97" s="114"/>
      <c r="P97" s="114"/>
      <c r="Q97" s="114"/>
      <c r="R97" s="163">
        <v>-1.1379999999999999</v>
      </c>
      <c r="S97" s="163">
        <v>-1.044</v>
      </c>
      <c r="T97" s="163">
        <v>-1.1379999999999999</v>
      </c>
      <c r="U97" s="163">
        <v>-1.1379999999999999</v>
      </c>
      <c r="V97" s="163">
        <v>-1.044</v>
      </c>
      <c r="W97" s="163">
        <v>-1.044</v>
      </c>
      <c r="X97" s="163">
        <v>-1.0289999999999999</v>
      </c>
      <c r="Y97" s="163">
        <v>-1.0289999999999999</v>
      </c>
    </row>
    <row r="98" spans="3:25" x14ac:dyDescent="0.25">
      <c r="D98"/>
      <c r="E98" t="s">
        <v>194</v>
      </c>
      <c r="G98" s="89" t="s">
        <v>282</v>
      </c>
      <c r="J98" s="114"/>
      <c r="K98" s="114"/>
      <c r="L98" s="114"/>
      <c r="M98" s="114"/>
      <c r="N98" s="114"/>
      <c r="O98" s="114"/>
      <c r="P98" s="114"/>
      <c r="Q98" s="114"/>
      <c r="R98" s="163">
        <v>-1.1379999999999999</v>
      </c>
      <c r="S98" s="163">
        <v>-1.044</v>
      </c>
      <c r="T98" s="163">
        <v>-1.1379999999999999</v>
      </c>
      <c r="U98" s="163">
        <v>-1.1379999999999999</v>
      </c>
      <c r="V98" s="163">
        <v>-1.044</v>
      </c>
      <c r="W98" s="163">
        <v>-1.044</v>
      </c>
      <c r="X98" s="163">
        <v>-1.0289999999999999</v>
      </c>
      <c r="Y98" s="163">
        <v>-1.0289999999999999</v>
      </c>
    </row>
    <row r="99" spans="3:25" x14ac:dyDescent="0.25">
      <c r="D99"/>
      <c r="E99" t="s">
        <v>195</v>
      </c>
      <c r="G99" s="89" t="s">
        <v>282</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25">
      <c r="D100"/>
      <c r="E100" t="s">
        <v>196</v>
      </c>
      <c r="G100" s="89" t="s">
        <v>282</v>
      </c>
      <c r="J100" s="114"/>
      <c r="K100" s="114"/>
      <c r="L100" s="114"/>
      <c r="M100" s="114"/>
      <c r="N100" s="114"/>
      <c r="O100" s="114"/>
      <c r="P100" s="114"/>
      <c r="Q100" s="114"/>
      <c r="R100" s="163">
        <v>-1.1379999999999999</v>
      </c>
      <c r="S100" s="163">
        <v>-1.044</v>
      </c>
      <c r="T100" s="163">
        <v>-1.1379999999999999</v>
      </c>
      <c r="U100" s="163">
        <v>-1.1379999999999999</v>
      </c>
      <c r="V100" s="163">
        <v>-1.044</v>
      </c>
      <c r="W100" s="163">
        <v>-1.044</v>
      </c>
      <c r="X100" s="163">
        <v>-1.0289999999999999</v>
      </c>
      <c r="Y100" s="163">
        <v>-1.0289999999999999</v>
      </c>
    </row>
    <row r="101" spans="3:25" x14ac:dyDescent="0.25">
      <c r="D101"/>
      <c r="E101" t="s">
        <v>197</v>
      </c>
      <c r="G101" s="89" t="s">
        <v>282</v>
      </c>
      <c r="J101" s="114"/>
      <c r="K101" s="114"/>
      <c r="L101" s="114"/>
      <c r="M101" s="114"/>
      <c r="N101" s="114"/>
      <c r="O101" s="114"/>
      <c r="P101" s="114"/>
      <c r="Q101" s="114"/>
      <c r="R101" s="163">
        <v>-1.1379999999999999</v>
      </c>
      <c r="S101" s="163">
        <v>-1.044</v>
      </c>
      <c r="T101" s="163">
        <v>-1.1379999999999999</v>
      </c>
      <c r="U101" s="163">
        <v>-1.1379999999999999</v>
      </c>
      <c r="V101" s="163">
        <v>-1.044</v>
      </c>
      <c r="W101" s="163">
        <v>-1.044</v>
      </c>
      <c r="X101" s="163">
        <v>0</v>
      </c>
      <c r="Y101" s="163">
        <v>0</v>
      </c>
    </row>
    <row r="102" spans="3:25" x14ac:dyDescent="0.25">
      <c r="D102"/>
      <c r="E102" t="s">
        <v>198</v>
      </c>
      <c r="G102" s="89" t="s">
        <v>282</v>
      </c>
      <c r="J102" s="114"/>
      <c r="K102" s="114"/>
      <c r="L102" s="114"/>
      <c r="M102" s="114"/>
      <c r="N102" s="114"/>
      <c r="O102" s="114"/>
      <c r="P102" s="114"/>
      <c r="Q102" s="114"/>
      <c r="R102" s="163">
        <v>-1.1379999999999999</v>
      </c>
      <c r="S102" s="163">
        <v>0</v>
      </c>
      <c r="T102" s="163">
        <v>-1.1379999999999999</v>
      </c>
      <c r="U102" s="163">
        <v>-1.1379999999999999</v>
      </c>
      <c r="V102" s="163">
        <v>0</v>
      </c>
      <c r="W102" s="163">
        <v>0</v>
      </c>
      <c r="X102" s="163">
        <v>0</v>
      </c>
      <c r="Y102" s="163">
        <v>0</v>
      </c>
    </row>
    <row r="103" spans="3:25" x14ac:dyDescent="0.25">
      <c r="D103"/>
      <c r="E103" t="s">
        <v>374</v>
      </c>
      <c r="G103" s="89" t="s">
        <v>282</v>
      </c>
      <c r="J103" s="114"/>
      <c r="K103" s="114"/>
      <c r="L103" s="114"/>
      <c r="M103" s="114"/>
      <c r="N103" s="114"/>
      <c r="O103" s="114"/>
      <c r="P103" s="114"/>
      <c r="Q103" s="114"/>
      <c r="R103" s="114"/>
      <c r="S103" s="114"/>
      <c r="T103" s="114"/>
      <c r="U103" s="114"/>
      <c r="V103" s="114"/>
      <c r="W103" s="114"/>
      <c r="X103" s="114"/>
      <c r="Y103" s="114"/>
    </row>
    <row r="104" spans="3:25" x14ac:dyDescent="0.25">
      <c r="D104"/>
      <c r="E104" s="91" t="s">
        <v>375</v>
      </c>
      <c r="F104" s="91"/>
      <c r="G104" s="96" t="s">
        <v>282</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413</v>
      </c>
      <c r="E106"/>
    </row>
    <row r="107" spans="3:25" x14ac:dyDescent="0.25">
      <c r="C107" s="100"/>
      <c r="E107" s="90" t="s">
        <v>188</v>
      </c>
      <c r="F107" s="90"/>
      <c r="G107" s="90" t="s">
        <v>166</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190</v>
      </c>
      <c r="G108" t="s">
        <v>166</v>
      </c>
      <c r="J108" s="95"/>
      <c r="K108" s="95"/>
      <c r="L108" s="95"/>
      <c r="M108" s="95"/>
      <c r="N108" s="95"/>
      <c r="O108" s="95"/>
      <c r="P108" s="95"/>
      <c r="Q108" s="95"/>
      <c r="R108" s="95"/>
      <c r="S108" s="95"/>
      <c r="T108" s="95"/>
      <c r="U108" s="95"/>
      <c r="V108" s="95"/>
      <c r="W108" s="95"/>
      <c r="X108" s="95"/>
      <c r="Y108" s="95"/>
    </row>
    <row r="109" spans="3:25" x14ac:dyDescent="0.25">
      <c r="C109" s="100"/>
      <c r="E109" t="s">
        <v>191</v>
      </c>
      <c r="G109" t="s">
        <v>166</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192</v>
      </c>
      <c r="G110" t="s">
        <v>166</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193</v>
      </c>
      <c r="G111" t="s">
        <v>166</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194</v>
      </c>
      <c r="G112" t="s">
        <v>166</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195</v>
      </c>
      <c r="G113" t="s">
        <v>166</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196</v>
      </c>
      <c r="G114" t="s">
        <v>166</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197</v>
      </c>
      <c r="G115" t="s">
        <v>166</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198</v>
      </c>
      <c r="G116" t="s">
        <v>166</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374</v>
      </c>
      <c r="G117" t="s">
        <v>166</v>
      </c>
      <c r="J117" s="95"/>
      <c r="K117" s="95"/>
      <c r="L117" s="95"/>
      <c r="M117" s="95"/>
      <c r="N117" s="95"/>
      <c r="O117" s="95"/>
      <c r="P117" s="95"/>
      <c r="Q117" s="95"/>
      <c r="R117" s="95"/>
      <c r="S117" s="95"/>
      <c r="T117" s="95"/>
      <c r="U117" s="95"/>
      <c r="V117" s="95"/>
      <c r="W117" s="95"/>
      <c r="X117" s="95"/>
      <c r="Y117" s="95"/>
    </row>
    <row r="118" spans="3:27" x14ac:dyDescent="0.25">
      <c r="C118" s="100"/>
      <c r="E118" s="91" t="s">
        <v>375</v>
      </c>
      <c r="F118" s="91"/>
      <c r="G118" s="91" t="s">
        <v>166</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618</v>
      </c>
      <c r="E122"/>
    </row>
    <row r="123" spans="3:27" x14ac:dyDescent="0.25">
      <c r="E123" s="90" t="s">
        <v>188</v>
      </c>
      <c r="F123" s="90"/>
      <c r="G123" s="90" t="s">
        <v>268</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190</v>
      </c>
      <c r="G124" t="s">
        <v>268</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191</v>
      </c>
      <c r="G125" t="s">
        <v>268</v>
      </c>
      <c r="H125" s="266"/>
      <c r="I125" s="266"/>
      <c r="J125" s="277">
        <f>'Initial unit rates'!J125</f>
        <v>0.17475508782848376</v>
      </c>
      <c r="K125" s="277">
        <f>'Initial unit rates'!K125</f>
        <v>0.17475508782848376</v>
      </c>
      <c r="L125" s="277">
        <f>'Initial unit rates'!L125</f>
        <v>0.17033492075823092</v>
      </c>
      <c r="M125" s="277">
        <f>'Initial unit rates'!M125</f>
        <v>0.17033492075823092</v>
      </c>
      <c r="N125" s="277">
        <f>'Initial unit rates'!N125</f>
        <v>0.14478927252861901</v>
      </c>
      <c r="O125" s="277">
        <f>'Initial unit rates'!O125</f>
        <v>0.12025054807603804</v>
      </c>
      <c r="P125" s="277">
        <f>'Initial unit rates'!P125</f>
        <v>0.10082703309648372</v>
      </c>
      <c r="Q125" s="277">
        <f>'Initial unit rates'!Q125</f>
        <v>0.174476650895387</v>
      </c>
      <c r="R125" s="292"/>
      <c r="S125" s="292"/>
      <c r="T125" s="292"/>
      <c r="U125" s="292"/>
      <c r="V125" s="292"/>
      <c r="W125" s="292"/>
      <c r="X125" s="292"/>
      <c r="Y125" s="292"/>
      <c r="Z125" s="266"/>
      <c r="AA125" s="266"/>
    </row>
    <row r="126" spans="3:27" x14ac:dyDescent="0.25">
      <c r="E126" t="s">
        <v>192</v>
      </c>
      <c r="G126" t="s">
        <v>268</v>
      </c>
      <c r="H126" s="266"/>
      <c r="I126" s="266"/>
      <c r="J126" s="277">
        <f>'Initial unit rates'!J126</f>
        <v>6.9934463430223512E-2</v>
      </c>
      <c r="K126" s="277">
        <f>'Initial unit rates'!K126</f>
        <v>6.9934463430223512E-2</v>
      </c>
      <c r="L126" s="277">
        <f>'Initial unit rates'!L126</f>
        <v>6.8165576377083925E-2</v>
      </c>
      <c r="M126" s="277">
        <f>'Initial unit rates'!M126</f>
        <v>6.8165576377083925E-2</v>
      </c>
      <c r="N126" s="277">
        <f>'Initial unit rates'!N126</f>
        <v>5.7942576725888886E-2</v>
      </c>
      <c r="O126" s="277">
        <f>'Initial unit rates'!O126</f>
        <v>4.8122533434573365E-2</v>
      </c>
      <c r="P126" s="277">
        <f>'Initial unit rates'!P126</f>
        <v>4.0349523132537209E-2</v>
      </c>
      <c r="Q126" s="277">
        <f>'Initial unit rates'!Q126</f>
        <v>6.982303698904091E-2</v>
      </c>
      <c r="R126" s="292"/>
      <c r="S126" s="292"/>
      <c r="T126" s="292"/>
      <c r="U126" s="292"/>
      <c r="V126" s="292"/>
      <c r="W126" s="292"/>
      <c r="X126" s="292"/>
      <c r="Y126" s="292"/>
      <c r="Z126" s="266"/>
      <c r="AA126" s="266"/>
    </row>
    <row r="127" spans="3:27" x14ac:dyDescent="0.25">
      <c r="E127" t="s">
        <v>193</v>
      </c>
      <c r="G127" t="s">
        <v>268</v>
      </c>
      <c r="H127" s="266"/>
      <c r="I127" s="266"/>
      <c r="J127" s="277">
        <f>'Initial unit rates'!J127</f>
        <v>0.24052068188888392</v>
      </c>
      <c r="K127" s="277">
        <f>'Initial unit rates'!K127</f>
        <v>0.24052068188888392</v>
      </c>
      <c r="L127" s="277">
        <f>'Initial unit rates'!L127</f>
        <v>0.2344370730451549</v>
      </c>
      <c r="M127" s="277">
        <f>'Initial unit rates'!M127</f>
        <v>0.2344370730451549</v>
      </c>
      <c r="N127" s="277">
        <f>'Initial unit rates'!N127</f>
        <v>0.19927782928390778</v>
      </c>
      <c r="O127" s="277">
        <f>'Initial unit rates'!O127</f>
        <v>0.16550444499302583</v>
      </c>
      <c r="P127" s="277">
        <f>'Initial unit rates'!P127</f>
        <v>0.13877127730324432</v>
      </c>
      <c r="Q127" s="277">
        <f>'Initial unit rates'!Q127</f>
        <v>0.24013746076586168</v>
      </c>
      <c r="R127" s="292"/>
      <c r="S127" s="292"/>
      <c r="T127" s="292"/>
      <c r="U127" s="292"/>
      <c r="V127" s="292"/>
      <c r="W127" s="292"/>
      <c r="X127" s="292"/>
      <c r="Y127" s="292"/>
      <c r="Z127" s="266"/>
      <c r="AA127" s="266"/>
    </row>
    <row r="128" spans="3:27" x14ac:dyDescent="0.25">
      <c r="E128" t="s">
        <v>194</v>
      </c>
      <c r="G128" t="s">
        <v>268</v>
      </c>
      <c r="H128" s="266"/>
      <c r="I128" s="266"/>
      <c r="J128" s="277">
        <f>'Initial unit rates'!J128</f>
        <v>0.11758373303524239</v>
      </c>
      <c r="K128" s="277">
        <f>'Initial unit rates'!K128</f>
        <v>0.11758373303524239</v>
      </c>
      <c r="L128" s="277">
        <f>'Initial unit rates'!L128</f>
        <v>0.11460962938413791</v>
      </c>
      <c r="M128" s="277">
        <f>'Initial unit rates'!M128</f>
        <v>0.11460962938413791</v>
      </c>
      <c r="N128" s="277">
        <f>'Initial unit rates'!N128</f>
        <v>9.7421273274065842E-2</v>
      </c>
      <c r="O128" s="277">
        <f>'Initial unit rates'!O128</f>
        <v>8.0910424514746532E-2</v>
      </c>
      <c r="P128" s="277">
        <f>'Initial unit rates'!P128</f>
        <v>6.7841337781183134E-2</v>
      </c>
      <c r="Q128" s="277">
        <f>'Initial unit rates'!Q128</f>
        <v>0.11739638710777768</v>
      </c>
      <c r="R128" s="292"/>
      <c r="S128" s="292"/>
      <c r="T128" s="292"/>
      <c r="U128" s="292"/>
      <c r="V128" s="292"/>
      <c r="W128" s="292"/>
      <c r="X128" s="292"/>
      <c r="Y128" s="292"/>
      <c r="Z128" s="266"/>
      <c r="AA128" s="266"/>
    </row>
    <row r="129" spans="4:27" x14ac:dyDescent="0.25">
      <c r="E129" t="s">
        <v>195</v>
      </c>
      <c r="G129" t="s">
        <v>268</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25">
      <c r="E130" t="s">
        <v>196</v>
      </c>
      <c r="G130" t="s">
        <v>268</v>
      </c>
      <c r="H130" s="266"/>
      <c r="I130" s="266"/>
      <c r="J130" s="277">
        <f>'Initial unit rates'!J130</f>
        <v>0.36282683155050571</v>
      </c>
      <c r="K130" s="277">
        <f>'Initial unit rates'!K130</f>
        <v>0.36282683155050571</v>
      </c>
      <c r="L130" s="277">
        <f>'Initial unit rates'!L130</f>
        <v>0.35364967263083091</v>
      </c>
      <c r="M130" s="277">
        <f>'Initial unit rates'!M130</f>
        <v>0.35364967263083091</v>
      </c>
      <c r="N130" s="277">
        <f>'Initial unit rates'!N130</f>
        <v>0.30061175126197931</v>
      </c>
      <c r="O130" s="277">
        <f>'Initial unit rates'!O130</f>
        <v>0.24966440687244623</v>
      </c>
      <c r="P130" s="277">
        <f>'Initial unit rates'!P130</f>
        <v>0.20933726970478772</v>
      </c>
      <c r="Q130" s="277">
        <f>'Initial unit rates'!Q130</f>
        <v>0.36224874028302123</v>
      </c>
      <c r="R130" s="292"/>
      <c r="S130" s="292"/>
      <c r="T130" s="292"/>
      <c r="U130" s="292"/>
      <c r="V130" s="292"/>
      <c r="W130" s="292"/>
      <c r="X130" s="292"/>
      <c r="Y130" s="292"/>
      <c r="Z130" s="266"/>
      <c r="AA130" s="266"/>
    </row>
    <row r="131" spans="4:27" x14ac:dyDescent="0.25">
      <c r="E131" t="s">
        <v>197</v>
      </c>
      <c r="G131" t="s">
        <v>268</v>
      </c>
      <c r="H131" s="266"/>
      <c r="I131" s="266"/>
      <c r="J131" s="277">
        <f>'Initial unit rates'!J131</f>
        <v>0.12817349663376787</v>
      </c>
      <c r="K131" s="277">
        <f>'Initial unit rates'!K131</f>
        <v>0.12817349663376787</v>
      </c>
      <c r="L131" s="277">
        <f>'Initial unit rates'!L131</f>
        <v>0.12493154084215287</v>
      </c>
      <c r="M131" s="277">
        <f>'Initial unit rates'!M131</f>
        <v>0.12493154084215287</v>
      </c>
      <c r="N131" s="277">
        <f>'Initial unit rates'!N131</f>
        <v>0.10619517614998908</v>
      </c>
      <c r="O131" s="277">
        <f>'Initial unit rates'!O131</f>
        <v>8.8197336115101138E-2</v>
      </c>
      <c r="P131" s="277">
        <f>'Initial unit rates'!P131</f>
        <v>0</v>
      </c>
      <c r="Q131" s="277">
        <f>'Initial unit rates'!Q131</f>
        <v>0.12796927805707028</v>
      </c>
      <c r="R131" s="292"/>
      <c r="S131" s="292"/>
      <c r="T131" s="292"/>
      <c r="U131" s="292"/>
      <c r="V131" s="292"/>
      <c r="W131" s="292"/>
      <c r="X131" s="292"/>
      <c r="Y131" s="292"/>
      <c r="Z131" s="266"/>
      <c r="AA131" s="266"/>
    </row>
    <row r="132" spans="4:27" x14ac:dyDescent="0.25">
      <c r="E132" t="s">
        <v>198</v>
      </c>
      <c r="G132" t="s">
        <v>268</v>
      </c>
      <c r="H132" s="266"/>
      <c r="I132" s="266"/>
      <c r="J132" s="277">
        <f>'Initial unit rates'!J132</f>
        <v>0.25774862291395317</v>
      </c>
      <c r="K132" s="277">
        <f>'Initial unit rates'!K132</f>
        <v>0.25774862291395317</v>
      </c>
      <c r="L132" s="277">
        <f>'Initial unit rates'!L132</f>
        <v>0.25122925921722661</v>
      </c>
      <c r="M132" s="277">
        <f>'Initial unit rates'!M132</f>
        <v>0.25122925921722661</v>
      </c>
      <c r="N132" s="277">
        <f>'Initial unit rates'!N132</f>
        <v>0.21355164001629634</v>
      </c>
      <c r="O132" s="277">
        <f>'Initial unit rates'!O132</f>
        <v>0</v>
      </c>
      <c r="P132" s="277">
        <f>'Initial unit rates'!P132</f>
        <v>0</v>
      </c>
      <c r="Q132" s="277">
        <f>'Initial unit rates'!Q132</f>
        <v>0.25733795254683622</v>
      </c>
      <c r="R132" s="292"/>
      <c r="S132" s="292"/>
      <c r="T132" s="292"/>
      <c r="U132" s="292"/>
      <c r="V132" s="292"/>
      <c r="W132" s="292"/>
      <c r="X132" s="292"/>
      <c r="Y132" s="292"/>
      <c r="Z132" s="266"/>
      <c r="AA132" s="266"/>
    </row>
    <row r="133" spans="4:27" x14ac:dyDescent="0.25">
      <c r="E133" t="s">
        <v>374</v>
      </c>
      <c r="G133" t="s">
        <v>268</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375</v>
      </c>
      <c r="F134" s="91"/>
      <c r="G134" s="91" t="s">
        <v>268</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619</v>
      </c>
      <c r="E136"/>
      <c r="J136" s="101"/>
      <c r="K136" s="101"/>
      <c r="L136" s="101"/>
      <c r="M136" s="101"/>
      <c r="N136" s="101"/>
      <c r="O136" s="101"/>
      <c r="P136" s="101"/>
      <c r="Q136" s="101"/>
      <c r="R136" s="101"/>
      <c r="S136" s="101"/>
      <c r="T136" s="101"/>
      <c r="U136" s="101"/>
      <c r="V136" s="101"/>
      <c r="W136" s="101"/>
      <c r="X136" s="101"/>
      <c r="Y136" s="101"/>
    </row>
    <row r="137" spans="4:27" x14ac:dyDescent="0.25">
      <c r="E137" s="90" t="s">
        <v>188</v>
      </c>
      <c r="F137" s="90"/>
      <c r="G137" s="90" t="s">
        <v>268</v>
      </c>
      <c r="H137" s="264"/>
      <c r="I137" s="264"/>
      <c r="J137" s="276">
        <f>'Initial unit rates'!J135</f>
        <v>0.13178420119111633</v>
      </c>
      <c r="K137" s="276">
        <f>'Initial unit rates'!K135</f>
        <v>0.13178420119111633</v>
      </c>
      <c r="L137" s="276">
        <f>'Initial unit rates'!L135</f>
        <v>0.12845091805914677</v>
      </c>
      <c r="M137" s="276">
        <f>'Initial unit rates'!M135</f>
        <v>0.12845091805914677</v>
      </c>
      <c r="N137" s="276">
        <f>'Initial unit rates'!N135</f>
        <v>0.10918674161838537</v>
      </c>
      <c r="O137" s="276">
        <f>'Initial unit rates'!O135</f>
        <v>9.0681894403829996E-2</v>
      </c>
      <c r="P137" s="276">
        <f>'Initial unit rates'!P135</f>
        <v>7.6034467323386326E-2</v>
      </c>
      <c r="Q137" s="276">
        <f>'Initial unit rates'!Q135</f>
        <v>0.13157422968604476</v>
      </c>
      <c r="R137" s="278"/>
      <c r="S137" s="278"/>
      <c r="T137" s="278"/>
      <c r="U137" s="278"/>
      <c r="V137" s="278"/>
      <c r="W137" s="278"/>
      <c r="X137" s="278"/>
      <c r="Y137" s="278"/>
      <c r="Z137" s="266"/>
      <c r="AA137" s="266"/>
    </row>
    <row r="138" spans="4:27" x14ac:dyDescent="0.25">
      <c r="E138" t="s">
        <v>190</v>
      </c>
      <c r="G138" t="s">
        <v>268</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191</v>
      </c>
      <c r="G139" t="s">
        <v>268</v>
      </c>
      <c r="H139" s="266"/>
      <c r="I139" s="266"/>
      <c r="J139" s="277">
        <f>'Initial unit rates'!J137</f>
        <v>7.7477212264483203E-2</v>
      </c>
      <c r="K139" s="277">
        <f>'Initial unit rates'!K137</f>
        <v>7.7477212264483203E-2</v>
      </c>
      <c r="L139" s="277">
        <f>'Initial unit rates'!L137</f>
        <v>7.5517542725805326E-2</v>
      </c>
      <c r="M139" s="277">
        <f>'Initial unit rates'!M137</f>
        <v>7.5517542725805326E-2</v>
      </c>
      <c r="N139" s="277">
        <f>'Initial unit rates'!N137</f>
        <v>6.4191946230085631E-2</v>
      </c>
      <c r="O139" s="277">
        <f>'Initial unit rates'!O137</f>
        <v>5.3312766763916171E-2</v>
      </c>
      <c r="P139" s="277">
        <f>'Initial unit rates'!P137</f>
        <v>4.4701402072375482E-2</v>
      </c>
      <c r="Q139" s="277">
        <f>'Initial unit rates'!Q137</f>
        <v>7.7353767976617985E-2</v>
      </c>
      <c r="R139" s="292"/>
      <c r="S139" s="292"/>
      <c r="T139" s="292"/>
      <c r="U139" s="292"/>
      <c r="V139" s="292"/>
      <c r="W139" s="292"/>
      <c r="X139" s="292"/>
      <c r="Y139" s="292"/>
      <c r="Z139" s="266"/>
      <c r="AA139" s="266"/>
    </row>
    <row r="140" spans="4:27" x14ac:dyDescent="0.25">
      <c r="E140" t="s">
        <v>192</v>
      </c>
      <c r="G140" t="s">
        <v>268</v>
      </c>
      <c r="H140" s="266"/>
      <c r="I140" s="266"/>
      <c r="J140" s="277">
        <f>'Initial unit rates'!J138</f>
        <v>3.1005261907476302E-2</v>
      </c>
      <c r="K140" s="277">
        <f>'Initial unit rates'!K138</f>
        <v>3.1005261907476302E-2</v>
      </c>
      <c r="L140" s="277">
        <f>'Initial unit rates'!L138</f>
        <v>3.0221030447374266E-2</v>
      </c>
      <c r="M140" s="277">
        <f>'Initial unit rates'!M138</f>
        <v>3.0221030447374266E-2</v>
      </c>
      <c r="N140" s="277">
        <f>'Initial unit rates'!N138</f>
        <v>2.5688690223135729E-2</v>
      </c>
      <c r="O140" s="277">
        <f>'Initial unit rates'!O138</f>
        <v>2.1334999649763722E-2</v>
      </c>
      <c r="P140" s="277">
        <f>'Initial unit rates'!P138</f>
        <v>1.7888855811617276E-2</v>
      </c>
      <c r="Q140" s="277">
        <f>'Initial unit rates'!Q138</f>
        <v>3.0955861285482094E-2</v>
      </c>
      <c r="R140" s="292"/>
      <c r="S140" s="292"/>
      <c r="T140" s="292"/>
      <c r="U140" s="292"/>
      <c r="V140" s="292"/>
      <c r="W140" s="292"/>
      <c r="X140" s="292"/>
      <c r="Y140" s="292"/>
      <c r="Z140" s="266"/>
      <c r="AA140" s="266"/>
    </row>
    <row r="141" spans="4:27" x14ac:dyDescent="0.25">
      <c r="E141" t="s">
        <v>193</v>
      </c>
      <c r="G141" t="s">
        <v>268</v>
      </c>
      <c r="H141" s="266"/>
      <c r="I141" s="266"/>
      <c r="J141" s="277">
        <f>'Initial unit rates'!J139</f>
        <v>0.10663421681314819</v>
      </c>
      <c r="K141" s="277">
        <f>'Initial unit rates'!K139</f>
        <v>0.10663421681314819</v>
      </c>
      <c r="L141" s="277">
        <f>'Initial unit rates'!L139</f>
        <v>0.1039370647040074</v>
      </c>
      <c r="M141" s="277">
        <f>'Initial unit rates'!M139</f>
        <v>0.1039370647040074</v>
      </c>
      <c r="N141" s="277">
        <f>'Initial unit rates'!N139</f>
        <v>8.8349305710561626E-2</v>
      </c>
      <c r="O141" s="277">
        <f>'Initial unit rates'!O139</f>
        <v>7.3375963897688107E-2</v>
      </c>
      <c r="P141" s="277">
        <f>'Initial unit rates'!P139</f>
        <v>6.1523883747460685E-2</v>
      </c>
      <c r="Q141" s="277">
        <f>'Initial unit rates'!Q139</f>
        <v>0.10646431672805443</v>
      </c>
      <c r="R141" s="292"/>
      <c r="S141" s="292"/>
      <c r="T141" s="292"/>
      <c r="U141" s="292"/>
      <c r="V141" s="292"/>
      <c r="W141" s="292"/>
      <c r="X141" s="292"/>
      <c r="Y141" s="292"/>
      <c r="Z141" s="266"/>
      <c r="AA141" s="266"/>
    </row>
    <row r="142" spans="4:27" x14ac:dyDescent="0.25">
      <c r="E142" t="s">
        <v>194</v>
      </c>
      <c r="G142" t="s">
        <v>268</v>
      </c>
      <c r="H142" s="266"/>
      <c r="I142" s="266"/>
      <c r="J142" s="277">
        <f>'Initial unit rates'!J140</f>
        <v>5.213044127312056E-2</v>
      </c>
      <c r="K142" s="277">
        <f>'Initial unit rates'!K140</f>
        <v>5.213044127312056E-2</v>
      </c>
      <c r="L142" s="277">
        <f>'Initial unit rates'!L140</f>
        <v>5.0811880178639857E-2</v>
      </c>
      <c r="M142" s="277">
        <f>'Initial unit rates'!M140</f>
        <v>5.0811880178639857E-2</v>
      </c>
      <c r="N142" s="277">
        <f>'Initial unit rates'!N140</f>
        <v>4.3191467340504899E-2</v>
      </c>
      <c r="O142" s="277">
        <f>'Initial unit rates'!O140</f>
        <v>3.5871425618755053E-2</v>
      </c>
      <c r="P142" s="277">
        <f>'Initial unit rates'!P140</f>
        <v>3.007728011179835E-2</v>
      </c>
      <c r="Q142" s="277">
        <f>'Initial unit rates'!Q140</f>
        <v>5.2047381944952016E-2</v>
      </c>
      <c r="R142" s="292"/>
      <c r="S142" s="292"/>
      <c r="T142" s="292"/>
      <c r="U142" s="292"/>
      <c r="V142" s="292"/>
      <c r="W142" s="292"/>
      <c r="X142" s="292"/>
      <c r="Y142" s="292"/>
      <c r="Z142" s="266"/>
      <c r="AA142" s="266"/>
    </row>
    <row r="143" spans="4:27" x14ac:dyDescent="0.25">
      <c r="E143" t="s">
        <v>195</v>
      </c>
      <c r="G143" t="s">
        <v>268</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25">
      <c r="E144" t="s">
        <v>196</v>
      </c>
      <c r="G144" t="s">
        <v>268</v>
      </c>
      <c r="H144" s="266"/>
      <c r="I144" s="266"/>
      <c r="J144" s="277">
        <f>'Initial unit rates'!J142</f>
        <v>0.16085832917710663</v>
      </c>
      <c r="K144" s="277">
        <f>'Initial unit rates'!K142</f>
        <v>0.16085832917710663</v>
      </c>
      <c r="L144" s="277">
        <f>'Initial unit rates'!L142</f>
        <v>0.15678965971265943</v>
      </c>
      <c r="M144" s="277">
        <f>'Initial unit rates'!M142</f>
        <v>0.15678965971265943</v>
      </c>
      <c r="N144" s="277">
        <f>'Initial unit rates'!N142</f>
        <v>0.13327543564615013</v>
      </c>
      <c r="O144" s="277">
        <f>'Initial unit rates'!O142</f>
        <v>0.11068806342924684</v>
      </c>
      <c r="P144" s="277">
        <f>'Initial unit rates'!P142</f>
        <v>9.2809132376755046E-2</v>
      </c>
      <c r="Q144" s="277">
        <f>'Initial unit rates'!Q142</f>
        <v>0.16060203392186861</v>
      </c>
      <c r="R144" s="292"/>
      <c r="S144" s="292"/>
      <c r="T144" s="292"/>
      <c r="U144" s="292"/>
      <c r="V144" s="292"/>
      <c r="W144" s="292"/>
      <c r="X144" s="292"/>
      <c r="Y144" s="292"/>
      <c r="Z144" s="266"/>
      <c r="AA144" s="266"/>
    </row>
    <row r="145" spans="2:27" x14ac:dyDescent="0.25">
      <c r="E145" t="s">
        <v>197</v>
      </c>
      <c r="G145" t="s">
        <v>268</v>
      </c>
      <c r="H145" s="266"/>
      <c r="I145" s="266"/>
      <c r="J145" s="277">
        <f>'Initial unit rates'!J143</f>
        <v>5.6825385336545575E-2</v>
      </c>
      <c r="K145" s="277">
        <f>'Initial unit rates'!K143</f>
        <v>5.6825385336545575E-2</v>
      </c>
      <c r="L145" s="277">
        <f>'Initial unit rates'!L143</f>
        <v>5.5388072694377753E-2</v>
      </c>
      <c r="M145" s="277">
        <f>'Initial unit rates'!M143</f>
        <v>5.5388072694377753E-2</v>
      </c>
      <c r="N145" s="277">
        <f>'Initial unit rates'!N143</f>
        <v>4.7081354290022755E-2</v>
      </c>
      <c r="O145" s="277">
        <f>'Initial unit rates'!O143</f>
        <v>3.9102058865709811E-2</v>
      </c>
      <c r="P145" s="277">
        <f>'Initial unit rates'!P143</f>
        <v>0</v>
      </c>
      <c r="Q145" s="277">
        <f>'Initial unit rates'!Q143</f>
        <v>5.673484556335924E-2</v>
      </c>
      <c r="R145" s="292"/>
      <c r="S145" s="292"/>
      <c r="T145" s="292"/>
      <c r="U145" s="292"/>
      <c r="V145" s="292"/>
      <c r="W145" s="292"/>
      <c r="X145" s="292"/>
      <c r="Y145" s="292"/>
      <c r="Z145" s="266"/>
      <c r="AA145" s="266"/>
    </row>
    <row r="146" spans="2:27" x14ac:dyDescent="0.25">
      <c r="E146" t="s">
        <v>198</v>
      </c>
      <c r="G146" t="s">
        <v>268</v>
      </c>
      <c r="H146" s="266"/>
      <c r="I146" s="266"/>
      <c r="J146" s="277">
        <f>'Initial unit rates'!J144</f>
        <v>0.11427217952007276</v>
      </c>
      <c r="K146" s="277">
        <f>'Initial unit rates'!K144</f>
        <v>0.11427217952007276</v>
      </c>
      <c r="L146" s="277">
        <f>'Initial unit rates'!L144</f>
        <v>0.11138183663371065</v>
      </c>
      <c r="M146" s="277">
        <f>'Initial unit rates'!M144</f>
        <v>0.11138183663371065</v>
      </c>
      <c r="N146" s="277">
        <f>'Initial unit rates'!N144</f>
        <v>9.4677562459353576E-2</v>
      </c>
      <c r="O146" s="277">
        <f>'Initial unit rates'!O144</f>
        <v>0</v>
      </c>
      <c r="P146" s="277">
        <f>'Initial unit rates'!P144</f>
        <v>0</v>
      </c>
      <c r="Q146" s="277">
        <f>'Initial unit rates'!Q144</f>
        <v>0.11409010988422286</v>
      </c>
      <c r="R146" s="292"/>
      <c r="S146" s="292"/>
      <c r="T146" s="292"/>
      <c r="U146" s="292"/>
      <c r="V146" s="292"/>
      <c r="W146" s="292"/>
      <c r="X146" s="292"/>
      <c r="Y146" s="292"/>
      <c r="Z146" s="266"/>
      <c r="AA146" s="266"/>
    </row>
    <row r="147" spans="2:27" x14ac:dyDescent="0.25">
      <c r="E147" t="s">
        <v>374</v>
      </c>
      <c r="G147" t="s">
        <v>268</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375</v>
      </c>
      <c r="F148" s="91"/>
      <c r="G148" s="91" t="s">
        <v>268</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672</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673</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674</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153</v>
      </c>
      <c r="J156" s="101"/>
      <c r="K156" s="101"/>
      <c r="L156" s="101"/>
      <c r="M156" s="101"/>
      <c r="N156" s="101"/>
      <c r="O156" s="101"/>
      <c r="P156" s="101"/>
      <c r="Q156" s="101"/>
      <c r="R156" s="101"/>
      <c r="S156" s="101"/>
      <c r="T156" s="101"/>
      <c r="U156" s="101"/>
      <c r="V156" s="101"/>
      <c r="W156" s="101"/>
      <c r="X156" s="101"/>
      <c r="Y156" s="101"/>
      <c r="AA156" t="s">
        <v>675</v>
      </c>
    </row>
    <row r="157" spans="2:27" x14ac:dyDescent="0.25">
      <c r="D157"/>
      <c r="E157" s="60" t="s">
        <v>618</v>
      </c>
      <c r="J157" s="101"/>
      <c r="K157" s="101"/>
      <c r="L157" s="101"/>
      <c r="M157" s="101"/>
      <c r="N157" s="101"/>
      <c r="O157" s="101"/>
      <c r="P157" s="101"/>
      <c r="Q157" s="101"/>
      <c r="R157" s="101"/>
      <c r="S157" s="101"/>
      <c r="T157" s="101"/>
      <c r="U157" s="101"/>
      <c r="V157" s="101"/>
      <c r="W157" s="101"/>
      <c r="X157" s="101"/>
      <c r="Y157" s="101"/>
    </row>
    <row r="158" spans="2:27" x14ac:dyDescent="0.25">
      <c r="D158"/>
      <c r="F158" s="90" t="s">
        <v>188</v>
      </c>
      <c r="G158" s="90" t="s">
        <v>268</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190</v>
      </c>
      <c r="G159" t="s">
        <v>268</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191</v>
      </c>
      <c r="G160" t="s">
        <v>268</v>
      </c>
      <c r="H160" s="266"/>
      <c r="I160" s="266"/>
      <c r="J160" s="292"/>
      <c r="K160" s="292"/>
      <c r="L160" s="292"/>
      <c r="M160" s="292"/>
      <c r="N160" s="292"/>
      <c r="O160" s="292"/>
      <c r="P160" s="292"/>
      <c r="Q160" s="292"/>
      <c r="R160" s="280">
        <f t="shared" ref="R160:S160" si="0">hundred * $H51 * R95 / $H37 * (1 - R109) / hours_in_year</f>
        <v>-9.420338961220738E-2</v>
      </c>
      <c r="S160" s="280">
        <f t="shared" si="0"/>
        <v>-8.6422090294503082E-2</v>
      </c>
      <c r="T160" s="280">
        <f t="shared" ref="T160:U160" si="1">hundred * $H51 * T95 / $H37 * (1 - T109) / hours_in_year</f>
        <v>-9.420338961220738E-2</v>
      </c>
      <c r="U160" s="280">
        <f t="shared" si="1"/>
        <v>-9.420338961220738E-2</v>
      </c>
      <c r="V160" s="280">
        <f t="shared" ref="V160:W160" si="2">hundred * $H51 * V95 / $H37 * (1 - V109) / hours_in_year</f>
        <v>-8.6422090294503082E-2</v>
      </c>
      <c r="W160" s="280">
        <f t="shared" si="2"/>
        <v>-8.6422090294503082E-2</v>
      </c>
      <c r="X160" s="280">
        <f t="shared" ref="X160:Y160" si="3">hundred * $H51 * X95 / $H37 * (1 - X109) / hours_in_year</f>
        <v>-8.5180393594869397E-2</v>
      </c>
      <c r="Y160" s="280">
        <f t="shared" si="3"/>
        <v>-8.5180393594869397E-2</v>
      </c>
      <c r="Z160" s="266"/>
      <c r="AA160" s="266"/>
    </row>
    <row r="161" spans="4:27" x14ac:dyDescent="0.25">
      <c r="D161"/>
      <c r="F161" t="s">
        <v>192</v>
      </c>
      <c r="G161" t="s">
        <v>268</v>
      </c>
      <c r="H161" s="266"/>
      <c r="I161" s="266"/>
      <c r="J161" s="292"/>
      <c r="K161" s="292"/>
      <c r="L161" s="292"/>
      <c r="M161" s="292"/>
      <c r="N161" s="292"/>
      <c r="O161" s="292"/>
      <c r="P161" s="292"/>
      <c r="Q161" s="292"/>
      <c r="R161" s="280">
        <f t="shared" ref="R161:S161" si="4">hundred * $H52 * R96 / $H38 * (1 - R110) / hours_in_year</f>
        <v>-3.769883662731454E-2</v>
      </c>
      <c r="S161" s="280">
        <f t="shared" si="4"/>
        <v>-3.4584872969170816E-2</v>
      </c>
      <c r="T161" s="280">
        <f t="shared" ref="T161:U161" si="5">hundred * $H52 * T96 / $H38 * (1 - T110) / hours_in_year</f>
        <v>-3.769883662731454E-2</v>
      </c>
      <c r="U161" s="280">
        <f t="shared" si="5"/>
        <v>-3.769883662731454E-2</v>
      </c>
      <c r="V161" s="280">
        <f t="shared" ref="V161:W161" si="6">hundred * $H52 * V96 / $H38 * (1 - V110) / hours_in_year</f>
        <v>-3.4584872969170816E-2</v>
      </c>
      <c r="W161" s="280">
        <f t="shared" si="6"/>
        <v>-3.4584872969170816E-2</v>
      </c>
      <c r="X161" s="280">
        <f t="shared" ref="X161:Y161" si="7">hundred * $H52 * X96 / $H38 * (1 - X110) / hours_in_year</f>
        <v>-3.4087963874786173E-2</v>
      </c>
      <c r="Y161" s="280">
        <f t="shared" si="7"/>
        <v>-3.4087963874786173E-2</v>
      </c>
      <c r="Z161" s="266"/>
      <c r="AA161" s="266"/>
    </row>
    <row r="162" spans="4:27" x14ac:dyDescent="0.25">
      <c r="D162"/>
      <c r="F162" t="s">
        <v>193</v>
      </c>
      <c r="G162" t="s">
        <v>268</v>
      </c>
      <c r="H162" s="266"/>
      <c r="I162" s="266"/>
      <c r="J162" s="292"/>
      <c r="K162" s="292"/>
      <c r="L162" s="292"/>
      <c r="M162" s="292"/>
      <c r="N162" s="292"/>
      <c r="O162" s="292"/>
      <c r="P162" s="292"/>
      <c r="Q162" s="292"/>
      <c r="R162" s="280">
        <f t="shared" ref="R162:S162" si="8">hundred * $H53 * R97 / $H39 * (1 - R111) / hours_in_year</f>
        <v>-0.12965495761708667</v>
      </c>
      <c r="S162" s="280">
        <f t="shared" si="8"/>
        <v>-0.1189453213991551</v>
      </c>
      <c r="T162" s="280">
        <f t="shared" ref="T162:U162" si="9">hundred * $H53 * T97 / $H39 * (1 - T111) / hours_in_year</f>
        <v>-0.12965495761708667</v>
      </c>
      <c r="U162" s="280">
        <f t="shared" si="9"/>
        <v>-0.12965495761708667</v>
      </c>
      <c r="V162" s="280">
        <f t="shared" ref="V162:W162" si="10">hundred * $H53 * V97 / $H39 * (1 - V111) / hours_in_year</f>
        <v>-0.1189453213991551</v>
      </c>
      <c r="W162" s="280">
        <f t="shared" si="10"/>
        <v>-0.1189453213991551</v>
      </c>
      <c r="X162" s="280">
        <f t="shared" ref="X162:Y162" si="11">hundred * $H53 * X97 / $H39 * (1 - X111) / hours_in_year</f>
        <v>-0.11723633689629367</v>
      </c>
      <c r="Y162" s="280">
        <f t="shared" si="11"/>
        <v>-0.11723633689629367</v>
      </c>
      <c r="Z162" s="266"/>
      <c r="AA162" s="266"/>
    </row>
    <row r="163" spans="4:27" x14ac:dyDescent="0.25">
      <c r="D163"/>
      <c r="F163" t="s">
        <v>194</v>
      </c>
      <c r="G163" t="s">
        <v>268</v>
      </c>
      <c r="H163" s="266"/>
      <c r="I163" s="266"/>
      <c r="J163" s="292"/>
      <c r="K163" s="292"/>
      <c r="L163" s="292"/>
      <c r="M163" s="292"/>
      <c r="N163" s="292"/>
      <c r="O163" s="292"/>
      <c r="P163" s="292"/>
      <c r="Q163" s="292"/>
      <c r="R163" s="280">
        <f t="shared" ref="R163:S163" si="12">hundred * $H54 * R98 / $H40 * (1 - R112) / hours_in_year</f>
        <v>-6.3384627897347459E-2</v>
      </c>
      <c r="S163" s="280">
        <f t="shared" si="12"/>
        <v>-5.8148990795106111E-2</v>
      </c>
      <c r="T163" s="280">
        <f t="shared" ref="T163:U163" si="13">hundred * $H54 * T98 / $H40 * (1 - T112) / hours_in_year</f>
        <v>-6.3384627897347459E-2</v>
      </c>
      <c r="U163" s="280">
        <f t="shared" si="13"/>
        <v>-6.3384627897347459E-2</v>
      </c>
      <c r="V163" s="280">
        <f t="shared" ref="V163:W163" si="14">hundred * $H54 * V98 / $H40 * (1 - V112) / hours_in_year</f>
        <v>-5.8148990795106111E-2</v>
      </c>
      <c r="W163" s="280">
        <f t="shared" si="14"/>
        <v>-5.8148990795106111E-2</v>
      </c>
      <c r="X163" s="280">
        <f t="shared" ref="X163:Y163" si="15">hundred * $H54 * X98 / $H40 * (1 - X112) / hours_in_year</f>
        <v>-5.7313516789429295E-2</v>
      </c>
      <c r="Y163" s="280">
        <f t="shared" si="15"/>
        <v>-5.7313516789429295E-2</v>
      </c>
      <c r="Z163" s="266"/>
      <c r="AA163" s="266"/>
    </row>
    <row r="164" spans="4:27" x14ac:dyDescent="0.25">
      <c r="D164"/>
      <c r="F164" t="s">
        <v>195</v>
      </c>
      <c r="G164" t="s">
        <v>268</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25">
      <c r="D165"/>
      <c r="F165" t="s">
        <v>196</v>
      </c>
      <c r="G165" t="s">
        <v>268</v>
      </c>
      <c r="H165" s="266"/>
      <c r="I165" s="266"/>
      <c r="J165" s="292"/>
      <c r="K165" s="292"/>
      <c r="L165" s="292"/>
      <c r="M165" s="292"/>
      <c r="N165" s="292"/>
      <c r="O165" s="292"/>
      <c r="P165" s="292"/>
      <c r="Q165" s="292"/>
      <c r="R165" s="280">
        <f t="shared" ref="R165:S165" si="20">hundred * $H56 * R100 / $H42 * (1 - R114) / hours_in_year</f>
        <v>-0.19558524904213989</v>
      </c>
      <c r="S165" s="280">
        <f t="shared" si="20"/>
        <v>-0.17942970123022328</v>
      </c>
      <c r="T165" s="280">
        <f t="shared" ref="T165:U165" si="21">hundred * $H56 * T100 / $H42 * (1 - T114) / hours_in_year</f>
        <v>-0.19558524904213989</v>
      </c>
      <c r="U165" s="280">
        <f t="shared" si="21"/>
        <v>-0.19558524904213989</v>
      </c>
      <c r="V165" s="280">
        <f t="shared" ref="V165:W165" si="22">hundred * $H56 * V100 / $H42 * (1 - V114) / hours_in_year</f>
        <v>-0.17942970123022328</v>
      </c>
      <c r="W165" s="280">
        <f t="shared" si="22"/>
        <v>-0.17942970123022328</v>
      </c>
      <c r="X165" s="280">
        <f t="shared" ref="X165:Y165" si="23">hundred * $H56 * X100 / $H42 * (1 - X114) / hours_in_year</f>
        <v>-0.17685168828151315</v>
      </c>
      <c r="Y165" s="280">
        <f t="shared" si="23"/>
        <v>-0.17685168828151315</v>
      </c>
      <c r="Z165" s="266"/>
      <c r="AA165" s="266"/>
    </row>
    <row r="166" spans="4:27" x14ac:dyDescent="0.25">
      <c r="D166"/>
      <c r="F166" t="s">
        <v>197</v>
      </c>
      <c r="G166" t="s">
        <v>268</v>
      </c>
      <c r="H166" s="266"/>
      <c r="I166" s="266"/>
      <c r="J166" s="292"/>
      <c r="K166" s="292"/>
      <c r="L166" s="292"/>
      <c r="M166" s="292"/>
      <c r="N166" s="292"/>
      <c r="O166" s="292"/>
      <c r="P166" s="292"/>
      <c r="Q166" s="292"/>
      <c r="R166" s="280">
        <f t="shared" ref="R166:S166" si="24">hundred * $H57 * R101 / $H43 * (1 - R115) / hours_in_year</f>
        <v>-6.9093140528190974E-2</v>
      </c>
      <c r="S166" s="280">
        <f t="shared" si="24"/>
        <v>-6.3385974263120731E-2</v>
      </c>
      <c r="T166" s="280">
        <f t="shared" ref="T166:U166" si="25">hundred * $H57 * T101 / $H43 * (1 - T115) / hours_in_year</f>
        <v>-6.9093140528190974E-2</v>
      </c>
      <c r="U166" s="280">
        <f t="shared" si="25"/>
        <v>-6.9093140528190974E-2</v>
      </c>
      <c r="V166" s="280">
        <f t="shared" ref="V166:W166" si="26">hundred * $H57 * V101 / $H43 * (1 - V115) / hours_in_year</f>
        <v>-6.3385974263120731E-2</v>
      </c>
      <c r="W166" s="280">
        <f t="shared" si="26"/>
        <v>-6.3385974263120731E-2</v>
      </c>
      <c r="X166" s="280">
        <f t="shared" ref="X166:Y166" si="27">hundred * $H57 * X101 / $H43 * (1 - X115) / hours_in_year</f>
        <v>0</v>
      </c>
      <c r="Y166" s="280">
        <f t="shared" si="27"/>
        <v>0</v>
      </c>
      <c r="Z166" s="266"/>
      <c r="AA166" s="266"/>
    </row>
    <row r="167" spans="4:27" x14ac:dyDescent="0.25">
      <c r="D167"/>
      <c r="F167" t="s">
        <v>198</v>
      </c>
      <c r="G167" t="s">
        <v>268</v>
      </c>
      <c r="H167" s="266"/>
      <c r="I167" s="266"/>
      <c r="J167" s="292"/>
      <c r="K167" s="292"/>
      <c r="L167" s="292"/>
      <c r="M167" s="292"/>
      <c r="N167" s="292"/>
      <c r="O167" s="292"/>
      <c r="P167" s="292"/>
      <c r="Q167" s="292"/>
      <c r="R167" s="280">
        <f t="shared" ref="R167:S167" si="28">hundred * $H58 * R102 / $H44 * (1 - R116) / hours_in_year</f>
        <v>-0.13894184282751088</v>
      </c>
      <c r="S167" s="280">
        <f t="shared" si="28"/>
        <v>0</v>
      </c>
      <c r="T167" s="280">
        <f t="shared" ref="T167:U167" si="29">hundred * $H58 * T102 / $H44 * (1 - T116) / hours_in_year</f>
        <v>-0.13894184282751088</v>
      </c>
      <c r="U167" s="280">
        <f t="shared" si="29"/>
        <v>-0.13894184282751088</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374</v>
      </c>
      <c r="G168" t="s">
        <v>268</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375</v>
      </c>
      <c r="G169" s="91" t="s">
        <v>268</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619</v>
      </c>
      <c r="J171" s="101"/>
      <c r="K171" s="101"/>
      <c r="L171" s="101"/>
      <c r="M171" s="101"/>
      <c r="N171" s="101"/>
      <c r="O171" s="101"/>
      <c r="P171" s="101"/>
      <c r="Q171" s="101"/>
      <c r="R171" s="101"/>
      <c r="S171" s="101"/>
      <c r="T171" s="101"/>
      <c r="U171" s="101"/>
      <c r="V171" s="101"/>
      <c r="W171" s="101"/>
      <c r="X171" s="101"/>
      <c r="Y171" s="101"/>
    </row>
    <row r="172" spans="4:27" x14ac:dyDescent="0.25">
      <c r="D172"/>
      <c r="F172" s="90" t="s">
        <v>188</v>
      </c>
      <c r="G172" s="90" t="s">
        <v>268</v>
      </c>
      <c r="H172" s="264"/>
      <c r="I172" s="264"/>
      <c r="J172" s="278"/>
      <c r="K172" s="278"/>
      <c r="L172" s="278"/>
      <c r="M172" s="278"/>
      <c r="N172" s="278"/>
      <c r="O172" s="278"/>
      <c r="P172" s="278"/>
      <c r="Q172" s="278"/>
      <c r="R172" s="281">
        <f t="shared" ref="R172:S172" si="32">hundred * $H63 * R93 / $H35 / hours_in_year</f>
        <v>-7.1039525107988194E-2</v>
      </c>
      <c r="S172" s="281">
        <f t="shared" si="32"/>
        <v>-6.5171585424200068E-2</v>
      </c>
      <c r="T172" s="281">
        <f t="shared" ref="T172:U172" si="33">hundred * $H63 * T93 / $H35 / hours_in_year</f>
        <v>-7.1039525107988194E-2</v>
      </c>
      <c r="U172" s="281">
        <f t="shared" si="33"/>
        <v>-7.1039525107988194E-2</v>
      </c>
      <c r="V172" s="281">
        <f t="shared" ref="V172:W172" si="34">hundred * $H63 * V93 / $H35 / hours_in_year</f>
        <v>-6.5171585424200068E-2</v>
      </c>
      <c r="W172" s="281">
        <f t="shared" si="34"/>
        <v>-6.5171585424200068E-2</v>
      </c>
      <c r="X172" s="281">
        <f t="shared" ref="X172:Y172" si="35">hundred * $H63 * X93 / $H35 / hours_in_year</f>
        <v>-6.4235212070404085E-2</v>
      </c>
      <c r="Y172" s="281">
        <f t="shared" si="35"/>
        <v>-6.4235212070404085E-2</v>
      </c>
      <c r="Z172" s="266"/>
      <c r="AA172" s="266"/>
    </row>
    <row r="173" spans="4:27" x14ac:dyDescent="0.25">
      <c r="D173"/>
      <c r="F173" t="s">
        <v>190</v>
      </c>
      <c r="G173" t="s">
        <v>268</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191</v>
      </c>
      <c r="G174" t="s">
        <v>268</v>
      </c>
      <c r="H174" s="266"/>
      <c r="I174" s="266"/>
      <c r="J174" s="292"/>
      <c r="K174" s="292"/>
      <c r="L174" s="292"/>
      <c r="M174" s="292"/>
      <c r="N174" s="292"/>
      <c r="O174" s="292"/>
      <c r="P174" s="292"/>
      <c r="Q174" s="292"/>
      <c r="R174" s="280">
        <f t="shared" ref="R174:S174" si="40">hundred * $H65 * R95 / $H37 / hours_in_year</f>
        <v>-4.1764827014262089E-2</v>
      </c>
      <c r="S174" s="280">
        <f t="shared" si="40"/>
        <v>-3.8315008262644661E-2</v>
      </c>
      <c r="T174" s="280">
        <f t="shared" ref="T174:U174" si="41">hundred * $H65 * T95 / $H37 / hours_in_year</f>
        <v>-4.1764827014262089E-2</v>
      </c>
      <c r="U174" s="280">
        <f t="shared" si="41"/>
        <v>-4.1764827014262089E-2</v>
      </c>
      <c r="V174" s="280">
        <f t="shared" ref="V174:W174" si="42">hundred * $H65 * V95 / $H37 / hours_in_year</f>
        <v>-3.8315008262644661E-2</v>
      </c>
      <c r="W174" s="280">
        <f t="shared" si="42"/>
        <v>-3.8315008262644661E-2</v>
      </c>
      <c r="X174" s="280">
        <f t="shared" ref="X174:Y174" si="43">hundred * $H65 * X95 / $H37 / hours_in_year</f>
        <v>-3.7764505270365276E-2</v>
      </c>
      <c r="Y174" s="280">
        <f t="shared" si="43"/>
        <v>-3.7764505270365276E-2</v>
      </c>
      <c r="Z174" s="266"/>
      <c r="AA174" s="266"/>
    </row>
    <row r="175" spans="4:27" x14ac:dyDescent="0.25">
      <c r="D175"/>
      <c r="F175" t="s">
        <v>192</v>
      </c>
      <c r="G175" t="s">
        <v>268</v>
      </c>
      <c r="H175" s="266"/>
      <c r="I175" s="266"/>
      <c r="J175" s="292"/>
      <c r="K175" s="292"/>
      <c r="L175" s="292"/>
      <c r="M175" s="292"/>
      <c r="N175" s="292"/>
      <c r="O175" s="292"/>
      <c r="P175" s="292"/>
      <c r="Q175" s="292"/>
      <c r="R175" s="280">
        <f t="shared" ref="R175:S175" si="44">hundred * $H66 * R96 / $H38 / hours_in_year</f>
        <v>-1.6713680864989693E-2</v>
      </c>
      <c r="S175" s="280">
        <f t="shared" si="44"/>
        <v>-1.5333113201273497E-2</v>
      </c>
      <c r="T175" s="280">
        <f t="shared" ref="T175:U175" si="45">hundred * $H66 * T96 / $H38 / hours_in_year</f>
        <v>-1.6713680864989693E-2</v>
      </c>
      <c r="U175" s="280">
        <f t="shared" si="45"/>
        <v>-1.6713680864989693E-2</v>
      </c>
      <c r="V175" s="280">
        <f t="shared" ref="V175:W175" si="46">hundred * $H66 * V96 / $H38 / hours_in_year</f>
        <v>-1.5333113201273497E-2</v>
      </c>
      <c r="W175" s="280">
        <f t="shared" si="46"/>
        <v>-1.5333113201273497E-2</v>
      </c>
      <c r="X175" s="280">
        <f t="shared" ref="X175:Y175" si="47">hundred * $H66 * X96 / $H38 / hours_in_year</f>
        <v>-1.5112809850680486E-2</v>
      </c>
      <c r="Y175" s="280">
        <f t="shared" si="47"/>
        <v>-1.5112809850680486E-2</v>
      </c>
      <c r="Z175" s="266"/>
      <c r="AA175" s="266"/>
    </row>
    <row r="176" spans="4:27" x14ac:dyDescent="0.25">
      <c r="D176"/>
      <c r="F176" t="s">
        <v>193</v>
      </c>
      <c r="G176" t="s">
        <v>268</v>
      </c>
      <c r="H176" s="266"/>
      <c r="I176" s="266"/>
      <c r="J176" s="292"/>
      <c r="K176" s="292"/>
      <c r="L176" s="292"/>
      <c r="M176" s="292"/>
      <c r="N176" s="292"/>
      <c r="O176" s="292"/>
      <c r="P176" s="292"/>
      <c r="Q176" s="292"/>
      <c r="R176" s="280">
        <f t="shared" ref="R176:S176" si="48">hundred * $H67 * R97 / $H39 / hours_in_year</f>
        <v>-5.7482187198467843E-2</v>
      </c>
      <c r="S176" s="280">
        <f t="shared" si="48"/>
        <v>-5.2734097921968752E-2</v>
      </c>
      <c r="T176" s="280">
        <f t="shared" ref="T176:U176" si="49">hundred * $H67 * T97 / $H39 / hours_in_year</f>
        <v>-5.7482187198467843E-2</v>
      </c>
      <c r="U176" s="280">
        <f t="shared" si="49"/>
        <v>-5.7482187198467843E-2</v>
      </c>
      <c r="V176" s="280">
        <f t="shared" ref="V176:W176" si="50">hundred * $H67 * V97 / $H39 / hours_in_year</f>
        <v>-5.2734097921968752E-2</v>
      </c>
      <c r="W176" s="280">
        <f t="shared" si="50"/>
        <v>-5.2734097921968752E-2</v>
      </c>
      <c r="X176" s="280">
        <f t="shared" ref="X176:Y176" si="51">hundred * $H67 * X97 / $H39 / hours_in_year</f>
        <v>-5.1976424101250807E-2</v>
      </c>
      <c r="Y176" s="280">
        <f t="shared" si="51"/>
        <v>-5.1976424101250807E-2</v>
      </c>
      <c r="Z176" s="266"/>
      <c r="AA176" s="266"/>
    </row>
    <row r="177" spans="2:27" x14ac:dyDescent="0.25">
      <c r="D177"/>
      <c r="F177" t="s">
        <v>194</v>
      </c>
      <c r="G177" t="s">
        <v>268</v>
      </c>
      <c r="H177" s="266"/>
      <c r="I177" s="266"/>
      <c r="J177" s="292"/>
      <c r="K177" s="292"/>
      <c r="L177" s="292"/>
      <c r="M177" s="292"/>
      <c r="N177" s="292"/>
      <c r="O177" s="292"/>
      <c r="P177" s="292"/>
      <c r="Q177" s="292"/>
      <c r="R177" s="280">
        <f t="shared" ref="R177:S177" si="52">hundred * $H68 * R98 / $H40 / hours_in_year</f>
        <v>-2.8101409412056261E-2</v>
      </c>
      <c r="S177" s="280">
        <f t="shared" si="52"/>
        <v>-2.5780203362202759E-2</v>
      </c>
      <c r="T177" s="280">
        <f t="shared" ref="T177:U177" si="53">hundred * $H68 * T98 / $H40 / hours_in_year</f>
        <v>-2.8101409412056261E-2</v>
      </c>
      <c r="U177" s="280">
        <f t="shared" si="53"/>
        <v>-2.8101409412056261E-2</v>
      </c>
      <c r="V177" s="280">
        <f t="shared" ref="V177:W177" si="54">hundred * $H68 * V98 / $H40 / hours_in_year</f>
        <v>-2.5780203362202759E-2</v>
      </c>
      <c r="W177" s="280">
        <f t="shared" si="54"/>
        <v>-2.5780203362202759E-2</v>
      </c>
      <c r="X177" s="280">
        <f t="shared" ref="X177:Y177" si="55">hundred * $H68 * X98 / $H40 / hours_in_year</f>
        <v>-2.5409798141481452E-2</v>
      </c>
      <c r="Y177" s="280">
        <f t="shared" si="55"/>
        <v>-2.5409798141481452E-2</v>
      </c>
      <c r="Z177" s="266"/>
      <c r="AA177" s="266"/>
    </row>
    <row r="178" spans="2:27" x14ac:dyDescent="0.25">
      <c r="D178"/>
      <c r="F178" t="s">
        <v>195</v>
      </c>
      <c r="G178" t="s">
        <v>268</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25">
      <c r="D179"/>
      <c r="F179" t="s">
        <v>196</v>
      </c>
      <c r="G179" t="s">
        <v>268</v>
      </c>
      <c r="H179" s="266"/>
      <c r="I179" s="266"/>
      <c r="J179" s="292"/>
      <c r="K179" s="292"/>
      <c r="L179" s="292"/>
      <c r="M179" s="292"/>
      <c r="N179" s="292"/>
      <c r="O179" s="292"/>
      <c r="P179" s="292"/>
      <c r="Q179" s="292"/>
      <c r="R179" s="280">
        <f t="shared" ref="R179:S179" si="60">hundred * $H70 * R100 / $H42 / hours_in_year</f>
        <v>-8.6712209894067485E-2</v>
      </c>
      <c r="S179" s="280">
        <f t="shared" si="60"/>
        <v>-7.9549689920392325E-2</v>
      </c>
      <c r="T179" s="280">
        <f t="shared" ref="T179:U179" si="61">hundred * $H70 * T100 / $H42 / hours_in_year</f>
        <v>-8.6712209894067485E-2</v>
      </c>
      <c r="U179" s="280">
        <f t="shared" si="61"/>
        <v>-8.6712209894067485E-2</v>
      </c>
      <c r="V179" s="280">
        <f t="shared" ref="V179:W179" si="62">hundred * $H70 * V100 / $H42 / hours_in_year</f>
        <v>-7.9549689920392325E-2</v>
      </c>
      <c r="W179" s="280">
        <f t="shared" si="62"/>
        <v>-7.9549689920392325E-2</v>
      </c>
      <c r="X179" s="280">
        <f t="shared" ref="X179:Y179" si="63">hundred * $H70 * X100 / $H42 / hours_in_year</f>
        <v>-7.8406734605444145E-2</v>
      </c>
      <c r="Y179" s="280">
        <f t="shared" si="63"/>
        <v>-7.8406734605444145E-2</v>
      </c>
      <c r="Z179" s="266"/>
      <c r="AA179" s="266"/>
    </row>
    <row r="180" spans="2:27" x14ac:dyDescent="0.25">
      <c r="D180"/>
      <c r="F180" t="s">
        <v>197</v>
      </c>
      <c r="G180" t="s">
        <v>268</v>
      </c>
      <c r="H180" s="266"/>
      <c r="I180" s="266"/>
      <c r="J180" s="292"/>
      <c r="K180" s="292"/>
      <c r="L180" s="292"/>
      <c r="M180" s="292"/>
      <c r="N180" s="292"/>
      <c r="O180" s="292"/>
      <c r="P180" s="292"/>
      <c r="Q180" s="292"/>
      <c r="R180" s="280">
        <f t="shared" ref="R180:S180" si="64">hundred * $H71 * R101 / $H43 / hours_in_year</f>
        <v>-3.0632263593815073E-2</v>
      </c>
      <c r="S180" s="280">
        <f t="shared" si="64"/>
        <v>-2.8102006319809261E-2</v>
      </c>
      <c r="T180" s="280">
        <f t="shared" ref="T180:U180" si="65">hundred * $H71 * T101 / $H43 / hours_in_year</f>
        <v>-3.0632263593815073E-2</v>
      </c>
      <c r="U180" s="280">
        <f t="shared" si="65"/>
        <v>-3.0632263593815073E-2</v>
      </c>
      <c r="V180" s="280">
        <f t="shared" ref="V180:W180" si="66">hundred * $H71 * V101 / $H43 / hours_in_year</f>
        <v>-2.8102006319809261E-2</v>
      </c>
      <c r="W180" s="280">
        <f t="shared" si="66"/>
        <v>-2.8102006319809261E-2</v>
      </c>
      <c r="X180" s="280">
        <f t="shared" ref="X180:Y180" si="67">hundred * $H71 * X101 / $H43 / hours_in_year</f>
        <v>0</v>
      </c>
      <c r="Y180" s="280">
        <f t="shared" si="67"/>
        <v>0</v>
      </c>
      <c r="Z180" s="266"/>
      <c r="AA180" s="266"/>
    </row>
    <row r="181" spans="2:27" x14ac:dyDescent="0.25">
      <c r="D181"/>
      <c r="F181" t="s">
        <v>198</v>
      </c>
      <c r="G181" t="s">
        <v>268</v>
      </c>
      <c r="H181" s="266"/>
      <c r="I181" s="266"/>
      <c r="J181" s="292"/>
      <c r="K181" s="292"/>
      <c r="L181" s="292"/>
      <c r="M181" s="292"/>
      <c r="N181" s="292"/>
      <c r="O181" s="292"/>
      <c r="P181" s="292"/>
      <c r="Q181" s="292"/>
      <c r="R181" s="280">
        <f t="shared" ref="R181:S181" si="68">hundred * $H72 * R102 / $H44 / hours_in_year</f>
        <v>-6.1599503527650278E-2</v>
      </c>
      <c r="S181" s="280">
        <f t="shared" si="68"/>
        <v>0</v>
      </c>
      <c r="T181" s="280">
        <f t="shared" ref="T181:U181" si="69">hundred * $H72 * T102 / $H44 / hours_in_year</f>
        <v>-6.1599503527650278E-2</v>
      </c>
      <c r="U181" s="280">
        <f t="shared" si="69"/>
        <v>-6.1599503527650278E-2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374</v>
      </c>
      <c r="G182" t="s">
        <v>268</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375</v>
      </c>
      <c r="G183" s="91" t="s">
        <v>268</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676</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677</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678</v>
      </c>
      <c r="I188" t="s">
        <v>153</v>
      </c>
      <c r="J188" s="101"/>
      <c r="K188" s="101"/>
      <c r="L188" s="101"/>
      <c r="M188" s="101"/>
      <c r="N188" s="101"/>
      <c r="O188" s="101"/>
      <c r="P188" s="101"/>
      <c r="Q188" s="101"/>
      <c r="R188" s="101"/>
      <c r="S188" s="101"/>
      <c r="T188" s="101"/>
      <c r="U188" s="101"/>
      <c r="V188" s="101"/>
      <c r="W188" s="101"/>
      <c r="X188" s="101"/>
      <c r="Y188" s="101"/>
      <c r="AA188" t="s">
        <v>679</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153</v>
      </c>
      <c r="J191" s="101"/>
      <c r="K191" s="101"/>
      <c r="L191" s="101"/>
      <c r="M191" s="101"/>
      <c r="N191" s="101"/>
      <c r="O191" s="101"/>
      <c r="P191" s="101"/>
      <c r="Q191" s="101"/>
      <c r="R191" s="101"/>
      <c r="S191" s="101"/>
      <c r="T191" s="101"/>
      <c r="U191" s="101"/>
      <c r="V191" s="101"/>
      <c r="W191" s="101"/>
      <c r="X191" s="101"/>
      <c r="Y191" s="101"/>
      <c r="AA191" t="s">
        <v>680</v>
      </c>
    </row>
    <row r="192" spans="2:27" x14ac:dyDescent="0.25">
      <c r="E192" s="60" t="s">
        <v>618</v>
      </c>
      <c r="J192" s="101"/>
      <c r="K192" s="101"/>
      <c r="L192" s="101"/>
      <c r="M192" s="101"/>
      <c r="N192" s="101"/>
      <c r="O192" s="101"/>
      <c r="P192" s="101"/>
      <c r="Q192" s="101"/>
      <c r="R192" s="101"/>
      <c r="S192" s="101"/>
      <c r="T192" s="101"/>
      <c r="U192" s="101"/>
      <c r="V192" s="101"/>
      <c r="W192" s="101"/>
      <c r="X192" s="101"/>
      <c r="Y192" s="101"/>
    </row>
    <row r="193" spans="4:27" x14ac:dyDescent="0.25">
      <c r="F193" s="90" t="s">
        <v>188</v>
      </c>
      <c r="G193" s="90" t="s">
        <v>271</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190</v>
      </c>
      <c r="G194" t="s">
        <v>271</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191</v>
      </c>
      <c r="G195" t="s">
        <v>271</v>
      </c>
      <c r="H195" s="266"/>
      <c r="I195" s="266"/>
      <c r="J195" s="280">
        <f t="shared" ref="J195:K195" si="72">ABS(J125 + J160)*(1-J82)*PowerFactor*$H23</f>
        <v>1.5728314549999074E-2</v>
      </c>
      <c r="K195" s="280">
        <f t="shared" si="72"/>
        <v>1.5728314549999074E-2</v>
      </c>
      <c r="L195" s="280">
        <f t="shared" ref="L195:M195" si="73">ABS(L125 + L160)*(1-L82)*PowerFactor*$H23</f>
        <v>1.5330490492866514E-2</v>
      </c>
      <c r="M195" s="280">
        <f t="shared" si="73"/>
        <v>1.5330490492866514E-2</v>
      </c>
      <c r="N195" s="280">
        <f t="shared" ref="N195:P195" si="74">ABS(N125 + N160)*(1-N82)*PowerFactor*$H23</f>
        <v>1.3031330017874754E-2</v>
      </c>
      <c r="O195" s="280">
        <f t="shared" si="74"/>
        <v>1.0822794737776089E-2</v>
      </c>
      <c r="P195" s="280">
        <f t="shared" si="74"/>
        <v>9.0746387495230525E-3</v>
      </c>
      <c r="Q195" s="280">
        <f t="shared" ref="Q195:S195" si="75">ABS(Q125 + Q160)*(1-Q82)*PowerFactor*$H23</f>
        <v>1.5703254657777905E-2</v>
      </c>
      <c r="R195" s="280">
        <f t="shared" si="75"/>
        <v>8.4784973182074844E-3</v>
      </c>
      <c r="S195" s="280">
        <f t="shared" si="75"/>
        <v>7.7781644993045818E-3</v>
      </c>
      <c r="T195" s="280">
        <f t="shared" ref="T195:U195" si="76">ABS(T125 + T160)*(1-T82)*PowerFactor*$H23</f>
        <v>8.4784973182074844E-3</v>
      </c>
      <c r="U195" s="280">
        <f t="shared" si="76"/>
        <v>8.4784973182074844E-3</v>
      </c>
      <c r="V195" s="280">
        <f t="shared" ref="V195:W195" si="77">ABS(V125 + V160)*(1-V82)*PowerFactor*$H23</f>
        <v>7.7781644993045818E-3</v>
      </c>
      <c r="W195" s="280">
        <f t="shared" si="77"/>
        <v>7.7781644993045818E-3</v>
      </c>
      <c r="X195" s="280">
        <f t="shared" ref="X195:Y195" si="78">ABS(X125 + X160)*(1-X82)*PowerFactor*$H23</f>
        <v>7.6664092622456062E-3</v>
      </c>
      <c r="Y195" s="280">
        <f t="shared" si="78"/>
        <v>7.6664092622456062E-3</v>
      </c>
      <c r="Z195" s="266"/>
      <c r="AA195" s="266"/>
    </row>
    <row r="196" spans="4:27" x14ac:dyDescent="0.25">
      <c r="F196" t="s">
        <v>192</v>
      </c>
      <c r="G196" t="s">
        <v>271</v>
      </c>
      <c r="H196" s="266"/>
      <c r="I196" s="266"/>
      <c r="J196" s="280">
        <f t="shared" ref="J196:K196" si="79">ABS(J126 + J161)*(1-J83)*PowerFactor*$H24</f>
        <v>8.7445924642682252E-3</v>
      </c>
      <c r="K196" s="280">
        <f t="shared" si="79"/>
        <v>8.7445924642682252E-3</v>
      </c>
      <c r="L196" s="280">
        <f t="shared" ref="L196:M196" si="80">ABS(L126 + L161)*(1-L83)*PowerFactor*$H24</f>
        <v>8.523411151989204E-3</v>
      </c>
      <c r="M196" s="280">
        <f t="shared" si="80"/>
        <v>8.523411151989204E-3</v>
      </c>
      <c r="N196" s="280">
        <f t="shared" ref="N196:P196" si="81">ABS(N126 + N161)*(1-N83)*PowerFactor*$H24</f>
        <v>7.2451291529966617E-3</v>
      </c>
      <c r="O196" s="280">
        <f t="shared" si="81"/>
        <v>6.0172327432429264E-3</v>
      </c>
      <c r="P196" s="280">
        <f t="shared" si="81"/>
        <v>5.0452969625432867E-3</v>
      </c>
      <c r="Q196" s="280">
        <f t="shared" ref="Q196:S196" si="82">ABS(Q126 + Q161)*(1-Q83)*PowerFactor*$H24</f>
        <v>8.7306597225255533E-3</v>
      </c>
      <c r="R196" s="280">
        <f t="shared" si="82"/>
        <v>4.7138556087130048E-3</v>
      </c>
      <c r="S196" s="280">
        <f t="shared" si="82"/>
        <v>4.3244861647595591E-3</v>
      </c>
      <c r="T196" s="280">
        <f t="shared" ref="T196:U196" si="83">ABS(T126 + T161)*(1-T83)*PowerFactor*$H24</f>
        <v>4.7138556087130048E-3</v>
      </c>
      <c r="U196" s="280">
        <f t="shared" si="83"/>
        <v>4.7138556087130048E-3</v>
      </c>
      <c r="V196" s="280">
        <f t="shared" ref="V196:W196" si="84">ABS(V126 + V161)*(1-V83)*PowerFactor*$H24</f>
        <v>4.3244861647595591E-3</v>
      </c>
      <c r="W196" s="280">
        <f t="shared" si="84"/>
        <v>4.3244861647595591E-3</v>
      </c>
      <c r="X196" s="280">
        <f t="shared" ref="X196:Y196" si="85">ABS(X126 + X161)*(1-X83)*PowerFactor*$H24</f>
        <v>4.2623527428520928E-3</v>
      </c>
      <c r="Y196" s="280">
        <f t="shared" si="85"/>
        <v>4.2623527428520928E-3</v>
      </c>
      <c r="Z196" s="266"/>
      <c r="AA196" s="266"/>
    </row>
    <row r="197" spans="4:27" x14ac:dyDescent="0.25">
      <c r="F197" t="s">
        <v>193</v>
      </c>
      <c r="G197" t="s">
        <v>271</v>
      </c>
      <c r="H197" s="266"/>
      <c r="I197" s="266"/>
      <c r="J197" s="280">
        <f t="shared" ref="J197:K197" si="86">ABS(J127 + J162)*(1-J84)*PowerFactor*$H25</f>
        <v>3.0074661893197959E-2</v>
      </c>
      <c r="K197" s="280">
        <f t="shared" si="86"/>
        <v>3.0074661893197959E-2</v>
      </c>
      <c r="L197" s="280">
        <f t="shared" ref="L197:M197" si="87">ABS(L127 + L162)*(1-L84)*PowerFactor*$H25</f>
        <v>2.9313968560596544E-2</v>
      </c>
      <c r="M197" s="280">
        <f t="shared" si="87"/>
        <v>2.9313968560596544E-2</v>
      </c>
      <c r="N197" s="280">
        <f t="shared" ref="N197:P197" si="88">ABS(N127 + N162)*(1-N84)*PowerFactor*$H25</f>
        <v>2.491766317747553E-2</v>
      </c>
      <c r="O197" s="280">
        <f t="shared" si="88"/>
        <v>2.0694645408024157E-2</v>
      </c>
      <c r="P197" s="280">
        <f t="shared" si="88"/>
        <v>1.3881548023584492E-2</v>
      </c>
      <c r="Q197" s="280">
        <f t="shared" ref="Q197:S197" si="89">ABS(Q127 + Q162)*(1-Q84)*PowerFactor*$H25</f>
        <v>3.0026743994351526E-2</v>
      </c>
      <c r="R197" s="280">
        <f t="shared" si="89"/>
        <v>1.6212032090081176E-2</v>
      </c>
      <c r="S197" s="280">
        <f t="shared" si="89"/>
        <v>1.4872901144151802E-2</v>
      </c>
      <c r="T197" s="280">
        <f t="shared" ref="T197:U197" si="90">ABS(T127 + T162)*(1-T84)*PowerFactor*$H25</f>
        <v>1.6212032090081176E-2</v>
      </c>
      <c r="U197" s="280">
        <f t="shared" si="90"/>
        <v>1.6212032090081176E-2</v>
      </c>
      <c r="V197" s="280">
        <f t="shared" ref="V197:W197" si="91">ABS(V127 + V162)*(1-V84)*PowerFactor*$H25</f>
        <v>1.4872901144151802E-2</v>
      </c>
      <c r="W197" s="280">
        <f t="shared" si="91"/>
        <v>1.4872901144151802E-2</v>
      </c>
      <c r="X197" s="280">
        <f t="shared" ref="X197:Y197" si="92">ABS(X127 + X162)*(1-X84)*PowerFactor*$H25</f>
        <v>1.4659210035758817E-2</v>
      </c>
      <c r="Y197" s="280">
        <f t="shared" si="92"/>
        <v>1.4659210035758817E-2</v>
      </c>
      <c r="Z197" s="266"/>
      <c r="AA197" s="266"/>
    </row>
    <row r="198" spans="4:27" x14ac:dyDescent="0.25">
      <c r="F198" t="s">
        <v>194</v>
      </c>
      <c r="G198" t="s">
        <v>271</v>
      </c>
      <c r="H198" s="266"/>
      <c r="I198" s="266"/>
      <c r="J198" s="280">
        <f t="shared" ref="J198:K198" si="93">ABS(J128 + J163)*(1-J85)*PowerFactor*$H26</f>
        <v>1.4084211560357178E-2</v>
      </c>
      <c r="K198" s="280">
        <f t="shared" si="93"/>
        <v>1.4084211560357178E-2</v>
      </c>
      <c r="L198" s="280">
        <f t="shared" ref="L198:M198" si="94">ABS(L128 + L163)*(1-L85)*PowerFactor*$H26</f>
        <v>1.3727972615196017E-2</v>
      </c>
      <c r="M198" s="280">
        <f t="shared" si="94"/>
        <v>1.3727972615196017E-2</v>
      </c>
      <c r="N198" s="280">
        <f t="shared" ref="N198:P198" si="95">ABS(N128 + N163)*(1-N85)*PowerFactor*$H26</f>
        <v>1.1669146640037915E-2</v>
      </c>
      <c r="O198" s="280">
        <f t="shared" si="95"/>
        <v>9.6914726798344574E-3</v>
      </c>
      <c r="P198" s="280">
        <f t="shared" si="95"/>
        <v>0</v>
      </c>
      <c r="Q198" s="280">
        <f t="shared" ref="Q198:S198" si="96">ABS(Q128 + Q163)*(1-Q85)*PowerFactor*$H26</f>
        <v>1.4061771214152204E-2</v>
      </c>
      <c r="R198" s="280">
        <f t="shared" si="96"/>
        <v>7.5922279888255536E-3</v>
      </c>
      <c r="S198" s="280">
        <f t="shared" si="96"/>
        <v>6.9651019510842526E-3</v>
      </c>
      <c r="T198" s="280">
        <f t="shared" ref="T198:U198" si="97">ABS(T128 + T163)*(1-T85)*PowerFactor*$H26</f>
        <v>7.5922279888255536E-3</v>
      </c>
      <c r="U198" s="280">
        <f t="shared" si="97"/>
        <v>7.5922279888255536E-3</v>
      </c>
      <c r="V198" s="280">
        <f t="shared" ref="V198:W198" si="98">ABS(V128 + V163)*(1-V85)*PowerFactor*$H26</f>
        <v>6.9651019510842526E-3</v>
      </c>
      <c r="W198" s="280">
        <f t="shared" si="98"/>
        <v>6.9651019510842526E-3</v>
      </c>
      <c r="X198" s="280">
        <f t="shared" ref="X198:Y198" si="99">ABS(X128 + X163)*(1-X85)*PowerFactor*$H26</f>
        <v>6.8650286471893633E-3</v>
      </c>
      <c r="Y198" s="280">
        <f t="shared" si="99"/>
        <v>6.8650286471893633E-3</v>
      </c>
      <c r="Z198" s="266"/>
      <c r="AA198" s="266"/>
    </row>
    <row r="199" spans="4:27" x14ac:dyDescent="0.25">
      <c r="F199" t="s">
        <v>195</v>
      </c>
      <c r="G199" t="s">
        <v>271</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25">
      <c r="F200" t="s">
        <v>196</v>
      </c>
      <c r="G200" t="s">
        <v>271</v>
      </c>
      <c r="H200" s="266"/>
      <c r="I200" s="266"/>
      <c r="J200" s="280">
        <f t="shared" ref="J200:K200" si="107">ABS(J130 + J165)*(1-J87)*PowerFactor*$H28</f>
        <v>4.345949667884573E-2</v>
      </c>
      <c r="K200" s="280">
        <f t="shared" si="107"/>
        <v>4.345949667884573E-2</v>
      </c>
      <c r="L200" s="280">
        <f t="shared" ref="L200:M200" si="108">ABS(L130 + L165)*(1-L87)*PowerFactor*$H28</f>
        <v>4.2360254084557798E-2</v>
      </c>
      <c r="M200" s="280">
        <f t="shared" si="108"/>
        <v>4.2360254084557798E-2</v>
      </c>
      <c r="N200" s="280">
        <f t="shared" ref="N200:P200" si="109">ABS(N130 + N165)*(1-N87)*PowerFactor*$H28</f>
        <v>2.8805885936852849E-2</v>
      </c>
      <c r="O200" s="280">
        <f t="shared" si="109"/>
        <v>0</v>
      </c>
      <c r="P200" s="280">
        <f t="shared" si="109"/>
        <v>0</v>
      </c>
      <c r="Q200" s="280">
        <f t="shared" ref="Q200:S200" si="110">ABS(Q130 + Q165)*(1-Q87)*PowerFactor*$H28</f>
        <v>4.3390252749415402E-2</v>
      </c>
      <c r="R200" s="280">
        <f t="shared" si="110"/>
        <v>2.3427254387041886E-2</v>
      </c>
      <c r="S200" s="280">
        <f t="shared" si="110"/>
        <v>2.1492138471064796E-2</v>
      </c>
      <c r="T200" s="280">
        <f t="shared" ref="T200:U200" si="111">ABS(T130 + T165)*(1-T87)*PowerFactor*$H28</f>
        <v>2.3427254387041886E-2</v>
      </c>
      <c r="U200" s="280">
        <f t="shared" si="111"/>
        <v>2.3427254387041886E-2</v>
      </c>
      <c r="V200" s="280">
        <f t="shared" ref="V200:W200" si="112">ABS(V130 + V165)*(1-V87)*PowerFactor*$H28</f>
        <v>2.1492138471064796E-2</v>
      </c>
      <c r="W200" s="280">
        <f t="shared" si="112"/>
        <v>2.1492138471064796E-2</v>
      </c>
      <c r="X200" s="280">
        <f t="shared" ref="X200:Y200" si="113">ABS(X130 + X165)*(1-X87)*PowerFactor*$H28</f>
        <v>2.118334337808972E-2</v>
      </c>
      <c r="Y200" s="280">
        <f t="shared" si="113"/>
        <v>2.118334337808972E-2</v>
      </c>
      <c r="Z200" s="266"/>
      <c r="AA200" s="266"/>
    </row>
    <row r="201" spans="4:27" x14ac:dyDescent="0.25">
      <c r="F201" t="s">
        <v>197</v>
      </c>
      <c r="G201" t="s">
        <v>271</v>
      </c>
      <c r="H201" s="266"/>
      <c r="I201" s="266"/>
      <c r="J201" s="280">
        <f t="shared" ref="J201:K201" si="114">ABS(J131 + J166)*(1-J88)*PowerFactor*$H29</f>
        <v>1.5352656327722229E-2</v>
      </c>
      <c r="K201" s="280">
        <f t="shared" si="114"/>
        <v>1.5352656327722229E-2</v>
      </c>
      <c r="L201" s="280">
        <f t="shared" ref="L201:M201" si="115">ABS(L131 + L166)*(1-L88)*PowerFactor*$H29</f>
        <v>1.4964333980236071E-2</v>
      </c>
      <c r="M201" s="280">
        <f t="shared" si="115"/>
        <v>1.4964333980236071E-2</v>
      </c>
      <c r="N201" s="280">
        <f t="shared" ref="N201:P201" si="116">ABS(N131 + N166)*(1-N88)*PowerFactor*$H29</f>
        <v>0</v>
      </c>
      <c r="O201" s="280">
        <f t="shared" si="116"/>
        <v>0</v>
      </c>
      <c r="P201" s="280">
        <f t="shared" si="116"/>
        <v>0</v>
      </c>
      <c r="Q201" s="280">
        <f t="shared" ref="Q201:S201" si="117">ABS(Q131 + Q166)*(1-Q88)*PowerFactor*$H29</f>
        <v>1.532819497099781E-2</v>
      </c>
      <c r="R201" s="280">
        <f t="shared" si="117"/>
        <v>8.2759951861441968E-3</v>
      </c>
      <c r="S201" s="280">
        <f t="shared" si="117"/>
        <v>7.5923892568844839E-3</v>
      </c>
      <c r="T201" s="280">
        <f t="shared" ref="T201:U201" si="118">ABS(T131 + T166)*(1-T88)*PowerFactor*$H29</f>
        <v>8.2759951861441968E-3</v>
      </c>
      <c r="U201" s="280">
        <f t="shared" si="118"/>
        <v>8.2759951861441968E-3</v>
      </c>
      <c r="V201" s="280">
        <f t="shared" ref="V201:W201" si="119">ABS(V131 + V166)*(1-V88)*PowerFactor*$H29</f>
        <v>7.5923892568844839E-3</v>
      </c>
      <c r="W201" s="280">
        <f t="shared" si="119"/>
        <v>7.5923892568844839E-3</v>
      </c>
      <c r="X201" s="280">
        <f t="shared" ref="X201:Y201" si="120">ABS(X131 + X166)*(1-X88)*PowerFactor*$H29</f>
        <v>0</v>
      </c>
      <c r="Y201" s="280">
        <f t="shared" si="120"/>
        <v>0</v>
      </c>
      <c r="Z201" s="266"/>
      <c r="AA201" s="266"/>
    </row>
    <row r="202" spans="4:27" x14ac:dyDescent="0.25">
      <c r="F202" t="s">
        <v>198</v>
      </c>
      <c r="G202" t="s">
        <v>271</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0</v>
      </c>
      <c r="R202" s="280">
        <f t="shared" si="124"/>
        <v>0</v>
      </c>
      <c r="S202" s="280">
        <f t="shared" si="124"/>
        <v>0</v>
      </c>
      <c r="T202" s="280">
        <f t="shared" ref="T202:U202" si="125">ABS(T132 + T167)*(1-T89)*PowerFactor*$H30</f>
        <v>0</v>
      </c>
      <c r="U202" s="280">
        <f t="shared" si="125"/>
        <v>0</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374</v>
      </c>
      <c r="G203" t="s">
        <v>271</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375</v>
      </c>
      <c r="G204" s="91" t="s">
        <v>271</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619</v>
      </c>
      <c r="J206" s="101"/>
      <c r="K206" s="101"/>
      <c r="L206" s="101"/>
      <c r="M206" s="101"/>
      <c r="N206" s="101"/>
      <c r="O206" s="101"/>
      <c r="P206" s="101"/>
      <c r="Q206" s="101"/>
      <c r="R206" s="101"/>
      <c r="S206" s="101"/>
      <c r="T206" s="101"/>
      <c r="U206" s="101"/>
      <c r="V206" s="101"/>
      <c r="W206" s="101"/>
      <c r="X206" s="101"/>
      <c r="Y206" s="101"/>
    </row>
    <row r="207" spans="4:27" x14ac:dyDescent="0.25">
      <c r="F207" s="90" t="s">
        <v>188</v>
      </c>
      <c r="G207" s="90" t="s">
        <v>271</v>
      </c>
      <c r="H207" s="264"/>
      <c r="I207" s="264"/>
      <c r="J207" s="279">
        <f t="shared" ref="J207:K207" si="128">ABS(J137 + J172)*(1-J81)*PowerFactor*$H22</f>
        <v>1.1860847056359061E-2</v>
      </c>
      <c r="K207" s="279">
        <f t="shared" si="128"/>
        <v>1.1860847056359061E-2</v>
      </c>
      <c r="L207" s="279">
        <f t="shared" ref="L207:M207" si="129">ABS(L137 + L172)*(1-L81)*PowerFactor*$H22</f>
        <v>1.1560844771817399E-2</v>
      </c>
      <c r="M207" s="279">
        <f t="shared" si="129"/>
        <v>1.1560844771817399E-2</v>
      </c>
      <c r="N207" s="279">
        <f t="shared" ref="N207:P207" si="130">ABS(N137 + N172)*(1-N81)*PowerFactor*$H22</f>
        <v>9.8270295772386052E-3</v>
      </c>
      <c r="O207" s="279">
        <f t="shared" si="130"/>
        <v>8.1615555626802592E-3</v>
      </c>
      <c r="P207" s="279">
        <f t="shared" si="130"/>
        <v>6.8432572325309122E-3</v>
      </c>
      <c r="Q207" s="279">
        <f t="shared" ref="Q207:S207" si="131">ABS(Q137 + Q172)*(1-Q81)*PowerFactor*$H22</f>
        <v>1.184194919238646E-2</v>
      </c>
      <c r="R207" s="279">
        <f t="shared" si="131"/>
        <v>6.3937022393168843E-3</v>
      </c>
      <c r="S207" s="279">
        <f t="shared" si="131"/>
        <v>5.8655756923082841E-3</v>
      </c>
      <c r="T207" s="279">
        <f t="shared" ref="T207:U207" si="132">ABS(T137 + T172)*(1-T81)*PowerFactor*$H22</f>
        <v>6.3937022393168843E-3</v>
      </c>
      <c r="U207" s="279">
        <f t="shared" si="132"/>
        <v>6.3937022393168843E-3</v>
      </c>
      <c r="V207" s="279">
        <f t="shared" ref="V207:W207" si="133">ABS(V137 + V172)*(1-V81)*PowerFactor*$H22</f>
        <v>5.8655756923082841E-3</v>
      </c>
      <c r="W207" s="279">
        <f t="shared" si="133"/>
        <v>5.8655756923082841E-3</v>
      </c>
      <c r="X207" s="279">
        <f t="shared" ref="X207:Y207" si="134">ABS(X137 + X172)*(1-X81)*PowerFactor*$H22</f>
        <v>5.781300179487762E-3</v>
      </c>
      <c r="Y207" s="279">
        <f t="shared" si="134"/>
        <v>5.781300179487762E-3</v>
      </c>
      <c r="Z207" s="266"/>
      <c r="AA207" s="266"/>
    </row>
    <row r="208" spans="4:27" x14ac:dyDescent="0.25">
      <c r="F208" t="s">
        <v>190</v>
      </c>
      <c r="G208" t="s">
        <v>271</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191</v>
      </c>
      <c r="G209" t="s">
        <v>271</v>
      </c>
      <c r="H209" s="266"/>
      <c r="I209" s="266"/>
      <c r="J209" s="280">
        <f t="shared" ref="J209:K209" si="142">ABS(J139 + J174)*(1-J82)*PowerFactor*$H23</f>
        <v>6.9731072216268697E-3</v>
      </c>
      <c r="K209" s="280">
        <f t="shared" si="142"/>
        <v>6.9731072216268697E-3</v>
      </c>
      <c r="L209" s="280">
        <f t="shared" ref="L209:M209" si="143">ABS(L139 + L174)*(1-L82)*PowerFactor*$H23</f>
        <v>6.7967329637933678E-3</v>
      </c>
      <c r="M209" s="280">
        <f t="shared" si="143"/>
        <v>6.7967329637933678E-3</v>
      </c>
      <c r="N209" s="280">
        <f t="shared" ref="N209:P209" si="144">ABS(N139 + N174)*(1-N82)*PowerFactor*$H23</f>
        <v>5.7774061655608737E-3</v>
      </c>
      <c r="O209" s="280">
        <f t="shared" si="144"/>
        <v>4.7982578110491924E-3</v>
      </c>
      <c r="P209" s="280">
        <f t="shared" si="144"/>
        <v>4.023217414478651E-3</v>
      </c>
      <c r="Q209" s="280">
        <f t="shared" ref="Q209:S209" si="145">ABS(Q139 + Q174)*(1-Q82)*PowerFactor*$H23</f>
        <v>6.9619969837901863E-3</v>
      </c>
      <c r="R209" s="280">
        <f t="shared" si="145"/>
        <v>3.7589196661978082E-3</v>
      </c>
      <c r="S209" s="280">
        <f t="shared" si="145"/>
        <v>3.4484289380584464E-3</v>
      </c>
      <c r="T209" s="280">
        <f t="shared" ref="T209:U209" si="146">ABS(T139 + T174)*(1-T82)*PowerFactor*$H23</f>
        <v>3.7589196661978082E-3</v>
      </c>
      <c r="U209" s="280">
        <f t="shared" si="146"/>
        <v>3.7589196661978082E-3</v>
      </c>
      <c r="V209" s="280">
        <f t="shared" ref="V209:W209" si="147">ABS(V139 + V174)*(1-V82)*PowerFactor*$H23</f>
        <v>3.4484289380584464E-3</v>
      </c>
      <c r="W209" s="280">
        <f t="shared" si="147"/>
        <v>3.4484289380584464E-3</v>
      </c>
      <c r="X209" s="280">
        <f t="shared" ref="X209:Y209" si="148">ABS(X139 + X174)*(1-X82)*PowerFactor*$H23</f>
        <v>3.3988825452702497E-3</v>
      </c>
      <c r="Y209" s="280">
        <f t="shared" si="148"/>
        <v>3.3988825452702497E-3</v>
      </c>
      <c r="Z209" s="266"/>
      <c r="AA209" s="266"/>
    </row>
    <row r="210" spans="3:27" x14ac:dyDescent="0.25">
      <c r="F210" t="s">
        <v>192</v>
      </c>
      <c r="G210" t="s">
        <v>271</v>
      </c>
      <c r="H210" s="266"/>
      <c r="I210" s="266"/>
      <c r="J210" s="280">
        <f t="shared" ref="J210:K210" si="149">ABS(J140 + J175)*(1-J83)*PowerFactor*$H24</f>
        <v>3.8768922549794896E-3</v>
      </c>
      <c r="K210" s="280">
        <f t="shared" si="149"/>
        <v>3.8768922549794896E-3</v>
      </c>
      <c r="L210" s="280">
        <f t="shared" ref="L210:M210" si="150">ABS(L140 + L175)*(1-L83)*PowerFactor*$H24</f>
        <v>3.7788320972277595E-3</v>
      </c>
      <c r="M210" s="280">
        <f t="shared" si="150"/>
        <v>3.7788320972277595E-3</v>
      </c>
      <c r="N210" s="280">
        <f t="shared" ref="N210:P210" si="151">ABS(N140 + N175)*(1-N83)*PowerFactor*$H24</f>
        <v>3.2121091079262113E-3</v>
      </c>
      <c r="O210" s="280">
        <f t="shared" si="151"/>
        <v>2.6677244381610719E-3</v>
      </c>
      <c r="P210" s="280">
        <f t="shared" si="151"/>
        <v>2.2368192455029935E-3</v>
      </c>
      <c r="Q210" s="280">
        <f t="shared" ref="Q210:S210" si="152">ABS(Q140 + Q175)*(1-Q83)*PowerFactor*$H24</f>
        <v>3.8707152102774632E-3</v>
      </c>
      <c r="R210" s="280">
        <f t="shared" si="152"/>
        <v>2.0898755859905475E-3</v>
      </c>
      <c r="S210" s="280">
        <f t="shared" si="152"/>
        <v>1.9172496588524882E-3</v>
      </c>
      <c r="T210" s="280">
        <f t="shared" ref="T210:U210" si="153">ABS(T140 + T175)*(1-T83)*PowerFactor*$H24</f>
        <v>2.0898755859905475E-3</v>
      </c>
      <c r="U210" s="280">
        <f t="shared" si="153"/>
        <v>2.0898755859905475E-3</v>
      </c>
      <c r="V210" s="280">
        <f t="shared" ref="V210:W210" si="154">ABS(V140 + V175)*(1-V83)*PowerFactor*$H24</f>
        <v>1.9172496588524882E-3</v>
      </c>
      <c r="W210" s="280">
        <f t="shared" si="154"/>
        <v>1.9172496588524882E-3</v>
      </c>
      <c r="X210" s="280">
        <f t="shared" ref="X210:Y210" si="155">ABS(X140 + X175)*(1-X83)*PowerFactor*$H24</f>
        <v>1.8897029683517341E-3</v>
      </c>
      <c r="Y210" s="280">
        <f t="shared" si="155"/>
        <v>1.8897029683517341E-3</v>
      </c>
      <c r="Z210" s="266"/>
      <c r="AA210" s="266"/>
    </row>
    <row r="211" spans="3:27" x14ac:dyDescent="0.25">
      <c r="F211" t="s">
        <v>193</v>
      </c>
      <c r="G211" t="s">
        <v>271</v>
      </c>
      <c r="H211" s="266"/>
      <c r="I211" s="266"/>
      <c r="J211" s="280">
        <f t="shared" ref="J211:K211" si="156">ABS(J141 + J176)*(1-J84)*PowerFactor*$H25</f>
        <v>1.3333522887578398E-2</v>
      </c>
      <c r="K211" s="280">
        <f t="shared" si="156"/>
        <v>1.3333522887578398E-2</v>
      </c>
      <c r="L211" s="280">
        <f t="shared" ref="L211:M211" si="157">ABS(L141 + L176)*(1-L84)*PowerFactor*$H25</f>
        <v>1.2996271483167324E-2</v>
      </c>
      <c r="M211" s="280">
        <f t="shared" si="157"/>
        <v>1.2996271483167324E-2</v>
      </c>
      <c r="N211" s="280">
        <f t="shared" ref="N211:P211" si="158">ABS(N141 + N176)*(1-N84)*PowerFactor*$H25</f>
        <v>1.1047180961225795E-2</v>
      </c>
      <c r="O211" s="280">
        <f t="shared" si="158"/>
        <v>9.1749170507089695E-3</v>
      </c>
      <c r="P211" s="280">
        <f t="shared" si="158"/>
        <v>6.154348100230668E-3</v>
      </c>
      <c r="Q211" s="280">
        <f t="shared" ref="Q211:S211" si="159">ABS(Q141 + Q176)*(1-Q84)*PowerFactor*$H25</f>
        <v>1.3312278612139409E-2</v>
      </c>
      <c r="R211" s="280">
        <f t="shared" si="159"/>
        <v>7.1875621310357246E-3</v>
      </c>
      <c r="S211" s="280">
        <f t="shared" si="159"/>
        <v>6.5938619198605431E-3</v>
      </c>
      <c r="T211" s="280">
        <f t="shared" ref="T211:U211" si="160">ABS(T141 + T176)*(1-T84)*PowerFactor*$H25</f>
        <v>7.1875621310357246E-3</v>
      </c>
      <c r="U211" s="280">
        <f t="shared" si="160"/>
        <v>7.1875621310357246E-3</v>
      </c>
      <c r="V211" s="280">
        <f t="shared" ref="V211:W211" si="161">ABS(V141 + V176)*(1-V84)*PowerFactor*$H25</f>
        <v>6.5938619198605431E-3</v>
      </c>
      <c r="W211" s="280">
        <f t="shared" si="161"/>
        <v>6.5938619198605431E-3</v>
      </c>
      <c r="X211" s="280">
        <f t="shared" ref="X211:Y211" si="162">ABS(X141 + X176)*(1-X84)*PowerFactor*$H25</f>
        <v>6.4991225244602473E-3</v>
      </c>
      <c r="Y211" s="280">
        <f t="shared" si="162"/>
        <v>6.4991225244602473E-3</v>
      </c>
      <c r="Z211" s="266"/>
      <c r="AA211" s="266"/>
    </row>
    <row r="212" spans="3:27" x14ac:dyDescent="0.25">
      <c r="F212" t="s">
        <v>194</v>
      </c>
      <c r="G212" t="s">
        <v>271</v>
      </c>
      <c r="H212" s="266"/>
      <c r="I212" s="266"/>
      <c r="J212" s="280">
        <f t="shared" ref="J212:K212" si="163">ABS(J142 + J177)*(1-J85)*PowerFactor*$H26</f>
        <v>6.2441984505232969E-3</v>
      </c>
      <c r="K212" s="280">
        <f t="shared" si="163"/>
        <v>6.2441984505232969E-3</v>
      </c>
      <c r="L212" s="280">
        <f t="shared" ref="L212:M212" si="164">ABS(L142 + L177)*(1-L85)*PowerFactor*$H26</f>
        <v>6.0862608435895537E-3</v>
      </c>
      <c r="M212" s="280">
        <f t="shared" si="164"/>
        <v>6.0862608435895537E-3</v>
      </c>
      <c r="N212" s="280">
        <f t="shared" ref="N212:P212" si="165">ABS(N142 + N177)*(1-N85)*PowerFactor*$H26</f>
        <v>5.1734857188417598E-3</v>
      </c>
      <c r="O212" s="280">
        <f t="shared" si="165"/>
        <v>4.2966891282039581E-3</v>
      </c>
      <c r="P212" s="280">
        <f t="shared" si="165"/>
        <v>0</v>
      </c>
      <c r="Q212" s="280">
        <f t="shared" ref="Q212:S212" si="166">ABS(Q142 + Q177)*(1-Q85)*PowerFactor*$H26</f>
        <v>6.2342495815786757E-3</v>
      </c>
      <c r="R212" s="280">
        <f t="shared" si="166"/>
        <v>3.365994471233424E-3</v>
      </c>
      <c r="S212" s="280">
        <f t="shared" si="166"/>
        <v>3.0879597785304874E-3</v>
      </c>
      <c r="T212" s="280">
        <f t="shared" ref="T212:U212" si="167">ABS(T142 + T177)*(1-T85)*PowerFactor*$H26</f>
        <v>3.365994471233424E-3</v>
      </c>
      <c r="U212" s="280">
        <f t="shared" si="167"/>
        <v>3.365994471233424E-3</v>
      </c>
      <c r="V212" s="280">
        <f t="shared" ref="V212:W212" si="168">ABS(V142 + V177)*(1-V85)*PowerFactor*$H26</f>
        <v>3.0879597785304874E-3</v>
      </c>
      <c r="W212" s="280">
        <f t="shared" si="168"/>
        <v>3.0879597785304874E-3</v>
      </c>
      <c r="X212" s="280">
        <f t="shared" ref="X212:Y212" si="169">ABS(X142 + X177)*(1-X85)*PowerFactor*$H26</f>
        <v>3.0435925403332104E-3</v>
      </c>
      <c r="Y212" s="280">
        <f t="shared" si="169"/>
        <v>3.0435925403332104E-3</v>
      </c>
      <c r="Z212" s="266"/>
      <c r="AA212" s="266"/>
    </row>
    <row r="213" spans="3:27" x14ac:dyDescent="0.25">
      <c r="F213" t="s">
        <v>195</v>
      </c>
      <c r="G213" t="s">
        <v>271</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25">
      <c r="F214" t="s">
        <v>196</v>
      </c>
      <c r="G214" t="s">
        <v>271</v>
      </c>
      <c r="H214" s="266"/>
      <c r="I214" s="266"/>
      <c r="J214" s="280">
        <f t="shared" ref="J214:K214" si="177">ABS(J144 + J179)*(1-J87)*PowerFactor*$H28</f>
        <v>1.926765446966127E-2</v>
      </c>
      <c r="K214" s="280">
        <f t="shared" si="177"/>
        <v>1.926765446966127E-2</v>
      </c>
      <c r="L214" s="280">
        <f t="shared" ref="L214:M214" si="178">ABS(L144 + L179)*(1-L87)*PowerFactor*$H28</f>
        <v>1.8780308133333742E-2</v>
      </c>
      <c r="M214" s="280">
        <f t="shared" si="178"/>
        <v>1.8780308133333742E-2</v>
      </c>
      <c r="N214" s="280">
        <f t="shared" ref="N214:P214" si="179">ABS(N144 + N179)*(1-N87)*PowerFactor*$H28</f>
        <v>1.2771014377483972E-2</v>
      </c>
      <c r="O214" s="280">
        <f t="shared" si="179"/>
        <v>0</v>
      </c>
      <c r="P214" s="280">
        <f t="shared" si="179"/>
        <v>0</v>
      </c>
      <c r="Q214" s="280">
        <f t="shared" ref="Q214:S214" si="180">ABS(Q144 + Q179)*(1-Q87)*PowerFactor*$H28</f>
        <v>1.9236955354201089E-2</v>
      </c>
      <c r="R214" s="280">
        <f t="shared" si="180"/>
        <v>1.0386412112363377E-2</v>
      </c>
      <c r="S214" s="280">
        <f t="shared" si="180"/>
        <v>9.5284835196022561E-3</v>
      </c>
      <c r="T214" s="280">
        <f t="shared" ref="T214:U214" si="181">ABS(T144 + T179)*(1-T87)*PowerFactor*$H28</f>
        <v>1.0386412112363377E-2</v>
      </c>
      <c r="U214" s="280">
        <f t="shared" si="181"/>
        <v>1.0386412112363377E-2</v>
      </c>
      <c r="V214" s="280">
        <f t="shared" ref="V214:W214" si="182">ABS(V144 + V179)*(1-V87)*PowerFactor*$H28</f>
        <v>9.5284835196022561E-3</v>
      </c>
      <c r="W214" s="280">
        <f t="shared" si="182"/>
        <v>9.5284835196022561E-3</v>
      </c>
      <c r="X214" s="280">
        <f t="shared" ref="X214:Y214" si="183">ABS(X144 + X179)*(1-X87)*PowerFactor*$H28</f>
        <v>9.3915800207573941E-3</v>
      </c>
      <c r="Y214" s="280">
        <f t="shared" si="183"/>
        <v>9.3915800207573941E-3</v>
      </c>
      <c r="Z214" s="266"/>
      <c r="AA214" s="266"/>
    </row>
    <row r="215" spans="3:27" x14ac:dyDescent="0.25">
      <c r="F215" t="s">
        <v>197</v>
      </c>
      <c r="G215" t="s">
        <v>271</v>
      </c>
      <c r="H215" s="266"/>
      <c r="I215" s="266"/>
      <c r="J215" s="280">
        <f t="shared" ref="J215:K215" si="184">ABS(J145 + J180)*(1-J88)*PowerFactor*$H29</f>
        <v>6.8065601288474741E-3</v>
      </c>
      <c r="K215" s="280">
        <f t="shared" si="184"/>
        <v>6.8065601288474741E-3</v>
      </c>
      <c r="L215" s="280">
        <f t="shared" ref="L215:M215" si="185">ABS(L145 + L180)*(1-L88)*PowerFactor*$H29</f>
        <v>6.6343984291963821E-3</v>
      </c>
      <c r="M215" s="280">
        <f t="shared" si="185"/>
        <v>6.6343984291963821E-3</v>
      </c>
      <c r="N215" s="280">
        <f t="shared" ref="N215:P215" si="186">ABS(N145 + N180)*(1-N88)*PowerFactor*$H29</f>
        <v>0</v>
      </c>
      <c r="O215" s="280">
        <f t="shared" si="186"/>
        <v>0</v>
      </c>
      <c r="P215" s="280">
        <f t="shared" si="186"/>
        <v>0</v>
      </c>
      <c r="Q215" s="280">
        <f t="shared" ref="Q215:S215" si="187">ABS(Q145 + Q180)*(1-Q88)*PowerFactor*$H29</f>
        <v>6.7957152501617393E-3</v>
      </c>
      <c r="R215" s="280">
        <f t="shared" si="187"/>
        <v>3.6691408742619974E-3</v>
      </c>
      <c r="S215" s="280">
        <f t="shared" si="187"/>
        <v>3.3660659690066129E-3</v>
      </c>
      <c r="T215" s="280">
        <f t="shared" ref="T215:U215" si="188">ABS(T145 + T180)*(1-T88)*PowerFactor*$H29</f>
        <v>3.6691408742619974E-3</v>
      </c>
      <c r="U215" s="280">
        <f t="shared" si="188"/>
        <v>3.6691408742619974E-3</v>
      </c>
      <c r="V215" s="280">
        <f t="shared" ref="V215:W215" si="189">ABS(V145 + V180)*(1-V88)*PowerFactor*$H29</f>
        <v>3.3660659690066129E-3</v>
      </c>
      <c r="W215" s="280">
        <f t="shared" si="189"/>
        <v>3.3660659690066129E-3</v>
      </c>
      <c r="X215" s="280">
        <f t="shared" ref="X215:Y215" si="190">ABS(X145 + X180)*(1-X88)*PowerFactor*$H29</f>
        <v>0</v>
      </c>
      <c r="Y215" s="280">
        <f t="shared" si="190"/>
        <v>0</v>
      </c>
      <c r="Z215" s="266"/>
      <c r="AA215" s="266"/>
    </row>
    <row r="216" spans="3:27" x14ac:dyDescent="0.25">
      <c r="F216" t="s">
        <v>198</v>
      </c>
      <c r="G216" t="s">
        <v>271</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0</v>
      </c>
      <c r="R216" s="280">
        <f t="shared" si="194"/>
        <v>0</v>
      </c>
      <c r="S216" s="280">
        <f t="shared" si="194"/>
        <v>0</v>
      </c>
      <c r="T216" s="280">
        <f t="shared" ref="T216:U216" si="195">ABS(T146 + T181)*(1-T89)*PowerFactor*$H30</f>
        <v>0</v>
      </c>
      <c r="U216" s="280">
        <f t="shared" si="195"/>
        <v>0</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374</v>
      </c>
      <c r="G217" t="s">
        <v>271</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375</v>
      </c>
      <c r="G218" s="91" t="s">
        <v>271</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618</v>
      </c>
      <c r="J222" s="101"/>
      <c r="K222" s="101"/>
      <c r="L222" s="101"/>
      <c r="M222" s="101"/>
      <c r="N222" s="101"/>
      <c r="O222" s="101"/>
      <c r="P222" s="101"/>
      <c r="Q222" s="101"/>
      <c r="R222" s="101"/>
      <c r="S222" s="101"/>
      <c r="T222" s="101"/>
      <c r="U222" s="101"/>
      <c r="V222" s="101"/>
      <c r="W222" s="101"/>
      <c r="X222" s="101"/>
      <c r="Y222" s="101"/>
    </row>
    <row r="223" spans="3:27" x14ac:dyDescent="0.25">
      <c r="D223"/>
      <c r="F223" s="90" t="s">
        <v>188</v>
      </c>
      <c r="G223" s="90" t="s">
        <v>271</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190</v>
      </c>
      <c r="G224" t="s">
        <v>271</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191</v>
      </c>
      <c r="G225" t="s">
        <v>271</v>
      </c>
      <c r="H225" s="266"/>
      <c r="I225" s="266"/>
      <c r="J225" s="280">
        <f t="shared" ref="J225:K225" si="198">J$78 * J195</f>
        <v>0</v>
      </c>
      <c r="K225" s="280">
        <f t="shared" si="198"/>
        <v>0</v>
      </c>
      <c r="L225" s="280">
        <f t="shared" ref="L225:M225" si="199">L$78 * L195</f>
        <v>0</v>
      </c>
      <c r="M225" s="280">
        <f t="shared" si="199"/>
        <v>0</v>
      </c>
      <c r="N225" s="280">
        <f t="shared" ref="N225:P225" si="200">N$78 * N195</f>
        <v>1.3031330017874754E-2</v>
      </c>
      <c r="O225" s="280">
        <f t="shared" si="200"/>
        <v>1.0822794737776089E-2</v>
      </c>
      <c r="P225" s="280">
        <f t="shared" si="200"/>
        <v>9.0746387495230525E-3</v>
      </c>
      <c r="Q225" s="280">
        <f t="shared" ref="Q225:S225" si="201">Q$78 * Q195</f>
        <v>0</v>
      </c>
      <c r="R225" s="280">
        <f t="shared" si="201"/>
        <v>0</v>
      </c>
      <c r="S225" s="280">
        <f t="shared" si="201"/>
        <v>0</v>
      </c>
      <c r="T225" s="280">
        <f t="shared" ref="T225:U225" si="202">T$78 * T195</f>
        <v>8.4784973182074844E-3</v>
      </c>
      <c r="U225" s="280">
        <f t="shared" si="202"/>
        <v>0</v>
      </c>
      <c r="V225" s="280">
        <f t="shared" ref="V225:W225" si="203">V$78 * V195</f>
        <v>7.7781644993045818E-3</v>
      </c>
      <c r="W225" s="280">
        <f t="shared" si="203"/>
        <v>0</v>
      </c>
      <c r="X225" s="280">
        <f t="shared" ref="X225:Y225" si="204">X$78 * X195</f>
        <v>7.6664092622456062E-3</v>
      </c>
      <c r="Y225" s="280">
        <f t="shared" si="204"/>
        <v>0</v>
      </c>
      <c r="Z225" s="266"/>
      <c r="AA225" s="266"/>
    </row>
    <row r="226" spans="4:27" x14ac:dyDescent="0.25">
      <c r="D226"/>
      <c r="F226" t="s">
        <v>192</v>
      </c>
      <c r="G226" t="s">
        <v>271</v>
      </c>
      <c r="H226" s="266"/>
      <c r="I226" s="266"/>
      <c r="J226" s="280">
        <f t="shared" ref="J226:K226" si="205">J$78 * J196</f>
        <v>0</v>
      </c>
      <c r="K226" s="280">
        <f t="shared" si="205"/>
        <v>0</v>
      </c>
      <c r="L226" s="280">
        <f t="shared" ref="L226:M226" si="206">L$78 * L196</f>
        <v>0</v>
      </c>
      <c r="M226" s="280">
        <f t="shared" si="206"/>
        <v>0</v>
      </c>
      <c r="N226" s="280">
        <f t="shared" ref="N226:P226" si="207">N$78 * N196</f>
        <v>7.2451291529966617E-3</v>
      </c>
      <c r="O226" s="280">
        <f t="shared" si="207"/>
        <v>6.0172327432429264E-3</v>
      </c>
      <c r="P226" s="280">
        <f t="shared" si="207"/>
        <v>5.0452969625432867E-3</v>
      </c>
      <c r="Q226" s="280">
        <f t="shared" ref="Q226:S226" si="208">Q$78 * Q196</f>
        <v>0</v>
      </c>
      <c r="R226" s="280">
        <f t="shared" si="208"/>
        <v>0</v>
      </c>
      <c r="S226" s="280">
        <f t="shared" si="208"/>
        <v>0</v>
      </c>
      <c r="T226" s="280">
        <f t="shared" ref="T226:U226" si="209">T$78 * T196</f>
        <v>4.7138556087130048E-3</v>
      </c>
      <c r="U226" s="280">
        <f t="shared" si="209"/>
        <v>0</v>
      </c>
      <c r="V226" s="280">
        <f t="shared" ref="V226:W226" si="210">V$78 * V196</f>
        <v>4.3244861647595591E-3</v>
      </c>
      <c r="W226" s="280">
        <f t="shared" si="210"/>
        <v>0</v>
      </c>
      <c r="X226" s="280">
        <f t="shared" ref="X226:Y226" si="211">X$78 * X196</f>
        <v>4.2623527428520928E-3</v>
      </c>
      <c r="Y226" s="280">
        <f t="shared" si="211"/>
        <v>0</v>
      </c>
      <c r="Z226" s="266"/>
      <c r="AA226" s="266"/>
    </row>
    <row r="227" spans="4:27" x14ac:dyDescent="0.25">
      <c r="D227"/>
      <c r="F227" t="s">
        <v>193</v>
      </c>
      <c r="G227" t="s">
        <v>271</v>
      </c>
      <c r="H227" s="266"/>
      <c r="I227" s="266"/>
      <c r="J227" s="280">
        <f t="shared" ref="J227:K227" si="212">J$78 * J197</f>
        <v>0</v>
      </c>
      <c r="K227" s="280">
        <f t="shared" si="212"/>
        <v>0</v>
      </c>
      <c r="L227" s="280">
        <f t="shared" ref="L227:M227" si="213">L$78 * L197</f>
        <v>0</v>
      </c>
      <c r="M227" s="280">
        <f t="shared" si="213"/>
        <v>0</v>
      </c>
      <c r="N227" s="280">
        <f t="shared" ref="N227:P227" si="214">N$78 * N197</f>
        <v>2.491766317747553E-2</v>
      </c>
      <c r="O227" s="280">
        <f t="shared" si="214"/>
        <v>2.0694645408024157E-2</v>
      </c>
      <c r="P227" s="280">
        <f t="shared" si="214"/>
        <v>1.3881548023584492E-2</v>
      </c>
      <c r="Q227" s="280">
        <f t="shared" ref="Q227:S227" si="215">Q$78 * Q197</f>
        <v>0</v>
      </c>
      <c r="R227" s="280">
        <f t="shared" si="215"/>
        <v>0</v>
      </c>
      <c r="S227" s="280">
        <f t="shared" si="215"/>
        <v>0</v>
      </c>
      <c r="T227" s="280">
        <f t="shared" ref="T227:U227" si="216">T$78 * T197</f>
        <v>1.6212032090081176E-2</v>
      </c>
      <c r="U227" s="280">
        <f t="shared" si="216"/>
        <v>0</v>
      </c>
      <c r="V227" s="280">
        <f t="shared" ref="V227:W227" si="217">V$78 * V197</f>
        <v>1.4872901144151802E-2</v>
      </c>
      <c r="W227" s="280">
        <f t="shared" si="217"/>
        <v>0</v>
      </c>
      <c r="X227" s="280">
        <f t="shared" ref="X227:Y227" si="218">X$78 * X197</f>
        <v>1.4659210035758817E-2</v>
      </c>
      <c r="Y227" s="280">
        <f t="shared" si="218"/>
        <v>0</v>
      </c>
      <c r="Z227" s="266"/>
      <c r="AA227" s="266"/>
    </row>
    <row r="228" spans="4:27" x14ac:dyDescent="0.25">
      <c r="D228"/>
      <c r="F228" t="s">
        <v>194</v>
      </c>
      <c r="G228" t="s">
        <v>271</v>
      </c>
      <c r="H228" s="266"/>
      <c r="I228" s="266"/>
      <c r="J228" s="280">
        <f t="shared" ref="J228:K228" si="219">J$78 * J198</f>
        <v>0</v>
      </c>
      <c r="K228" s="280">
        <f t="shared" si="219"/>
        <v>0</v>
      </c>
      <c r="L228" s="280">
        <f t="shared" ref="L228:M228" si="220">L$78 * L198</f>
        <v>0</v>
      </c>
      <c r="M228" s="280">
        <f t="shared" si="220"/>
        <v>0</v>
      </c>
      <c r="N228" s="280">
        <f t="shared" ref="N228:P228" si="221">N$78 * N198</f>
        <v>1.1669146640037915E-2</v>
      </c>
      <c r="O228" s="280">
        <f t="shared" si="221"/>
        <v>9.6914726798344574E-3</v>
      </c>
      <c r="P228" s="280">
        <f t="shared" si="221"/>
        <v>0</v>
      </c>
      <c r="Q228" s="280">
        <f t="shared" ref="Q228:S228" si="222">Q$78 * Q198</f>
        <v>0</v>
      </c>
      <c r="R228" s="280">
        <f t="shared" si="222"/>
        <v>0</v>
      </c>
      <c r="S228" s="280">
        <f t="shared" si="222"/>
        <v>0</v>
      </c>
      <c r="T228" s="280">
        <f t="shared" ref="T228:U228" si="223">T$78 * T198</f>
        <v>7.5922279888255536E-3</v>
      </c>
      <c r="U228" s="280">
        <f t="shared" si="223"/>
        <v>0</v>
      </c>
      <c r="V228" s="280">
        <f t="shared" ref="V228:W228" si="224">V$78 * V198</f>
        <v>6.9651019510842526E-3</v>
      </c>
      <c r="W228" s="280">
        <f t="shared" si="224"/>
        <v>0</v>
      </c>
      <c r="X228" s="280">
        <f t="shared" ref="X228:Y228" si="225">X$78 * X198</f>
        <v>6.8650286471893633E-3</v>
      </c>
      <c r="Y228" s="280">
        <f t="shared" si="225"/>
        <v>0</v>
      </c>
      <c r="Z228" s="266"/>
      <c r="AA228" s="266"/>
    </row>
    <row r="229" spans="4:27" x14ac:dyDescent="0.25">
      <c r="D229"/>
      <c r="F229" t="s">
        <v>195</v>
      </c>
      <c r="G229" t="s">
        <v>271</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25">
      <c r="D230"/>
      <c r="F230" t="s">
        <v>196</v>
      </c>
      <c r="G230" t="s">
        <v>271</v>
      </c>
      <c r="H230" s="266"/>
      <c r="I230" s="266"/>
      <c r="J230" s="280">
        <f t="shared" ref="J230:K230" si="233">J$78 * J200</f>
        <v>0</v>
      </c>
      <c r="K230" s="280">
        <f t="shared" si="233"/>
        <v>0</v>
      </c>
      <c r="L230" s="280">
        <f t="shared" ref="L230:M230" si="234">L$78 * L200</f>
        <v>0</v>
      </c>
      <c r="M230" s="280">
        <f t="shared" si="234"/>
        <v>0</v>
      </c>
      <c r="N230" s="280">
        <f t="shared" ref="N230:P230" si="235">N$78 * N200</f>
        <v>2.8805885936852849E-2</v>
      </c>
      <c r="O230" s="280">
        <f t="shared" si="235"/>
        <v>0</v>
      </c>
      <c r="P230" s="280">
        <f t="shared" si="235"/>
        <v>0</v>
      </c>
      <c r="Q230" s="280">
        <f t="shared" ref="Q230:S230" si="236">Q$78 * Q200</f>
        <v>0</v>
      </c>
      <c r="R230" s="280">
        <f t="shared" si="236"/>
        <v>0</v>
      </c>
      <c r="S230" s="280">
        <f t="shared" si="236"/>
        <v>0</v>
      </c>
      <c r="T230" s="280">
        <f t="shared" ref="T230:U230" si="237">T$78 * T200</f>
        <v>2.3427254387041886E-2</v>
      </c>
      <c r="U230" s="280">
        <f t="shared" si="237"/>
        <v>0</v>
      </c>
      <c r="V230" s="280">
        <f t="shared" ref="V230:W230" si="238">V$78 * V200</f>
        <v>2.1492138471064796E-2</v>
      </c>
      <c r="W230" s="280">
        <f t="shared" si="238"/>
        <v>0</v>
      </c>
      <c r="X230" s="280">
        <f t="shared" ref="X230:Y230" si="239">X$78 * X200</f>
        <v>2.118334337808972E-2</v>
      </c>
      <c r="Y230" s="280">
        <f t="shared" si="239"/>
        <v>0</v>
      </c>
      <c r="Z230" s="266"/>
      <c r="AA230" s="266"/>
    </row>
    <row r="231" spans="4:27" x14ac:dyDescent="0.25">
      <c r="D231"/>
      <c r="F231" t="s">
        <v>197</v>
      </c>
      <c r="G231" t="s">
        <v>271</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8.2759951861441968E-3</v>
      </c>
      <c r="U231" s="280">
        <f t="shared" si="244"/>
        <v>0</v>
      </c>
      <c r="V231" s="280">
        <f t="shared" ref="V231:W231" si="245">V$78 * V201</f>
        <v>7.5923892568844839E-3</v>
      </c>
      <c r="W231" s="280">
        <f t="shared" si="245"/>
        <v>0</v>
      </c>
      <c r="X231" s="280">
        <f t="shared" ref="X231:Y231" si="246">X$78 * X201</f>
        <v>0</v>
      </c>
      <c r="Y231" s="280">
        <f t="shared" si="246"/>
        <v>0</v>
      </c>
      <c r="Z231" s="266"/>
      <c r="AA231" s="266"/>
    </row>
    <row r="232" spans="4:27" x14ac:dyDescent="0.25">
      <c r="D232"/>
      <c r="F232" t="s">
        <v>198</v>
      </c>
      <c r="G232" t="s">
        <v>271</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0</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374</v>
      </c>
      <c r="G233" t="s">
        <v>271</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375</v>
      </c>
      <c r="G234" s="91" t="s">
        <v>271</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619</v>
      </c>
      <c r="J236" s="101"/>
      <c r="K236" s="101"/>
      <c r="L236" s="101"/>
      <c r="M236" s="101"/>
      <c r="N236" s="101"/>
      <c r="O236" s="101"/>
      <c r="P236" s="101"/>
      <c r="Q236" s="101"/>
      <c r="R236" s="101"/>
      <c r="S236" s="101"/>
      <c r="T236" s="101"/>
      <c r="U236" s="101"/>
      <c r="V236" s="101"/>
      <c r="W236" s="101"/>
      <c r="X236" s="101"/>
      <c r="Y236" s="101"/>
    </row>
    <row r="237" spans="4:27" x14ac:dyDescent="0.25">
      <c r="D237"/>
      <c r="F237" s="90" t="s">
        <v>188</v>
      </c>
      <c r="G237" s="90" t="s">
        <v>271</v>
      </c>
      <c r="H237" s="264"/>
      <c r="I237" s="264"/>
      <c r="J237" s="281">
        <f t="shared" ref="J237:K237" si="254">J$78 * J207</f>
        <v>0</v>
      </c>
      <c r="K237" s="281">
        <f t="shared" si="254"/>
        <v>0</v>
      </c>
      <c r="L237" s="281">
        <f t="shared" ref="L237:M237" si="255">L$78 * L207</f>
        <v>0</v>
      </c>
      <c r="M237" s="281">
        <f t="shared" si="255"/>
        <v>0</v>
      </c>
      <c r="N237" s="281">
        <f t="shared" ref="N237:P237" si="256">N$78 * N207</f>
        <v>9.8270295772386052E-3</v>
      </c>
      <c r="O237" s="281">
        <f t="shared" si="256"/>
        <v>8.1615555626802592E-3</v>
      </c>
      <c r="P237" s="281">
        <f t="shared" si="256"/>
        <v>6.8432572325309122E-3</v>
      </c>
      <c r="Q237" s="281">
        <f t="shared" ref="Q237:S237" si="257">Q$78 * Q207</f>
        <v>0</v>
      </c>
      <c r="R237" s="281">
        <f t="shared" si="257"/>
        <v>0</v>
      </c>
      <c r="S237" s="281">
        <f t="shared" si="257"/>
        <v>0</v>
      </c>
      <c r="T237" s="281">
        <f t="shared" ref="T237:U237" si="258">T$78 * T207</f>
        <v>6.3937022393168843E-3</v>
      </c>
      <c r="U237" s="281">
        <f t="shared" si="258"/>
        <v>0</v>
      </c>
      <c r="V237" s="281">
        <f t="shared" ref="V237:W237" si="259">V$78 * V207</f>
        <v>5.8655756923082841E-3</v>
      </c>
      <c r="W237" s="281">
        <f t="shared" si="259"/>
        <v>0</v>
      </c>
      <c r="X237" s="281">
        <f t="shared" ref="X237:Y237" si="260">X$78 * X207</f>
        <v>5.781300179487762E-3</v>
      </c>
      <c r="Y237" s="281">
        <f t="shared" si="260"/>
        <v>0</v>
      </c>
      <c r="Z237" s="266"/>
      <c r="AA237" s="266"/>
    </row>
    <row r="238" spans="4:27" x14ac:dyDescent="0.25">
      <c r="D238"/>
      <c r="F238" t="s">
        <v>190</v>
      </c>
      <c r="G238" t="s">
        <v>271</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191</v>
      </c>
      <c r="G239" t="s">
        <v>271</v>
      </c>
      <c r="H239" s="266"/>
      <c r="I239" s="266"/>
      <c r="J239" s="280">
        <f t="shared" ref="J239:K239" si="268">J$78 * J209</f>
        <v>0</v>
      </c>
      <c r="K239" s="280">
        <f t="shared" si="268"/>
        <v>0</v>
      </c>
      <c r="L239" s="280">
        <f t="shared" ref="L239:M239" si="269">L$78 * L209</f>
        <v>0</v>
      </c>
      <c r="M239" s="280">
        <f t="shared" si="269"/>
        <v>0</v>
      </c>
      <c r="N239" s="280">
        <f t="shared" ref="N239:P239" si="270">N$78 * N209</f>
        <v>5.7774061655608737E-3</v>
      </c>
      <c r="O239" s="280">
        <f t="shared" si="270"/>
        <v>4.7982578110491924E-3</v>
      </c>
      <c r="P239" s="280">
        <f t="shared" si="270"/>
        <v>4.023217414478651E-3</v>
      </c>
      <c r="Q239" s="280">
        <f t="shared" ref="Q239:S239" si="271">Q$78 * Q209</f>
        <v>0</v>
      </c>
      <c r="R239" s="280">
        <f t="shared" si="271"/>
        <v>0</v>
      </c>
      <c r="S239" s="280">
        <f t="shared" si="271"/>
        <v>0</v>
      </c>
      <c r="T239" s="280">
        <f t="shared" ref="T239:U239" si="272">T$78 * T209</f>
        <v>3.7589196661978082E-3</v>
      </c>
      <c r="U239" s="280">
        <f t="shared" si="272"/>
        <v>0</v>
      </c>
      <c r="V239" s="280">
        <f t="shared" ref="V239:W239" si="273">V$78 * V209</f>
        <v>3.4484289380584464E-3</v>
      </c>
      <c r="W239" s="280">
        <f t="shared" si="273"/>
        <v>0</v>
      </c>
      <c r="X239" s="280">
        <f t="shared" ref="X239:Y239" si="274">X$78 * X209</f>
        <v>3.3988825452702497E-3</v>
      </c>
      <c r="Y239" s="280">
        <f t="shared" si="274"/>
        <v>0</v>
      </c>
      <c r="Z239" s="266"/>
      <c r="AA239" s="266"/>
    </row>
    <row r="240" spans="4:27" x14ac:dyDescent="0.25">
      <c r="D240"/>
      <c r="F240" t="s">
        <v>192</v>
      </c>
      <c r="G240" t="s">
        <v>271</v>
      </c>
      <c r="H240" s="266"/>
      <c r="I240" s="266"/>
      <c r="J240" s="280">
        <f t="shared" ref="J240:K240" si="275">J$78 * J210</f>
        <v>0</v>
      </c>
      <c r="K240" s="280">
        <f t="shared" si="275"/>
        <v>0</v>
      </c>
      <c r="L240" s="280">
        <f t="shared" ref="L240:M240" si="276">L$78 * L210</f>
        <v>0</v>
      </c>
      <c r="M240" s="280">
        <f t="shared" si="276"/>
        <v>0</v>
      </c>
      <c r="N240" s="280">
        <f t="shared" ref="N240:P240" si="277">N$78 * N210</f>
        <v>3.2121091079262113E-3</v>
      </c>
      <c r="O240" s="280">
        <f t="shared" si="277"/>
        <v>2.6677244381610719E-3</v>
      </c>
      <c r="P240" s="280">
        <f t="shared" si="277"/>
        <v>2.2368192455029935E-3</v>
      </c>
      <c r="Q240" s="280">
        <f t="shared" ref="Q240:S240" si="278">Q$78 * Q210</f>
        <v>0</v>
      </c>
      <c r="R240" s="280">
        <f t="shared" si="278"/>
        <v>0</v>
      </c>
      <c r="S240" s="280">
        <f t="shared" si="278"/>
        <v>0</v>
      </c>
      <c r="T240" s="280">
        <f t="shared" ref="T240:U240" si="279">T$78 * T210</f>
        <v>2.0898755859905475E-3</v>
      </c>
      <c r="U240" s="280">
        <f t="shared" si="279"/>
        <v>0</v>
      </c>
      <c r="V240" s="280">
        <f t="shared" ref="V240:W240" si="280">V$78 * V210</f>
        <v>1.9172496588524882E-3</v>
      </c>
      <c r="W240" s="280">
        <f t="shared" si="280"/>
        <v>0</v>
      </c>
      <c r="X240" s="280">
        <f t="shared" ref="X240:Y240" si="281">X$78 * X210</f>
        <v>1.8897029683517341E-3</v>
      </c>
      <c r="Y240" s="280">
        <f t="shared" si="281"/>
        <v>0</v>
      </c>
      <c r="Z240" s="266"/>
      <c r="AA240" s="266"/>
    </row>
    <row r="241" spans="2:27" x14ac:dyDescent="0.25">
      <c r="D241"/>
      <c r="F241" t="s">
        <v>193</v>
      </c>
      <c r="G241" t="s">
        <v>271</v>
      </c>
      <c r="H241" s="266"/>
      <c r="I241" s="266"/>
      <c r="J241" s="280">
        <f t="shared" ref="J241:K241" si="282">J$78 * J211</f>
        <v>0</v>
      </c>
      <c r="K241" s="280">
        <f t="shared" si="282"/>
        <v>0</v>
      </c>
      <c r="L241" s="280">
        <f t="shared" ref="L241:M241" si="283">L$78 * L211</f>
        <v>0</v>
      </c>
      <c r="M241" s="280">
        <f t="shared" si="283"/>
        <v>0</v>
      </c>
      <c r="N241" s="280">
        <f t="shared" ref="N241:P241" si="284">N$78 * N211</f>
        <v>1.1047180961225795E-2</v>
      </c>
      <c r="O241" s="280">
        <f t="shared" si="284"/>
        <v>9.1749170507089695E-3</v>
      </c>
      <c r="P241" s="280">
        <f t="shared" si="284"/>
        <v>6.154348100230668E-3</v>
      </c>
      <c r="Q241" s="280">
        <f t="shared" ref="Q241:S241" si="285">Q$78 * Q211</f>
        <v>0</v>
      </c>
      <c r="R241" s="280">
        <f t="shared" si="285"/>
        <v>0</v>
      </c>
      <c r="S241" s="280">
        <f t="shared" si="285"/>
        <v>0</v>
      </c>
      <c r="T241" s="280">
        <f t="shared" ref="T241:U241" si="286">T$78 * T211</f>
        <v>7.1875621310357246E-3</v>
      </c>
      <c r="U241" s="280">
        <f t="shared" si="286"/>
        <v>0</v>
      </c>
      <c r="V241" s="280">
        <f t="shared" ref="V241:W241" si="287">V$78 * V211</f>
        <v>6.5938619198605431E-3</v>
      </c>
      <c r="W241" s="280">
        <f t="shared" si="287"/>
        <v>0</v>
      </c>
      <c r="X241" s="280">
        <f t="shared" ref="X241:Y241" si="288">X$78 * X211</f>
        <v>6.4991225244602473E-3</v>
      </c>
      <c r="Y241" s="280">
        <f t="shared" si="288"/>
        <v>0</v>
      </c>
      <c r="Z241" s="266"/>
      <c r="AA241" s="266"/>
    </row>
    <row r="242" spans="2:27" x14ac:dyDescent="0.25">
      <c r="D242"/>
      <c r="F242" t="s">
        <v>194</v>
      </c>
      <c r="G242" t="s">
        <v>271</v>
      </c>
      <c r="H242" s="266"/>
      <c r="I242" s="266"/>
      <c r="J242" s="280">
        <f t="shared" ref="J242:K242" si="289">J$78 * J212</f>
        <v>0</v>
      </c>
      <c r="K242" s="280">
        <f t="shared" si="289"/>
        <v>0</v>
      </c>
      <c r="L242" s="280">
        <f t="shared" ref="L242:M242" si="290">L$78 * L212</f>
        <v>0</v>
      </c>
      <c r="M242" s="280">
        <f t="shared" si="290"/>
        <v>0</v>
      </c>
      <c r="N242" s="280">
        <f t="shared" ref="N242:P242" si="291">N$78 * N212</f>
        <v>5.1734857188417598E-3</v>
      </c>
      <c r="O242" s="280">
        <f t="shared" si="291"/>
        <v>4.2966891282039581E-3</v>
      </c>
      <c r="P242" s="280">
        <f t="shared" si="291"/>
        <v>0</v>
      </c>
      <c r="Q242" s="280">
        <f t="shared" ref="Q242:S242" si="292">Q$78 * Q212</f>
        <v>0</v>
      </c>
      <c r="R242" s="280">
        <f t="shared" si="292"/>
        <v>0</v>
      </c>
      <c r="S242" s="280">
        <f t="shared" si="292"/>
        <v>0</v>
      </c>
      <c r="T242" s="280">
        <f t="shared" ref="T242:U242" si="293">T$78 * T212</f>
        <v>3.365994471233424E-3</v>
      </c>
      <c r="U242" s="280">
        <f t="shared" si="293"/>
        <v>0</v>
      </c>
      <c r="V242" s="280">
        <f t="shared" ref="V242:W242" si="294">V$78 * V212</f>
        <v>3.0879597785304874E-3</v>
      </c>
      <c r="W242" s="280">
        <f t="shared" si="294"/>
        <v>0</v>
      </c>
      <c r="X242" s="280">
        <f t="shared" ref="X242:Y242" si="295">X$78 * X212</f>
        <v>3.0435925403332104E-3</v>
      </c>
      <c r="Y242" s="280">
        <f t="shared" si="295"/>
        <v>0</v>
      </c>
      <c r="Z242" s="266"/>
      <c r="AA242" s="266"/>
    </row>
    <row r="243" spans="2:27" x14ac:dyDescent="0.25">
      <c r="D243"/>
      <c r="F243" t="s">
        <v>195</v>
      </c>
      <c r="G243" t="s">
        <v>271</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25">
      <c r="D244"/>
      <c r="F244" t="s">
        <v>196</v>
      </c>
      <c r="G244" t="s">
        <v>271</v>
      </c>
      <c r="H244" s="266"/>
      <c r="I244" s="266"/>
      <c r="J244" s="280">
        <f t="shared" ref="J244:K244" si="303">J$78 * J214</f>
        <v>0</v>
      </c>
      <c r="K244" s="280">
        <f t="shared" si="303"/>
        <v>0</v>
      </c>
      <c r="L244" s="280">
        <f t="shared" ref="L244:M244" si="304">L$78 * L214</f>
        <v>0</v>
      </c>
      <c r="M244" s="280">
        <f t="shared" si="304"/>
        <v>0</v>
      </c>
      <c r="N244" s="280">
        <f t="shared" ref="N244:P244" si="305">N$78 * N214</f>
        <v>1.2771014377483972E-2</v>
      </c>
      <c r="O244" s="280">
        <f t="shared" si="305"/>
        <v>0</v>
      </c>
      <c r="P244" s="280">
        <f t="shared" si="305"/>
        <v>0</v>
      </c>
      <c r="Q244" s="280">
        <f t="shared" ref="Q244:S244" si="306">Q$78 * Q214</f>
        <v>0</v>
      </c>
      <c r="R244" s="280">
        <f t="shared" si="306"/>
        <v>0</v>
      </c>
      <c r="S244" s="280">
        <f t="shared" si="306"/>
        <v>0</v>
      </c>
      <c r="T244" s="280">
        <f t="shared" ref="T244:U244" si="307">T$78 * T214</f>
        <v>1.0386412112363377E-2</v>
      </c>
      <c r="U244" s="280">
        <f t="shared" si="307"/>
        <v>0</v>
      </c>
      <c r="V244" s="280">
        <f t="shared" ref="V244:W244" si="308">V$78 * V214</f>
        <v>9.5284835196022561E-3</v>
      </c>
      <c r="W244" s="280">
        <f t="shared" si="308"/>
        <v>0</v>
      </c>
      <c r="X244" s="280">
        <f t="shared" ref="X244:Y244" si="309">X$78 * X214</f>
        <v>9.3915800207573941E-3</v>
      </c>
      <c r="Y244" s="280">
        <f t="shared" si="309"/>
        <v>0</v>
      </c>
      <c r="Z244" s="266"/>
      <c r="AA244" s="266"/>
    </row>
    <row r="245" spans="2:27" x14ac:dyDescent="0.25">
      <c r="D245"/>
      <c r="F245" t="s">
        <v>197</v>
      </c>
      <c r="G245" t="s">
        <v>271</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3.6691408742619974E-3</v>
      </c>
      <c r="U245" s="280">
        <f t="shared" si="314"/>
        <v>0</v>
      </c>
      <c r="V245" s="280">
        <f t="shared" ref="V245:W245" si="315">V$78 * V215</f>
        <v>3.3660659690066129E-3</v>
      </c>
      <c r="W245" s="280">
        <f t="shared" si="315"/>
        <v>0</v>
      </c>
      <c r="X245" s="280">
        <f t="shared" ref="X245:Y245" si="316">X$78 * X215</f>
        <v>0</v>
      </c>
      <c r="Y245" s="280">
        <f t="shared" si="316"/>
        <v>0</v>
      </c>
      <c r="Z245" s="266"/>
      <c r="AA245" s="266"/>
    </row>
    <row r="246" spans="2:27" x14ac:dyDescent="0.25">
      <c r="D246"/>
      <c r="F246" t="s">
        <v>198</v>
      </c>
      <c r="G246" t="s">
        <v>271</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0</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374</v>
      </c>
      <c r="G247" t="s">
        <v>271</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375</v>
      </c>
      <c r="G248" s="91" t="s">
        <v>271</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681</v>
      </c>
      <c r="G250" t="s">
        <v>271</v>
      </c>
      <c r="H250" s="266"/>
      <c r="I250" s="266" t="s">
        <v>153</v>
      </c>
      <c r="J250" s="295">
        <f t="shared" ref="J250:K250" si="324">SUM(J223:J234,J237:J248)</f>
        <v>0</v>
      </c>
      <c r="K250" s="295">
        <f t="shared" si="324"/>
        <v>0</v>
      </c>
      <c r="L250" s="295">
        <f t="shared" ref="L250:M250" si="325">SUM(L223:L234,L237:L248)</f>
        <v>0</v>
      </c>
      <c r="M250" s="295">
        <f t="shared" si="325"/>
        <v>0</v>
      </c>
      <c r="N250" s="295">
        <f t="shared" ref="N250:P250" si="326">SUM(N223:N234,N237:N248)</f>
        <v>0.13347738083351493</v>
      </c>
      <c r="O250" s="295">
        <f t="shared" si="326"/>
        <v>7.6325289559681084E-2</v>
      </c>
      <c r="P250" s="295">
        <f t="shared" si="326"/>
        <v>4.7259125728394052E-2</v>
      </c>
      <c r="Q250" s="295">
        <f t="shared" ref="Q250:S250" si="327">SUM(Q223:Q234,Q237:Q248)</f>
        <v>0</v>
      </c>
      <c r="R250" s="295">
        <f t="shared" si="327"/>
        <v>0</v>
      </c>
      <c r="S250" s="295">
        <f t="shared" si="327"/>
        <v>0</v>
      </c>
      <c r="T250" s="295">
        <f t="shared" ref="T250:U250" si="328">SUM(T223:T234,T237:T248)</f>
        <v>0.10555146965941306</v>
      </c>
      <c r="U250" s="295">
        <f t="shared" si="328"/>
        <v>0</v>
      </c>
      <c r="V250" s="295">
        <f t="shared" ref="V250:W250" si="329">SUM(V223:V234,V237:V248)</f>
        <v>9.6832806963468576E-2</v>
      </c>
      <c r="W250" s="295">
        <f t="shared" si="329"/>
        <v>0</v>
      </c>
      <c r="X250" s="295">
        <f t="shared" ref="X250:Y250" si="330">SUM(X223:X234,X237:X248)</f>
        <v>8.46405248447962E-2</v>
      </c>
      <c r="Y250" s="295">
        <f t="shared" si="330"/>
        <v>0</v>
      </c>
      <c r="Z250" s="266"/>
      <c r="AA250" s="266" t="s">
        <v>680</v>
      </c>
    </row>
    <row r="251" spans="2:27" x14ac:dyDescent="0.25">
      <c r="C251" s="100"/>
    </row>
    <row r="252" spans="2:27" x14ac:dyDescent="0.25">
      <c r="B252" s="70" t="s">
        <v>230</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231</v>
      </c>
      <c r="G254" s="6" t="s">
        <v>54</v>
      </c>
      <c r="H254" s="108">
        <f t="array" ref="H254">SUM(IF(ISERROR(H21:Y250), 1))</f>
        <v>0</v>
      </c>
    </row>
    <row r="256" spans="2:27" x14ac:dyDescent="0.25">
      <c r="B256" s="70" t="s">
        <v>105</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713</v>
      </c>
      <c r="E9"/>
    </row>
    <row r="10" spans="1:27" x14ac:dyDescent="0.25">
      <c r="D10" s="129" t="s">
        <v>714</v>
      </c>
      <c r="E10"/>
    </row>
    <row r="11" spans="1:27" x14ac:dyDescent="0.25">
      <c r="D11" s="71" t="s">
        <v>715</v>
      </c>
      <c r="E11"/>
    </row>
    <row r="12" spans="1:27" x14ac:dyDescent="0.25">
      <c r="D12" s="129" t="s">
        <v>716</v>
      </c>
      <c r="E12"/>
    </row>
    <row r="14" spans="1:27" x14ac:dyDescent="0.25">
      <c r="B14" s="70" t="s">
        <v>717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153</v>
      </c>
      <c r="AA17" t="s">
        <v>718</v>
      </c>
    </row>
    <row r="18" spans="3:27" x14ac:dyDescent="0.25">
      <c r="C18" s="100"/>
      <c r="E18" t="s">
        <v>546</v>
      </c>
      <c r="G18" t="s">
        <v>211</v>
      </c>
      <c r="J18" s="163">
        <f>'Volume adjustments'!J275</f>
        <v>2211223.0038455967</v>
      </c>
      <c r="K18" s="163">
        <f>'Volume adjustments'!K275</f>
        <v>4103.3721701347276</v>
      </c>
      <c r="L18" s="163">
        <f>'Volume adjustments'!L275</f>
        <v>143586.27612746798</v>
      </c>
      <c r="M18" s="163">
        <f>'Volume adjustments'!M275</f>
        <v>1571.7036335487671</v>
      </c>
      <c r="N18" s="163">
        <f>'Volume adjustments'!N275</f>
        <v>15405.530101399183</v>
      </c>
      <c r="O18" s="163">
        <f>'Volume adjustments'!O275</f>
        <v>734.57113474438393</v>
      </c>
      <c r="P18" s="163">
        <f>'Volume adjustments'!P275</f>
        <v>2016.5582644672475</v>
      </c>
      <c r="Q18" s="163">
        <f>'Volume adjustments'!Q275</f>
        <v>813.16725654976756</v>
      </c>
      <c r="R18" s="163">
        <f>'Volume adjustments'!R275</f>
        <v>32972.366465964653</v>
      </c>
      <c r="S18" s="163">
        <f>'Volume adjustments'!S275</f>
        <v>0</v>
      </c>
      <c r="T18" s="163">
        <f>'Volume adjustments'!T275</f>
        <v>717</v>
      </c>
      <c r="U18" s="163">
        <f>'Volume adjustments'!U275</f>
        <v>0</v>
      </c>
      <c r="V18" s="163">
        <f>'Volume adjustments'!V275</f>
        <v>36</v>
      </c>
      <c r="W18" s="163">
        <f>'Volume adjustments'!W275</f>
        <v>0</v>
      </c>
      <c r="X18" s="163">
        <f>'Volume adjustments'!X275</f>
        <v>286</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468</v>
      </c>
      <c r="G20" t="s">
        <v>171</v>
      </c>
      <c r="H20" s="92"/>
      <c r="J20" s="163">
        <f>'System peak demand'!J200</f>
        <v>1647.2308933640732</v>
      </c>
      <c r="K20" s="163">
        <f>'System peak demand'!K200</f>
        <v>5.1786626234011859</v>
      </c>
      <c r="L20" s="163">
        <f>'System peak demand'!L200</f>
        <v>536.85216728271973</v>
      </c>
      <c r="M20" s="163">
        <f>'System peak demand'!M200</f>
        <v>4.2476285876799134</v>
      </c>
      <c r="N20" s="163">
        <f>'System peak demand'!N200</f>
        <v>556.54959275686895</v>
      </c>
      <c r="O20" s="163">
        <f>'System peak demand'!O200</f>
        <v>98.192352989620034</v>
      </c>
      <c r="P20" s="163">
        <f>'System peak demand'!P200</f>
        <v>715.11841375994163</v>
      </c>
      <c r="Q20" s="163">
        <f>'System peak demand'!Q200</f>
        <v>31.183348124899904</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153</v>
      </c>
      <c r="J23" s="101"/>
      <c r="K23" s="101"/>
      <c r="L23" s="101"/>
      <c r="M23" s="101"/>
      <c r="N23" s="101"/>
      <c r="O23" s="101"/>
      <c r="P23" s="101"/>
      <c r="Q23" s="101"/>
      <c r="R23" s="101"/>
      <c r="S23" s="101"/>
      <c r="T23" s="101"/>
      <c r="U23" s="101"/>
      <c r="V23" s="101"/>
      <c r="W23" s="101"/>
      <c r="X23" s="101"/>
      <c r="Y23" s="101"/>
      <c r="AA23" t="s">
        <v>718</v>
      </c>
    </row>
    <row r="24" spans="3:27" x14ac:dyDescent="0.25">
      <c r="C24" s="100"/>
      <c r="E24" s="60" t="s">
        <v>618</v>
      </c>
      <c r="J24" s="101"/>
      <c r="K24" s="101"/>
      <c r="L24" s="101"/>
      <c r="M24" s="101"/>
      <c r="N24" s="101"/>
      <c r="O24" s="101"/>
      <c r="P24" s="101"/>
      <c r="Q24" s="101"/>
      <c r="R24" s="101"/>
      <c r="S24" s="101"/>
      <c r="T24" s="101"/>
      <c r="U24" s="101"/>
      <c r="V24" s="101"/>
      <c r="W24" s="101"/>
      <c r="X24" s="101"/>
      <c r="Y24" s="101"/>
    </row>
    <row r="25" spans="3:27" x14ac:dyDescent="0.25">
      <c r="C25" s="100"/>
      <c r="E25" s="71"/>
      <c r="F25" s="90" t="s">
        <v>188</v>
      </c>
      <c r="G25" s="90" t="s">
        <v>270</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190</v>
      </c>
      <c r="G26" t="s">
        <v>270</v>
      </c>
      <c r="J26" s="114"/>
      <c r="K26" s="114"/>
      <c r="L26" s="114"/>
      <c r="M26" s="114"/>
      <c r="N26" s="114"/>
      <c r="O26" s="114"/>
      <c r="P26" s="114"/>
      <c r="Q26" s="114"/>
      <c r="R26" s="114"/>
      <c r="S26" s="114"/>
      <c r="T26" s="114"/>
      <c r="U26" s="114"/>
      <c r="V26" s="114"/>
      <c r="W26" s="114"/>
      <c r="X26" s="114"/>
      <c r="Y26" s="114"/>
    </row>
    <row r="27" spans="3:27" x14ac:dyDescent="0.25">
      <c r="C27" s="100"/>
      <c r="E27" s="71"/>
      <c r="F27" t="s">
        <v>191</v>
      </c>
      <c r="G27" t="s">
        <v>270</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192</v>
      </c>
      <c r="G28" t="s">
        <v>270</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193</v>
      </c>
      <c r="G29" t="s">
        <v>270</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194</v>
      </c>
      <c r="G30" t="s">
        <v>270</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195</v>
      </c>
      <c r="G31" t="s">
        <v>270</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196</v>
      </c>
      <c r="G32" t="s">
        <v>270</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197</v>
      </c>
      <c r="G33" t="s">
        <v>270</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198</v>
      </c>
      <c r="G34" t="s">
        <v>270</v>
      </c>
      <c r="J34" s="163">
        <f>'Capacity charges'!J271</f>
        <v>1.6576702112809909</v>
      </c>
      <c r="K34" s="163">
        <f>'Capacity charges'!K271</f>
        <v>0</v>
      </c>
      <c r="L34" s="163">
        <f>'Capacity charges'!L271</f>
        <v>1.6576702112809909</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374</v>
      </c>
      <c r="G35" t="s">
        <v>270</v>
      </c>
      <c r="J35" s="114"/>
      <c r="K35" s="114"/>
      <c r="L35" s="114"/>
      <c r="M35" s="114"/>
      <c r="N35" s="114"/>
      <c r="O35" s="114"/>
      <c r="P35" s="114"/>
      <c r="Q35" s="114"/>
      <c r="R35" s="114"/>
      <c r="S35" s="114"/>
      <c r="T35" s="114"/>
      <c r="U35" s="114"/>
      <c r="V35" s="114"/>
      <c r="W35" s="114"/>
      <c r="X35" s="114"/>
      <c r="Y35" s="114"/>
    </row>
    <row r="36" spans="3:25" x14ac:dyDescent="0.25">
      <c r="C36" s="100"/>
      <c r="E36" s="71"/>
      <c r="F36" s="91" t="s">
        <v>375</v>
      </c>
      <c r="G36" s="91" t="s">
        <v>270</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619</v>
      </c>
      <c r="J38" s="101"/>
      <c r="K38" s="101"/>
      <c r="L38" s="101"/>
      <c r="M38" s="101"/>
      <c r="N38" s="101"/>
      <c r="O38" s="101"/>
      <c r="P38" s="101"/>
      <c r="Q38" s="101"/>
      <c r="R38" s="101"/>
      <c r="S38" s="101"/>
      <c r="T38" s="101"/>
      <c r="U38" s="101"/>
      <c r="V38" s="101"/>
      <c r="W38" s="101"/>
      <c r="X38" s="101"/>
      <c r="Y38" s="101"/>
    </row>
    <row r="39" spans="3:25" x14ac:dyDescent="0.25">
      <c r="C39" s="100"/>
      <c r="F39" s="90" t="s">
        <v>188</v>
      </c>
      <c r="G39" s="90" t="s">
        <v>270</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190</v>
      </c>
      <c r="G40" t="s">
        <v>270</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191</v>
      </c>
      <c r="G41" t="s">
        <v>270</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192</v>
      </c>
      <c r="G42" t="s">
        <v>270</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193</v>
      </c>
      <c r="G43" t="s">
        <v>270</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194</v>
      </c>
      <c r="G44" t="s">
        <v>270</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195</v>
      </c>
      <c r="G45" t="s">
        <v>270</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196</v>
      </c>
      <c r="G46" t="s">
        <v>270</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197</v>
      </c>
      <c r="G47" t="s">
        <v>270</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198</v>
      </c>
      <c r="G48" t="s">
        <v>270</v>
      </c>
      <c r="J48" s="163">
        <f>'Capacity charges'!J285</f>
        <v>0.73492376342129373</v>
      </c>
      <c r="K48" s="163">
        <f>'Capacity charges'!K285</f>
        <v>0</v>
      </c>
      <c r="L48" s="163">
        <f>'Capacity charges'!L285</f>
        <v>0.73492376342129373</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374</v>
      </c>
      <c r="G49" t="s">
        <v>270</v>
      </c>
      <c r="J49" s="114"/>
      <c r="K49" s="114"/>
      <c r="L49" s="114"/>
      <c r="M49" s="114"/>
      <c r="N49" s="114"/>
      <c r="O49" s="114"/>
      <c r="P49" s="114"/>
      <c r="Q49" s="114"/>
      <c r="R49" s="114"/>
      <c r="S49" s="114"/>
      <c r="T49" s="114"/>
      <c r="U49" s="114"/>
      <c r="V49" s="114"/>
      <c r="W49" s="114"/>
      <c r="X49" s="114"/>
      <c r="Y49" s="114"/>
    </row>
    <row r="50" spans="3:27" x14ac:dyDescent="0.25">
      <c r="C50" s="100"/>
      <c r="F50" s="91" t="s">
        <v>375</v>
      </c>
      <c r="G50" s="91" t="s">
        <v>270</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619</v>
      </c>
      <c r="I54" t="s">
        <v>153</v>
      </c>
      <c r="J54" s="101"/>
      <c r="K54" s="101"/>
      <c r="L54" s="101"/>
      <c r="M54" s="101"/>
      <c r="N54" s="101"/>
      <c r="O54" s="101"/>
      <c r="P54" s="101"/>
      <c r="Q54" s="101"/>
      <c r="R54" s="101"/>
      <c r="S54" s="101"/>
      <c r="T54" s="101"/>
      <c r="U54" s="101"/>
      <c r="V54" s="101"/>
      <c r="W54" s="101"/>
      <c r="X54" s="101"/>
      <c r="Y54" s="101"/>
      <c r="AA54" t="s">
        <v>719</v>
      </c>
    </row>
    <row r="55" spans="3:27" x14ac:dyDescent="0.25">
      <c r="C55" s="100"/>
      <c r="D55"/>
      <c r="F55" s="90" t="s">
        <v>374</v>
      </c>
      <c r="G55" s="90" t="s">
        <v>269</v>
      </c>
      <c r="H55" s="90"/>
      <c r="I55" s="90"/>
      <c r="J55" s="167">
        <f>'Service model charges'!J42</f>
        <v>10.654673186501922</v>
      </c>
      <c r="K55" s="167">
        <f>'Service model charges'!K42</f>
        <v>0</v>
      </c>
      <c r="L55" s="167">
        <f>'Service model charges'!L42</f>
        <v>9.9704281194788624</v>
      </c>
      <c r="M55" s="167">
        <f>'Service model charges'!M42</f>
        <v>0</v>
      </c>
      <c r="N55" s="167">
        <f>'Service model charges'!N42</f>
        <v>16.484720441239212</v>
      </c>
      <c r="O55" s="167">
        <f>'Service model charges'!O42</f>
        <v>16.484720441239212</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375</v>
      </c>
      <c r="G56" s="91" t="s">
        <v>269</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431.6399417186995</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95.926460844785012</v>
      </c>
      <c r="Y56" s="168">
        <f>'Service model charges'!Y43</f>
        <v>95.926460844785012</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720</v>
      </c>
      <c r="E60"/>
    </row>
    <row r="61" spans="3:27" x14ac:dyDescent="0.25">
      <c r="D61" s="71" t="s">
        <v>721</v>
      </c>
      <c r="E61"/>
    </row>
    <row r="62" spans="3:27" x14ac:dyDescent="0.25">
      <c r="D62" s="71"/>
      <c r="E62"/>
    </row>
    <row r="63" spans="3:27" x14ac:dyDescent="0.25">
      <c r="E63" t="s">
        <v>722</v>
      </c>
      <c r="G63" t="s">
        <v>148</v>
      </c>
      <c r="I63" t="s">
        <v>153</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723</v>
      </c>
    </row>
    <row r="65" spans="2:27" x14ac:dyDescent="0.25">
      <c r="B65" s="70" t="s">
        <v>724</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153</v>
      </c>
      <c r="J68" s="101"/>
      <c r="K68" s="101"/>
      <c r="L68" s="101"/>
      <c r="M68" s="101"/>
      <c r="N68" s="101"/>
      <c r="O68" s="101"/>
      <c r="P68" s="101"/>
      <c r="Q68" s="101"/>
      <c r="R68" s="101"/>
      <c r="S68" s="101"/>
      <c r="T68" s="101"/>
      <c r="U68" s="101"/>
      <c r="V68" s="101"/>
      <c r="W68" s="101"/>
      <c r="X68" s="101"/>
      <c r="Y68" s="101"/>
      <c r="AA68" t="s">
        <v>723</v>
      </c>
    </row>
    <row r="69" spans="2:27" x14ac:dyDescent="0.25">
      <c r="C69" s="100"/>
      <c r="D69"/>
      <c r="E69" s="60" t="s">
        <v>618</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188</v>
      </c>
      <c r="G70" s="90" t="s">
        <v>725</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190</v>
      </c>
      <c r="G71" t="s">
        <v>725</v>
      </c>
      <c r="J71" s="114"/>
      <c r="K71" s="114"/>
      <c r="L71" s="114"/>
      <c r="M71" s="114"/>
      <c r="N71" s="114"/>
      <c r="O71" s="114"/>
      <c r="P71" s="114"/>
      <c r="Q71" s="114"/>
      <c r="R71" s="114"/>
      <c r="S71" s="114"/>
      <c r="T71" s="114"/>
      <c r="U71" s="114"/>
      <c r="V71" s="114"/>
      <c r="W71" s="114"/>
      <c r="X71" s="114"/>
      <c r="Y71" s="114"/>
    </row>
    <row r="72" spans="2:27" x14ac:dyDescent="0.25">
      <c r="C72" s="100"/>
      <c r="D72"/>
      <c r="E72" s="71"/>
      <c r="F72" t="s">
        <v>191</v>
      </c>
      <c r="G72" t="s">
        <v>725</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192</v>
      </c>
      <c r="G73" t="s">
        <v>725</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193</v>
      </c>
      <c r="G74" t="s">
        <v>725</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194</v>
      </c>
      <c r="G75" t="s">
        <v>725</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195</v>
      </c>
      <c r="G76" t="s">
        <v>725</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196</v>
      </c>
      <c r="G77" t="s">
        <v>725</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197</v>
      </c>
      <c r="G78" t="s">
        <v>725</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198</v>
      </c>
      <c r="G79" t="s">
        <v>725</v>
      </c>
      <c r="J79" s="141">
        <f t="shared" ref="J79:K79" si="49">J$20 * J34 * thousand / PowerFactor</f>
        <v>2874279.5610856828</v>
      </c>
      <c r="K79" s="141">
        <f t="shared" si="49"/>
        <v>0</v>
      </c>
      <c r="L79" s="141">
        <f t="shared" ref="L79:M79" si="50">L$20 * L34 * thousand / PowerFactor</f>
        <v>936761.94270126731</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374</v>
      </c>
      <c r="G80" t="s">
        <v>725</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375</v>
      </c>
      <c r="G81" s="91" t="s">
        <v>725</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619</v>
      </c>
      <c r="J83" s="101"/>
      <c r="K83" s="101"/>
      <c r="L83" s="101"/>
      <c r="M83" s="101"/>
      <c r="N83" s="101"/>
      <c r="O83" s="101"/>
      <c r="P83" s="101"/>
      <c r="Q83" s="101"/>
      <c r="R83" s="101"/>
      <c r="S83" s="101"/>
      <c r="T83" s="101"/>
      <c r="U83" s="101"/>
      <c r="V83" s="101"/>
      <c r="W83" s="101"/>
      <c r="X83" s="101"/>
      <c r="Y83" s="101"/>
    </row>
    <row r="84" spans="3:25" x14ac:dyDescent="0.25">
      <c r="C84" s="100"/>
      <c r="D84"/>
      <c r="F84" s="90" t="s">
        <v>188</v>
      </c>
      <c r="G84" s="90" t="s">
        <v>725</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190</v>
      </c>
      <c r="G85" t="s">
        <v>725</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191</v>
      </c>
      <c r="G86" t="s">
        <v>725</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192</v>
      </c>
      <c r="G87" t="s">
        <v>725</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193</v>
      </c>
      <c r="G88" t="s">
        <v>725</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194</v>
      </c>
      <c r="G89" t="s">
        <v>725</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195</v>
      </c>
      <c r="G90" t="s">
        <v>725</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196</v>
      </c>
      <c r="G91" t="s">
        <v>725</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197</v>
      </c>
      <c r="G92" t="s">
        <v>725</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198</v>
      </c>
      <c r="G93" t="s">
        <v>725</v>
      </c>
      <c r="J93" s="141">
        <f t="shared" ref="J93:K93" si="119">J$20 * J48 * thousand / PowerFactor</f>
        <v>1274304.3446052046</v>
      </c>
      <c r="K93" s="141">
        <f t="shared" si="119"/>
        <v>0</v>
      </c>
      <c r="L93" s="141">
        <f t="shared" ref="L93:M93" si="120">L$20 * L48 * thousand / PowerFactor</f>
        <v>415310.96334767825</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374</v>
      </c>
      <c r="G94" t="s">
        <v>725</v>
      </c>
      <c r="J94" s="114"/>
      <c r="K94" s="114"/>
      <c r="L94" s="114"/>
      <c r="M94" s="114"/>
      <c r="N94" s="114"/>
      <c r="O94" s="114"/>
      <c r="P94" s="114"/>
      <c r="Q94" s="114"/>
      <c r="R94" s="114"/>
      <c r="S94" s="114"/>
      <c r="T94" s="114"/>
      <c r="U94" s="114"/>
      <c r="V94" s="114"/>
      <c r="W94" s="114"/>
      <c r="X94" s="114"/>
      <c r="Y94" s="114"/>
    </row>
    <row r="95" spans="3:25" x14ac:dyDescent="0.25">
      <c r="C95" s="100"/>
      <c r="D95"/>
      <c r="F95" s="91" t="s">
        <v>375</v>
      </c>
      <c r="G95" s="91" t="s">
        <v>725</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153</v>
      </c>
      <c r="J98" s="101"/>
      <c r="K98" s="101"/>
      <c r="L98" s="101"/>
      <c r="M98" s="101"/>
      <c r="N98" s="101"/>
      <c r="O98" s="101"/>
      <c r="P98" s="101"/>
      <c r="Q98" s="101"/>
      <c r="R98" s="101"/>
      <c r="S98" s="101"/>
      <c r="T98" s="101"/>
      <c r="U98" s="101"/>
      <c r="V98" s="101"/>
      <c r="W98" s="101"/>
      <c r="X98" s="101"/>
      <c r="Y98" s="101"/>
      <c r="AA98" t="s">
        <v>723</v>
      </c>
    </row>
    <row r="99" spans="3:27" x14ac:dyDescent="0.25">
      <c r="C99" s="100"/>
      <c r="D99"/>
      <c r="E99" s="60" t="s">
        <v>618</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188</v>
      </c>
      <c r="G100" s="90" t="s">
        <v>725</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190</v>
      </c>
      <c r="G101" t="s">
        <v>725</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191</v>
      </c>
      <c r="G102" t="s">
        <v>725</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192</v>
      </c>
      <c r="G103" t="s">
        <v>725</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193</v>
      </c>
      <c r="G104" t="s">
        <v>725</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194</v>
      </c>
      <c r="G105" t="s">
        <v>725</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195</v>
      </c>
      <c r="G106" t="s">
        <v>725</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196</v>
      </c>
      <c r="G107" t="s">
        <v>725</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197</v>
      </c>
      <c r="G108" t="s">
        <v>725</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198</v>
      </c>
      <c r="G109" t="s">
        <v>725</v>
      </c>
      <c r="J109" s="141">
        <f t="shared" ref="J109:Y109" si="133">SUMIFS($J79:$Y79,$J$63:$Y$63,J$63)</f>
        <v>3811041.5037869504</v>
      </c>
      <c r="K109" s="141">
        <f t="shared" si="133"/>
        <v>0</v>
      </c>
      <c r="L109" s="141">
        <f t="shared" si="133"/>
        <v>3811041.5037869504</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374</v>
      </c>
      <c r="G110" t="s">
        <v>725</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375</v>
      </c>
      <c r="G111" s="91" t="s">
        <v>725</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619</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188</v>
      </c>
      <c r="G114" s="90" t="s">
        <v>725</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190</v>
      </c>
      <c r="G115" t="s">
        <v>725</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191</v>
      </c>
      <c r="G116" t="s">
        <v>725</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192</v>
      </c>
      <c r="G117" t="s">
        <v>725</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193</v>
      </c>
      <c r="G118" t="s">
        <v>725</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194</v>
      </c>
      <c r="G119" t="s">
        <v>725</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195</v>
      </c>
      <c r="G120" t="s">
        <v>725</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196</v>
      </c>
      <c r="G121" t="s">
        <v>725</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197</v>
      </c>
      <c r="G122" t="s">
        <v>725</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198</v>
      </c>
      <c r="G123" t="s">
        <v>725</v>
      </c>
      <c r="J123" s="141">
        <f t="shared" ref="J123:Y123" si="143">SUMIFS($J93:$Y93,$J$63:$Y$63,J$63)</f>
        <v>1689615.307952883</v>
      </c>
      <c r="K123" s="141">
        <f t="shared" si="143"/>
        <v>0</v>
      </c>
      <c r="L123" s="141">
        <f t="shared" si="143"/>
        <v>1689615.307952883</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374</v>
      </c>
      <c r="G124" t="s">
        <v>725</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375</v>
      </c>
      <c r="G125" s="91" t="s">
        <v>725</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726</v>
      </c>
      <c r="G129" t="s">
        <v>211</v>
      </c>
      <c r="J129" s="101">
        <f t="shared" ref="J129:Y129" si="144">SUMIFS($J$18:$Y$18,$J$63:$Y$63,J63)</f>
        <v>2354809.2799730645</v>
      </c>
      <c r="K129" s="101">
        <f t="shared" si="144"/>
        <v>58656.269026808732</v>
      </c>
      <c r="L129" s="101">
        <f t="shared" si="144"/>
        <v>2354809.2799730645</v>
      </c>
      <c r="M129" s="101">
        <f t="shared" si="144"/>
        <v>58656.269026808732</v>
      </c>
      <c r="N129" s="101">
        <f t="shared" si="144"/>
        <v>58656.269026808732</v>
      </c>
      <c r="O129" s="101">
        <f t="shared" si="144"/>
        <v>58656.269026808732</v>
      </c>
      <c r="P129" s="101">
        <f t="shared" si="144"/>
        <v>58656.269026808732</v>
      </c>
      <c r="Q129" s="101">
        <f t="shared" si="144"/>
        <v>58656.269026808732</v>
      </c>
      <c r="R129" s="101">
        <f t="shared" si="144"/>
        <v>58656.269026808732</v>
      </c>
      <c r="S129" s="101">
        <f t="shared" si="144"/>
        <v>58656.269026808732</v>
      </c>
      <c r="T129" s="101">
        <f t="shared" si="144"/>
        <v>58656.269026808732</v>
      </c>
      <c r="U129" s="101">
        <f t="shared" si="144"/>
        <v>58656.269026808732</v>
      </c>
      <c r="V129" s="101">
        <f t="shared" si="144"/>
        <v>58656.269026808732</v>
      </c>
      <c r="W129" s="101">
        <f t="shared" si="144"/>
        <v>58656.269026808732</v>
      </c>
      <c r="X129" s="101">
        <f t="shared" si="144"/>
        <v>58656.269026808732</v>
      </c>
      <c r="Y129" s="101">
        <f t="shared" si="144"/>
        <v>58656.269026808732</v>
      </c>
    </row>
    <row r="130" spans="3:27" x14ac:dyDescent="0.25">
      <c r="D130"/>
      <c r="E130"/>
    </row>
    <row r="131" spans="3:27" x14ac:dyDescent="0.25">
      <c r="C131" s="100"/>
      <c r="E131" s="60" t="s">
        <v>618</v>
      </c>
      <c r="I131" t="s">
        <v>153</v>
      </c>
      <c r="J131" s="101"/>
      <c r="K131" s="101"/>
      <c r="L131" s="101"/>
      <c r="M131" s="101"/>
      <c r="N131" s="101"/>
      <c r="O131" s="101"/>
      <c r="P131" s="101"/>
      <c r="Q131" s="101"/>
      <c r="R131" s="101"/>
      <c r="S131" s="101"/>
      <c r="T131" s="101"/>
      <c r="U131" s="101"/>
      <c r="V131" s="101"/>
      <c r="W131" s="101"/>
      <c r="X131" s="101"/>
      <c r="Y131" s="101"/>
      <c r="AA131" t="s">
        <v>723</v>
      </c>
    </row>
    <row r="132" spans="3:27" x14ac:dyDescent="0.25">
      <c r="C132" s="100"/>
      <c r="E132" s="71"/>
      <c r="F132" s="90" t="s">
        <v>188</v>
      </c>
      <c r="G132" s="90" t="s">
        <v>269</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190</v>
      </c>
      <c r="G133" t="s">
        <v>269</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191</v>
      </c>
      <c r="G134" t="s">
        <v>269</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192</v>
      </c>
      <c r="G135" t="s">
        <v>269</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193</v>
      </c>
      <c r="G136" t="s">
        <v>269</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194</v>
      </c>
      <c r="G137" t="s">
        <v>269</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195</v>
      </c>
      <c r="G138" t="s">
        <v>269</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196</v>
      </c>
      <c r="G139" t="s">
        <v>269</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197</v>
      </c>
      <c r="G140" t="s">
        <v>269</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198</v>
      </c>
      <c r="G141" t="s">
        <v>269</v>
      </c>
      <c r="J141" s="141">
        <f t="shared" ref="J141:K141" si="208">IF(J$129 = 0, 0, J109 / J$129)</f>
        <v>1.6184077140338697</v>
      </c>
      <c r="K141" s="141">
        <f t="shared" si="208"/>
        <v>0</v>
      </c>
      <c r="L141" s="141">
        <f t="shared" ref="L141:M141" si="209">IF(L$129 = 0, 0, L109 / L$129)</f>
        <v>1.6184077140338697</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374</v>
      </c>
      <c r="G142" s="90" t="s">
        <v>269</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375</v>
      </c>
      <c r="G143" s="91" t="s">
        <v>269</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619</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188</v>
      </c>
      <c r="G146" s="90" t="s">
        <v>269</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190</v>
      </c>
      <c r="G147" t="s">
        <v>269</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191</v>
      </c>
      <c r="G148" t="s">
        <v>269</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192</v>
      </c>
      <c r="G149" t="s">
        <v>269</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193</v>
      </c>
      <c r="G150" t="s">
        <v>269</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194</v>
      </c>
      <c r="G151" t="s">
        <v>269</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195</v>
      </c>
      <c r="G152" t="s">
        <v>269</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196</v>
      </c>
      <c r="G153" t="s">
        <v>269</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197</v>
      </c>
      <c r="G154" t="s">
        <v>269</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198</v>
      </c>
      <c r="G155" t="s">
        <v>269</v>
      </c>
      <c r="J155" s="141">
        <f t="shared" ref="J155:K155" si="278">IF(J$129 = 0, 0, J123 / J$129)</f>
        <v>0.71751683769999819</v>
      </c>
      <c r="K155" s="141">
        <f t="shared" si="278"/>
        <v>0</v>
      </c>
      <c r="L155" s="141">
        <f t="shared" ref="L155:M155" si="279">IF(L$129 = 0, 0, L123 / L$129)</f>
        <v>0.71751683769999819</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374</v>
      </c>
      <c r="G156" s="90" t="s">
        <v>269</v>
      </c>
      <c r="H156" s="90"/>
      <c r="I156" s="90"/>
      <c r="J156" s="169">
        <f t="shared" ref="J156:K156" si="285">J55</f>
        <v>10.654673186501922</v>
      </c>
      <c r="K156" s="169">
        <f t="shared" si="285"/>
        <v>0</v>
      </c>
      <c r="L156" s="169">
        <f t="shared" ref="L156:M156" si="286">L55</f>
        <v>9.9704281194788624</v>
      </c>
      <c r="M156" s="169">
        <f t="shared" si="286"/>
        <v>0</v>
      </c>
      <c r="N156" s="169">
        <f t="shared" ref="N156:P156" si="287">N55</f>
        <v>16.484720441239212</v>
      </c>
      <c r="O156" s="169">
        <f t="shared" si="287"/>
        <v>16.484720441239212</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375</v>
      </c>
      <c r="G157" s="91" t="s">
        <v>269</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431.6399417186995</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95.926460844785012</v>
      </c>
      <c r="Y157" s="143">
        <f t="shared" si="298"/>
        <v>95.926460844785012</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158</v>
      </c>
      <c r="G161" t="s">
        <v>269</v>
      </c>
      <c r="J161" s="164">
        <f t="shared" ref="J161:K161" si="299">SUM(J132:J143,J146:J157)</f>
        <v>12.99059773823579</v>
      </c>
      <c r="K161" s="164">
        <f t="shared" si="299"/>
        <v>0</v>
      </c>
      <c r="L161" s="164">
        <f t="shared" ref="L161:M161" si="300">SUM(L132:L143,L146:L157)</f>
        <v>12.30635267121273</v>
      </c>
      <c r="M161" s="164">
        <f t="shared" si="300"/>
        <v>0</v>
      </c>
      <c r="N161" s="164">
        <f t="shared" ref="N161:P161" si="301">SUM(N132:N143,N146:N157)</f>
        <v>16.484720441239212</v>
      </c>
      <c r="O161" s="164">
        <f t="shared" si="301"/>
        <v>16.484720441239212</v>
      </c>
      <c r="P161" s="164">
        <f t="shared" si="301"/>
        <v>431.6399417186995</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95.926460844785012</v>
      </c>
      <c r="Y161" s="164">
        <f>SUM(Y132:Y143,Y146:Y157)</f>
        <v>95.926460844785012</v>
      </c>
    </row>
    <row r="163" spans="2:27" x14ac:dyDescent="0.25">
      <c r="B163" s="70" t="s">
        <v>230</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231</v>
      </c>
      <c r="G165" s="6" t="s">
        <v>54</v>
      </c>
      <c r="H165" s="108">
        <f t="array" ref="H165">SUM(IF(ISERROR(H18:Y161), 1))</f>
        <v>0</v>
      </c>
    </row>
    <row r="167" spans="2:27" x14ac:dyDescent="0.25">
      <c r="B167" s="70" t="s">
        <v>105</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860</v>
      </c>
      <c r="E9"/>
    </row>
    <row r="10" spans="1:27" x14ac:dyDescent="0.25">
      <c r="C10" s="71" t="s">
        <v>861</v>
      </c>
      <c r="E10"/>
    </row>
    <row r="12" spans="1:27" x14ac:dyDescent="0.25">
      <c r="B12" s="70" t="s">
        <v>862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863</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211</v>
      </c>
      <c r="F18" s="60"/>
    </row>
    <row r="19" spans="1:27" x14ac:dyDescent="0.25">
      <c r="E19" s="71" t="s">
        <v>864</v>
      </c>
      <c r="F19" s="2"/>
    </row>
    <row r="20" spans="1:27" x14ac:dyDescent="0.25">
      <c r="C20" s="100"/>
      <c r="F20" s="90" t="s">
        <v>444</v>
      </c>
      <c r="G20" s="90" t="s">
        <v>211</v>
      </c>
      <c r="H20" s="276"/>
      <c r="I20" s="264"/>
      <c r="J20" s="276">
        <f>'Volume adjustments'!J202</f>
        <v>2156414.718697391</v>
      </c>
      <c r="K20" s="276">
        <f>'Volume adjustments'!K202</f>
        <v>4043.2318793394506</v>
      </c>
      <c r="L20" s="276">
        <f>'Volume adjustments'!L202</f>
        <v>142669.49496676389</v>
      </c>
      <c r="M20" s="276">
        <f>'Volume adjustments'!M202</f>
        <v>1571.1666666666665</v>
      </c>
      <c r="N20" s="276">
        <f>'Volume adjustments'!N202</f>
        <v>15024.344632808288</v>
      </c>
      <c r="O20" s="276">
        <f>'Volume adjustments'!O202</f>
        <v>680.98027884009957</v>
      </c>
      <c r="P20" s="276">
        <f>'Volume adjustments'!P202</f>
        <v>1972.1992090396534</v>
      </c>
      <c r="Q20" s="276">
        <f>'Volume adjustments'!Q202</f>
        <v>623.86666666666667</v>
      </c>
      <c r="R20" s="276">
        <f>'Volume adjustments'!R202</f>
        <v>32972.366465964653</v>
      </c>
      <c r="S20" s="276">
        <f>'Volume adjustments'!S202</f>
        <v>0</v>
      </c>
      <c r="T20" s="276">
        <f>'Volume adjustments'!T202</f>
        <v>717</v>
      </c>
      <c r="U20" s="276">
        <f>'Volume adjustments'!U202</f>
        <v>0</v>
      </c>
      <c r="V20" s="276">
        <f>'Volume adjustments'!V202</f>
        <v>36</v>
      </c>
      <c r="W20" s="276">
        <f>'Volume adjustments'!W202</f>
        <v>0</v>
      </c>
      <c r="X20" s="276">
        <f>'Volume adjustments'!X202</f>
        <v>286</v>
      </c>
      <c r="Y20" s="276">
        <f>'Volume adjustments'!Y202</f>
        <v>0</v>
      </c>
      <c r="Z20" s="266"/>
      <c r="AA20" s="266"/>
    </row>
    <row r="21" spans="1:27" x14ac:dyDescent="0.25">
      <c r="C21" s="100"/>
      <c r="F21" t="s">
        <v>445</v>
      </c>
      <c r="G21" t="s">
        <v>211</v>
      </c>
      <c r="H21" s="277"/>
      <c r="I21" s="266"/>
      <c r="J21" s="277">
        <f>'Volume adjustments'!J211</f>
        <v>44241.292567649827</v>
      </c>
      <c r="K21" s="277">
        <f>'Volume adjustments'!K211</f>
        <v>0</v>
      </c>
      <c r="L21" s="277">
        <f>'Volume adjustments'!L211</f>
        <v>626.5770291477329</v>
      </c>
      <c r="M21" s="277">
        <f>'Volume adjustments'!M211</f>
        <v>0</v>
      </c>
      <c r="N21" s="277">
        <f>'Volume adjustments'!N211</f>
        <v>174.39864689980519</v>
      </c>
      <c r="O21" s="277">
        <f>'Volume adjustments'!O211</f>
        <v>0</v>
      </c>
      <c r="P21" s="277">
        <f>'Volume adjustments'!P211</f>
        <v>0</v>
      </c>
      <c r="Q21" s="277">
        <f>'Volume adjustments'!Q211</f>
        <v>149.67048054834018</v>
      </c>
      <c r="R21" s="277">
        <f>'Volume adjustments'!R211</f>
        <v>273.96666666666664</v>
      </c>
      <c r="S21" s="277">
        <f>'Volume adjustments'!S211</f>
        <v>0</v>
      </c>
      <c r="T21" s="277">
        <f>'Volume adjustments'!T211</f>
        <v>2</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446</v>
      </c>
      <c r="G22" t="s">
        <v>211</v>
      </c>
      <c r="H22" s="277"/>
      <c r="I22" s="266"/>
      <c r="J22" s="277">
        <f>'Volume adjustments'!J220</f>
        <v>69159.345207045189</v>
      </c>
      <c r="K22" s="277">
        <f>'Volume adjustments'!K220</f>
        <v>145.76603322968793</v>
      </c>
      <c r="L22" s="277">
        <f>'Volume adjustments'!L220</f>
        <v>1320.1370211843459</v>
      </c>
      <c r="M22" s="277">
        <f>'Volume adjustments'!M220</f>
        <v>1.301482439550784</v>
      </c>
      <c r="N22" s="277">
        <f>'Volume adjustments'!N220</f>
        <v>672.86642124775562</v>
      </c>
      <c r="O22" s="277">
        <f>'Volume adjustments'!O220</f>
        <v>76.787463933496269</v>
      </c>
      <c r="P22" s="277">
        <f>'Volume adjustments'!P220</f>
        <v>50.757815142480595</v>
      </c>
      <c r="Q22" s="277">
        <f>'Volume adjustments'!Q220</f>
        <v>243.37721619599679</v>
      </c>
      <c r="R22" s="277">
        <f>'Volume adjustments'!R220</f>
        <v>541.53333333333342</v>
      </c>
      <c r="S22" s="277">
        <f>'Volume adjustments'!S220</f>
        <v>2</v>
      </c>
      <c r="T22" s="277">
        <f>'Volume adjustments'!T220</f>
        <v>11</v>
      </c>
      <c r="U22" s="277">
        <f>'Volume adjustments'!U220</f>
        <v>0</v>
      </c>
      <c r="V22" s="277">
        <f>'Volume adjustments'!V220</f>
        <v>3</v>
      </c>
      <c r="W22" s="277">
        <f>'Volume adjustments'!W220</f>
        <v>0</v>
      </c>
      <c r="X22" s="277">
        <f>'Volume adjustments'!X220</f>
        <v>4</v>
      </c>
      <c r="Y22" s="277">
        <f>'Volume adjustments'!Y220</f>
        <v>0</v>
      </c>
      <c r="Z22" s="266"/>
      <c r="AA22" s="266"/>
    </row>
    <row r="23" spans="1:27" x14ac:dyDescent="0.25">
      <c r="C23" s="100"/>
      <c r="F23" s="91" t="s">
        <v>865</v>
      </c>
      <c r="G23" s="91" t="s">
        <v>211</v>
      </c>
      <c r="H23" s="296"/>
      <c r="I23" s="91"/>
      <c r="J23" s="168">
        <f>'Inputs by customer type'!J161</f>
        <v>2193.9089483507587</v>
      </c>
      <c r="K23" s="168">
        <f>'Inputs by customer type'!K161</f>
        <v>0</v>
      </c>
      <c r="L23" s="168">
        <f>'Inputs by customer type'!L161</f>
        <v>0</v>
      </c>
      <c r="M23" s="168">
        <f>'Inputs by customer type'!M161</f>
        <v>0</v>
      </c>
      <c r="N23" s="168">
        <f>'Inputs by customer type'!N161</f>
        <v>6.5074121977539221</v>
      </c>
      <c r="O23" s="168">
        <f>'Inputs by customer type'!O161</f>
        <v>0</v>
      </c>
      <c r="P23" s="168">
        <f>'Inputs by customer type'!P161</f>
        <v>7.808894637304709</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866</v>
      </c>
      <c r="J25" s="101"/>
      <c r="K25" s="101"/>
      <c r="L25" s="101"/>
      <c r="M25" s="101"/>
      <c r="N25" s="101"/>
      <c r="O25" s="101"/>
      <c r="P25" s="101"/>
      <c r="Q25" s="101"/>
      <c r="R25" s="101"/>
      <c r="S25" s="101"/>
      <c r="T25" s="101"/>
      <c r="U25" s="101"/>
      <c r="V25" s="101"/>
      <c r="W25" s="101"/>
      <c r="X25" s="101"/>
      <c r="Y25" s="101"/>
    </row>
    <row r="26" spans="1:27" x14ac:dyDescent="0.25">
      <c r="C26" s="100"/>
      <c r="E26"/>
      <c r="F26" s="90" t="s">
        <v>867</v>
      </c>
      <c r="G26" s="90" t="s">
        <v>175</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868</v>
      </c>
      <c r="G27" s="15" t="s">
        <v>175</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1141</v>
      </c>
      <c r="G28" s="91" t="s">
        <v>175</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869</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867</v>
      </c>
      <c r="G31" s="90" t="s">
        <v>276</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868</v>
      </c>
      <c r="G32" s="15" t="s">
        <v>276</v>
      </c>
      <c r="H32" s="190">
        <f>'General inputs'!H54</f>
        <v>-21060.414469411629</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1141</v>
      </c>
      <c r="G33" s="91" t="s">
        <v>276</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870</v>
      </c>
      <c r="J37" s="101"/>
      <c r="K37" s="101"/>
      <c r="L37" s="101"/>
      <c r="M37" s="101"/>
      <c r="N37" s="101"/>
      <c r="O37" s="101"/>
      <c r="P37" s="101"/>
      <c r="Q37" s="101"/>
      <c r="R37" s="101"/>
      <c r="S37" s="101"/>
      <c r="T37" s="101"/>
      <c r="U37" s="101"/>
      <c r="V37" s="101"/>
      <c r="W37" s="101"/>
      <c r="X37" s="101"/>
      <c r="Y37" s="101"/>
    </row>
    <row r="38" spans="1:27" x14ac:dyDescent="0.25">
      <c r="A38" s="15"/>
      <c r="F38" s="90" t="s">
        <v>867</v>
      </c>
      <c r="G38" s="90" t="s">
        <v>211</v>
      </c>
      <c r="H38" s="90"/>
      <c r="I38" s="90"/>
      <c r="J38" s="222">
        <f t="shared" ref="J38:Y38" si="0">SUM( J$20:J$23 ) * J26</f>
        <v>2272009.2654204369</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868</v>
      </c>
      <c r="G39" s="15" t="s">
        <v>211</v>
      </c>
      <c r="J39" s="301">
        <f>SUM( J$20:J$23 ) * J27</f>
        <v>2272009.2654204369</v>
      </c>
      <c r="K39" s="301">
        <f t="shared" ref="K39:Y39" si="1">SUM( K$20:K$23 ) * K27</f>
        <v>0</v>
      </c>
      <c r="L39" s="301">
        <f t="shared" si="1"/>
        <v>144616.20901709597</v>
      </c>
      <c r="M39" s="301">
        <f t="shared" si="1"/>
        <v>0</v>
      </c>
      <c r="N39" s="301">
        <f t="shared" si="1"/>
        <v>15878.117113153603</v>
      </c>
      <c r="O39" s="301">
        <f t="shared" si="1"/>
        <v>757.76774277359584</v>
      </c>
      <c r="P39" s="301">
        <f t="shared" si="1"/>
        <v>2030.7659188194389</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1141</v>
      </c>
      <c r="G40" s="91" t="s">
        <v>211</v>
      </c>
      <c r="H40" s="91"/>
      <c r="I40" s="91"/>
      <c r="J40" s="193">
        <f>SUM( J$20:J$23 ) * J28</f>
        <v>2272009.2654204369</v>
      </c>
      <c r="K40" s="193">
        <f t="shared" ref="K40:Y40" si="2">SUM( K$20:K$23 ) * K28</f>
        <v>0</v>
      </c>
      <c r="L40" s="193">
        <f t="shared" si="2"/>
        <v>144616.20901709597</v>
      </c>
      <c r="M40" s="193">
        <f t="shared" si="2"/>
        <v>0</v>
      </c>
      <c r="N40" s="193">
        <f t="shared" si="2"/>
        <v>15878.117113153603</v>
      </c>
      <c r="O40" s="193">
        <f t="shared" si="2"/>
        <v>757.76774277359584</v>
      </c>
      <c r="P40" s="193">
        <f t="shared" si="2"/>
        <v>2030.7659188194389</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871</v>
      </c>
      <c r="I42" t="s">
        <v>153</v>
      </c>
      <c r="J42" s="101"/>
      <c r="K42" s="101"/>
      <c r="L42" s="101"/>
      <c r="M42" s="101"/>
      <c r="N42" s="101"/>
      <c r="O42" s="101"/>
      <c r="P42" s="101"/>
      <c r="Q42" s="101"/>
      <c r="R42" s="101"/>
      <c r="S42" s="101"/>
      <c r="T42" s="101"/>
      <c r="U42" s="101"/>
      <c r="V42" s="101"/>
      <c r="W42" s="101"/>
      <c r="X42" s="101"/>
      <c r="Y42" s="101"/>
      <c r="AA42" t="s">
        <v>1149</v>
      </c>
    </row>
    <row r="43" spans="1:27" x14ac:dyDescent="0.25">
      <c r="A43" s="15"/>
      <c r="C43" s="100"/>
      <c r="E43"/>
      <c r="F43" s="90" t="s">
        <v>867</v>
      </c>
      <c r="G43" s="90" t="s">
        <v>269</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868</v>
      </c>
      <c r="G44" s="15" t="s">
        <v>269</v>
      </c>
      <c r="H44" s="303">
        <f>H32 / SUM( J39:Y39 ) * hundred / days_in_year</f>
        <v>-2.3693159876904436E-3</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1141</v>
      </c>
      <c r="G45" s="91" t="s">
        <v>269</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872</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867</v>
      </c>
      <c r="G48" s="90" t="s">
        <v>269</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868</v>
      </c>
      <c r="G49" s="15" t="s">
        <v>269</v>
      </c>
      <c r="H49" s="303"/>
      <c r="I49" s="303"/>
      <c r="J49" s="303">
        <f>IF( J27 = 1, $H44, 0)</f>
        <v>-2.3693159876904436E-3</v>
      </c>
      <c r="K49" s="303">
        <f t="shared" ref="K49:Y49" si="4">IF( K27 = 1, $H44, 0)</f>
        <v>0</v>
      </c>
      <c r="L49" s="303">
        <f t="shared" si="4"/>
        <v>-2.3693159876904436E-3</v>
      </c>
      <c r="M49" s="303">
        <f t="shared" si="4"/>
        <v>0</v>
      </c>
      <c r="N49" s="303">
        <f t="shared" si="4"/>
        <v>-2.3693159876904436E-3</v>
      </c>
      <c r="O49" s="303">
        <f t="shared" si="4"/>
        <v>-2.3693159876904436E-3</v>
      </c>
      <c r="P49" s="303">
        <f t="shared" si="4"/>
        <v>-2.3693159876904436E-3</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1141</v>
      </c>
      <c r="G50" s="91" t="s">
        <v>269</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542</v>
      </c>
      <c r="G51" s="307" t="s">
        <v>269</v>
      </c>
      <c r="H51" s="308"/>
      <c r="I51" s="308"/>
      <c r="J51" s="309">
        <f t="shared" ref="J51:Y51" si="6" xml:space="preserve"> J48 + J50 + J49</f>
        <v>-2.3693159876904436E-3</v>
      </c>
      <c r="K51" s="309">
        <f t="shared" si="6"/>
        <v>0</v>
      </c>
      <c r="L51" s="309">
        <f t="shared" si="6"/>
        <v>-2.3693159876904436E-3</v>
      </c>
      <c r="M51" s="309">
        <f t="shared" si="6"/>
        <v>0</v>
      </c>
      <c r="N51" s="309">
        <f t="shared" si="6"/>
        <v>-2.3693159876904436E-3</v>
      </c>
      <c r="O51" s="309">
        <f t="shared" si="6"/>
        <v>-2.3693159876904436E-3</v>
      </c>
      <c r="P51" s="309">
        <f t="shared" si="6"/>
        <v>-2.3693159876904436E-3</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873</v>
      </c>
      <c r="G55" s="6" t="s">
        <v>276</v>
      </c>
      <c r="H55" s="310"/>
      <c r="I55" s="47"/>
      <c r="J55" s="310">
        <f t="shared" ref="J55:Y55" si="7">J51 / hundred * days_in_year * SUM( J20:J22 )</f>
        <v>-19629.370818160278</v>
      </c>
      <c r="K55" s="310">
        <f t="shared" si="7"/>
        <v>0</v>
      </c>
      <c r="L55" s="310">
        <f t="shared" si="7"/>
        <v>-1250.6414607773675</v>
      </c>
      <c r="M55" s="310">
        <f t="shared" si="7"/>
        <v>0</v>
      </c>
      <c r="N55" s="310">
        <f t="shared" si="7"/>
        <v>-137.25773394422961</v>
      </c>
      <c r="O55" s="310">
        <f t="shared" si="7"/>
        <v>-6.5531779818699674</v>
      </c>
      <c r="P55" s="310">
        <f t="shared" si="7"/>
        <v>-17.494539132289759</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874</v>
      </c>
      <c r="G57" s="6" t="s">
        <v>276</v>
      </c>
      <c r="H57" s="311">
        <f>SUM( J55:Y55 )</f>
        <v>-21041.317729996033</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875</v>
      </c>
      <c r="G59" s="6" t="s">
        <v>276</v>
      </c>
      <c r="H59" s="310"/>
      <c r="I59" s="47"/>
      <c r="J59" s="310">
        <f t="shared" ref="J59:Y59" si="8">J51 / hundred * days_in_year * J23</f>
        <v>-18.972931946055716</v>
      </c>
      <c r="K59" s="310">
        <f t="shared" si="8"/>
        <v>0</v>
      </c>
      <c r="L59" s="310">
        <f t="shared" si="8"/>
        <v>0</v>
      </c>
      <c r="M59" s="310">
        <f t="shared" si="8"/>
        <v>0</v>
      </c>
      <c r="N59" s="310">
        <f t="shared" si="8"/>
        <v>-5.6276122519000132E-2</v>
      </c>
      <c r="O59" s="310">
        <f t="shared" si="8"/>
        <v>0</v>
      </c>
      <c r="P59" s="310">
        <f t="shared" si="8"/>
        <v>-6.7531347022800184E-2</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876</v>
      </c>
      <c r="G61" s="6" t="s">
        <v>276</v>
      </c>
      <c r="H61" s="311">
        <f>SUM( J59:Y59 )</f>
        <v>-19.096739415597519</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230</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877</v>
      </c>
      <c r="G65" s="6" t="s">
        <v>276</v>
      </c>
      <c r="H65" s="310"/>
      <c r="I65" s="47"/>
      <c r="J65" s="303">
        <f xml:space="preserve"> J55 + J59</f>
        <v>-19648.343750106334</v>
      </c>
      <c r="K65" s="303">
        <f t="shared" ref="K65:Y65" si="9" xml:space="preserve"> K55 + K59</f>
        <v>0</v>
      </c>
      <c r="L65" s="303">
        <f t="shared" si="9"/>
        <v>-1250.6414607773675</v>
      </c>
      <c r="M65" s="303">
        <f t="shared" si="9"/>
        <v>0</v>
      </c>
      <c r="N65" s="303">
        <f t="shared" si="9"/>
        <v>-137.31401006674861</v>
      </c>
      <c r="O65" s="303">
        <f t="shared" si="9"/>
        <v>-6.5531779818699674</v>
      </c>
      <c r="P65" s="303">
        <f t="shared" si="9"/>
        <v>-17.56207047931256</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878</v>
      </c>
      <c r="G67" s="6" t="s">
        <v>276</v>
      </c>
      <c r="H67" s="259">
        <f>SUM( J65:Y65 )</f>
        <v>-21060.414469411629</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879</v>
      </c>
      <c r="G69" s="6" t="s">
        <v>54</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231</v>
      </c>
      <c r="G71" s="6" t="s">
        <v>54</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105</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5" t="s">
        <v>142</v>
      </c>
      <c r="H5" s="102"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6" spans="1:43" x14ac:dyDescent="0.25">
      <c r="C6" s="100"/>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727</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728</v>
      </c>
      <c r="E10"/>
    </row>
    <row r="11" spans="1:43" x14ac:dyDescent="0.25">
      <c r="D11" s="71" t="s">
        <v>729</v>
      </c>
    </row>
    <row r="13" spans="1:43" x14ac:dyDescent="0.25">
      <c r="B13" s="70" t="s">
        <v>730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1018</v>
      </c>
      <c r="F17" s="2"/>
    </row>
    <row r="18" spans="3:43" x14ac:dyDescent="0.25">
      <c r="D18" s="100"/>
      <c r="F18" s="2"/>
    </row>
    <row r="19" spans="3:43" ht="60" x14ac:dyDescent="0.25">
      <c r="D19"/>
      <c r="E19" s="60" t="s">
        <v>731</v>
      </c>
      <c r="F19" s="60"/>
      <c r="J19" s="312" t="s">
        <v>1158</v>
      </c>
      <c r="K19" s="312" t="s">
        <v>825</v>
      </c>
      <c r="L19" s="312" t="s">
        <v>1159</v>
      </c>
      <c r="M19" s="312" t="s">
        <v>826</v>
      </c>
      <c r="N19" s="312" t="s">
        <v>832</v>
      </c>
      <c r="O19" s="312" t="s">
        <v>833</v>
      </c>
      <c r="P19" s="312" t="s">
        <v>834</v>
      </c>
      <c r="Q19" s="312" t="s">
        <v>835</v>
      </c>
      <c r="R19" s="312" t="s">
        <v>827</v>
      </c>
      <c r="S19" s="312" t="s">
        <v>828</v>
      </c>
      <c r="T19" s="312" t="s">
        <v>829</v>
      </c>
      <c r="U19" s="312" t="s">
        <v>838</v>
      </c>
      <c r="V19" s="312" t="s">
        <v>830</v>
      </c>
      <c r="W19" s="312" t="s">
        <v>837</v>
      </c>
      <c r="X19" s="312" t="s">
        <v>831</v>
      </c>
      <c r="Y19" s="312" t="s">
        <v>836</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155</v>
      </c>
      <c r="G20" s="90" t="s">
        <v>268</v>
      </c>
      <c r="H20" s="264"/>
      <c r="I20" s="264"/>
      <c r="J20" s="276">
        <f>'Unit rate charges'!J217</f>
        <v>5.2938591475870105</v>
      </c>
      <c r="K20" s="276">
        <f>'Unit rate charges'!K217</f>
        <v>5.2938591475870105</v>
      </c>
      <c r="L20" s="276">
        <f>'Unit rate charges'!L217</f>
        <v>6.4186667388773344</v>
      </c>
      <c r="M20" s="276">
        <f>'Unit rate charges'!M217</f>
        <v>6.4186667388773344</v>
      </c>
      <c r="N20" s="276">
        <f>'Unit rate charges'!N217</f>
        <v>4.4997596707397127</v>
      </c>
      <c r="O20" s="276">
        <f>'Unit rate charges'!O217</f>
        <v>2.8296793840814214</v>
      </c>
      <c r="P20" s="276">
        <f>'Unit rate charges'!P217</f>
        <v>1.9303039613019599</v>
      </c>
      <c r="Q20" s="276">
        <f>'Unit rate charges'!Q217</f>
        <v>15.314183490491144</v>
      </c>
      <c r="R20" s="276">
        <f>'Unit rate charges'!R217</f>
        <v>-3.9153163284981733</v>
      </c>
      <c r="S20" s="276">
        <f>'Unit rate charges'!S217</f>
        <v>-3.2363520194065214</v>
      </c>
      <c r="T20" s="276">
        <f>'Unit rate charges'!T217</f>
        <v>-3.9153163284981733</v>
      </c>
      <c r="U20" s="276">
        <f>'Unit rate charges'!U217</f>
        <v>-3.9153163284981733</v>
      </c>
      <c r="V20" s="276">
        <f>'Unit rate charges'!V217</f>
        <v>-3.2363520194065214</v>
      </c>
      <c r="W20" s="276">
        <f>'Unit rate charges'!W217</f>
        <v>-3.2363520194065214</v>
      </c>
      <c r="X20" s="276">
        <f>'Unit rate charges'!X217</f>
        <v>-2.1978270768307269</v>
      </c>
      <c r="Y20" s="276">
        <f>'Unit rate charges'!Y217</f>
        <v>-2.1978270768307269</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156</v>
      </c>
      <c r="G21" t="s">
        <v>268</v>
      </c>
      <c r="H21" s="266"/>
      <c r="I21" s="266"/>
      <c r="J21" s="313">
        <f>'Unit rate charges'!J218</f>
        <v>1.7412053834091776</v>
      </c>
      <c r="K21" s="313">
        <f>'Unit rate charges'!K218</f>
        <v>1.7412053834091776</v>
      </c>
      <c r="L21" s="313">
        <f>'Unit rate charges'!L218</f>
        <v>2.1111663095790658</v>
      </c>
      <c r="M21" s="313">
        <f>'Unit rate charges'!M218</f>
        <v>2.1111663095790658</v>
      </c>
      <c r="N21" s="313">
        <f>'Unit rate charges'!N218</f>
        <v>1.4431517765522237</v>
      </c>
      <c r="O21" s="313">
        <f>'Unit rate charges'!O218</f>
        <v>0.85352965281035553</v>
      </c>
      <c r="P21" s="313">
        <f>'Unit rate charges'!P218</f>
        <v>0.54619707647398175</v>
      </c>
      <c r="Q21" s="313">
        <f>'Unit rate charges'!Q218</f>
        <v>1.6395116348821819</v>
      </c>
      <c r="R21" s="313">
        <f>'Unit rate charges'!R218</f>
        <v>-1.287788299399371</v>
      </c>
      <c r="S21" s="313">
        <f>'Unit rate charges'!S218</f>
        <v>-1.0485928038384174</v>
      </c>
      <c r="T21" s="313">
        <f>'Unit rate charges'!T218</f>
        <v>-1.287788299399371</v>
      </c>
      <c r="U21" s="313">
        <f>'Unit rate charges'!U218</f>
        <v>-1.287788299399371</v>
      </c>
      <c r="V21" s="313">
        <f>'Unit rate charges'!V218</f>
        <v>-1.0485928038384174</v>
      </c>
      <c r="W21" s="313">
        <f>'Unit rate charges'!W218</f>
        <v>-1.0485928038384174</v>
      </c>
      <c r="X21" s="313">
        <f>'Unit rate charges'!X218</f>
        <v>-0.66294103578575292</v>
      </c>
      <c r="Y21" s="313">
        <f>'Unit rate charges'!Y218</f>
        <v>-0.66294103578575292</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157</v>
      </c>
      <c r="G22" t="s">
        <v>268</v>
      </c>
      <c r="H22" s="266"/>
      <c r="I22" s="266"/>
      <c r="J22" s="313">
        <f>'Unit rate charges'!J219</f>
        <v>0.25725070876601308</v>
      </c>
      <c r="K22" s="313">
        <f>'Unit rate charges'!K219</f>
        <v>0.25725070876601308</v>
      </c>
      <c r="L22" s="313">
        <f>'Unit rate charges'!L219</f>
        <v>0.3119098037698384</v>
      </c>
      <c r="M22" s="313">
        <f>'Unit rate charges'!M219</f>
        <v>0.3119098037698384</v>
      </c>
      <c r="N22" s="313">
        <f>'Unit rate charges'!N219</f>
        <v>0.20756011439443356</v>
      </c>
      <c r="O22" s="313">
        <f>'Unit rate charges'!O219</f>
        <v>0.11426321740343361</v>
      </c>
      <c r="P22" s="313">
        <f>'Unit rate charges'!P219</f>
        <v>6.7090042106194347E-2</v>
      </c>
      <c r="Q22" s="313">
        <f>'Unit rate charges'!Q219</f>
        <v>0.27858858068711206</v>
      </c>
      <c r="R22" s="313">
        <f>'Unit rate charges'!R219</f>
        <v>-0.19026156013395229</v>
      </c>
      <c r="S22" s="313">
        <f>'Unit rate charges'!S219</f>
        <v>-0.15248656530221741</v>
      </c>
      <c r="T22" s="313">
        <f>'Unit rate charges'!T219</f>
        <v>-0.19026156013395229</v>
      </c>
      <c r="U22" s="313">
        <f>'Unit rate charges'!U219</f>
        <v>-0.19026156013395229</v>
      </c>
      <c r="V22" s="313">
        <f>'Unit rate charges'!V219</f>
        <v>-0.15248656530221741</v>
      </c>
      <c r="W22" s="313">
        <f>'Unit rate charges'!W219</f>
        <v>-0.15248656530221741</v>
      </c>
      <c r="X22" s="313">
        <f>'Unit rate charges'!X219</f>
        <v>-8.874885066761197E-2</v>
      </c>
      <c r="Y22" s="313">
        <f>'Unit rate charges'!Y219</f>
        <v>-8.874885066761197E-2</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158</v>
      </c>
      <c r="G23" t="s">
        <v>269</v>
      </c>
      <c r="J23" s="167">
        <f>'Fixed charges'!J161</f>
        <v>12.99059773823579</v>
      </c>
      <c r="K23" s="167">
        <f>'Fixed charges'!K161</f>
        <v>0</v>
      </c>
      <c r="L23" s="167">
        <f>'Fixed charges'!L161</f>
        <v>12.30635267121273</v>
      </c>
      <c r="M23" s="167">
        <f>'Fixed charges'!M161</f>
        <v>0</v>
      </c>
      <c r="N23" s="167">
        <f>'Fixed charges'!N161</f>
        <v>16.484720441239212</v>
      </c>
      <c r="O23" s="167">
        <f>'Fixed charges'!O161</f>
        <v>16.484720441239212</v>
      </c>
      <c r="P23" s="167">
        <f>'Fixed charges'!P161</f>
        <v>431.6399417186995</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95.926460844785012</v>
      </c>
      <c r="Y23" s="167">
        <f>'Fixed charges'!Y161</f>
        <v>95.926460844785012</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159</v>
      </c>
      <c r="G24" t="s">
        <v>270</v>
      </c>
      <c r="J24" s="167">
        <f>'Capacity charges'!J256</f>
        <v>0</v>
      </c>
      <c r="K24" s="167">
        <f>'Capacity charges'!K256</f>
        <v>0</v>
      </c>
      <c r="L24" s="167">
        <f>'Capacity charges'!L256</f>
        <v>0</v>
      </c>
      <c r="M24" s="167">
        <f>'Capacity charges'!M256</f>
        <v>0</v>
      </c>
      <c r="N24" s="167">
        <f>'Capacity charges'!N256</f>
        <v>3.6682304258861356</v>
      </c>
      <c r="O24" s="167">
        <f>'Capacity charges'!O256</f>
        <v>2.862433987174307</v>
      </c>
      <c r="P24" s="167">
        <f>'Capacity charges'!P256</f>
        <v>3.3605627625627932</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160</v>
      </c>
      <c r="G25" t="s">
        <v>270</v>
      </c>
      <c r="J25" s="168">
        <f>'Capacity charges'!J257</f>
        <v>0</v>
      </c>
      <c r="K25" s="168">
        <f>'Capacity charges'!K257</f>
        <v>0</v>
      </c>
      <c r="L25" s="168">
        <f>'Capacity charges'!L257</f>
        <v>0</v>
      </c>
      <c r="M25" s="168">
        <f>'Capacity charges'!M257</f>
        <v>0</v>
      </c>
      <c r="N25" s="168">
        <f>'Capacity charges'!N257</f>
        <v>3.6682304258861356</v>
      </c>
      <c r="O25" s="168">
        <f>'Capacity charges'!O257</f>
        <v>2.862433987174307</v>
      </c>
      <c r="P25" s="168">
        <f>'Capacity charges'!P257</f>
        <v>3.3605627625627932</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161</v>
      </c>
      <c r="G26" s="91" t="s">
        <v>271</v>
      </c>
      <c r="H26" s="268"/>
      <c r="I26" s="268"/>
      <c r="J26" s="314">
        <f>'Reactive power charges'!J250</f>
        <v>0</v>
      </c>
      <c r="K26" s="314">
        <f>'Reactive power charges'!K250</f>
        <v>0</v>
      </c>
      <c r="L26" s="314">
        <f>'Reactive power charges'!L250</f>
        <v>0</v>
      </c>
      <c r="M26" s="314">
        <f>'Reactive power charges'!M250</f>
        <v>0</v>
      </c>
      <c r="N26" s="314">
        <f>'Reactive power charges'!N250</f>
        <v>0.13347738083351493</v>
      </c>
      <c r="O26" s="314">
        <f>'Reactive power charges'!O250</f>
        <v>7.6325289559681084E-2</v>
      </c>
      <c r="P26" s="314">
        <f>'Reactive power charges'!P250</f>
        <v>4.7259125728394052E-2</v>
      </c>
      <c r="Q26" s="314">
        <f>'Reactive power charges'!Q250</f>
        <v>0</v>
      </c>
      <c r="R26" s="314">
        <f>'Reactive power charges'!R250</f>
        <v>0</v>
      </c>
      <c r="S26" s="314">
        <f>'Reactive power charges'!S250</f>
        <v>0</v>
      </c>
      <c r="T26" s="314">
        <f>'Reactive power charges'!T250</f>
        <v>0.10555146965941306</v>
      </c>
      <c r="U26" s="314">
        <f>'Reactive power charges'!U250</f>
        <v>0</v>
      </c>
      <c r="V26" s="314">
        <f>'Reactive power charges'!V250</f>
        <v>9.6832806963468576E-2</v>
      </c>
      <c r="W26" s="314">
        <f>'Reactive power charges'!W250</f>
        <v>0</v>
      </c>
      <c r="X26" s="314">
        <f>'Reactive power charges'!X250</f>
        <v>8.46405248447962E-2</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1158</v>
      </c>
      <c r="K28" s="312" t="s">
        <v>825</v>
      </c>
      <c r="L28" s="312" t="s">
        <v>1159</v>
      </c>
      <c r="M28" s="312" t="s">
        <v>826</v>
      </c>
      <c r="N28" s="312" t="s">
        <v>832</v>
      </c>
      <c r="O28" s="312" t="s">
        <v>833</v>
      </c>
      <c r="P28" s="312" t="s">
        <v>834</v>
      </c>
      <c r="Q28" s="312" t="s">
        <v>835</v>
      </c>
      <c r="R28" s="312" t="s">
        <v>827</v>
      </c>
      <c r="S28" s="312" t="s">
        <v>828</v>
      </c>
      <c r="T28" s="312" t="s">
        <v>829</v>
      </c>
      <c r="U28" s="312" t="s">
        <v>838</v>
      </c>
      <c r="V28" s="312" t="s">
        <v>830</v>
      </c>
      <c r="W28" s="312" t="s">
        <v>837</v>
      </c>
      <c r="X28" s="312" t="s">
        <v>831</v>
      </c>
      <c r="Y28" s="312" t="s">
        <v>836</v>
      </c>
      <c r="Z28" s="259"/>
      <c r="AA28" s="259"/>
      <c r="AB28" s="259"/>
      <c r="AC28" s="259"/>
      <c r="AD28" s="259"/>
      <c r="AE28" s="259"/>
      <c r="AF28" s="259"/>
      <c r="AG28" s="259"/>
      <c r="AH28" s="259"/>
      <c r="AI28" s="259"/>
      <c r="AJ28" s="259"/>
      <c r="AK28" s="259"/>
      <c r="AL28" s="259"/>
      <c r="AM28" s="259"/>
      <c r="AN28" s="259"/>
      <c r="AO28" s="259"/>
    </row>
    <row r="29" spans="3:43" x14ac:dyDescent="0.25">
      <c r="D29"/>
      <c r="E29" s="89" t="s">
        <v>871</v>
      </c>
      <c r="F29" s="190"/>
      <c r="G29" t="s">
        <v>269</v>
      </c>
      <c r="J29" s="315">
        <f>'SoLR &amp; bad debt adders'!J51</f>
        <v>-2.3693159876904436E-3</v>
      </c>
      <c r="K29" s="315">
        <f>'SoLR &amp; bad debt adders'!K51</f>
        <v>0</v>
      </c>
      <c r="L29" s="315">
        <f>'SoLR &amp; bad debt adders'!L51</f>
        <v>-2.3693159876904436E-3</v>
      </c>
      <c r="M29" s="315">
        <f>'SoLR &amp; bad debt adders'!M51</f>
        <v>0</v>
      </c>
      <c r="N29" s="315">
        <f>'SoLR &amp; bad debt adders'!N51</f>
        <v>-2.3693159876904436E-3</v>
      </c>
      <c r="O29" s="315">
        <f>'SoLR &amp; bad debt adders'!O51</f>
        <v>-2.3693159876904436E-3</v>
      </c>
      <c r="P29" s="315">
        <f>'SoLR &amp; bad debt adders'!P51</f>
        <v>-2.3693159876904436E-3</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920</v>
      </c>
      <c r="G32" s="90" t="s">
        <v>903</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932</v>
      </c>
      <c r="G33" t="s">
        <v>903</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933</v>
      </c>
      <c r="G34" t="s">
        <v>903</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930</v>
      </c>
      <c r="G35" t="s">
        <v>148</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929</v>
      </c>
      <c r="G36" t="s">
        <v>148</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931</v>
      </c>
      <c r="G37" s="91" t="s">
        <v>148</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731</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155</v>
      </c>
      <c r="G40" s="90" t="s">
        <v>268</v>
      </c>
      <c r="H40" s="264"/>
      <c r="I40" s="264"/>
      <c r="J40" s="265">
        <f t="shared" ref="J40:AO40" si="0">INDEX($J20:$Y20,J$37)</f>
        <v>5.2938591475870105</v>
      </c>
      <c r="K40" s="265">
        <f t="shared" si="0"/>
        <v>5.2938591475870105</v>
      </c>
      <c r="L40" s="265">
        <f t="shared" si="0"/>
        <v>6.4186667388773344</v>
      </c>
      <c r="M40" s="265">
        <f t="shared" si="0"/>
        <v>6.4186667388773344</v>
      </c>
      <c r="N40" s="265">
        <f t="shared" si="0"/>
        <v>6.4186667388773344</v>
      </c>
      <c r="O40" s="265">
        <f t="shared" si="0"/>
        <v>6.4186667388773344</v>
      </c>
      <c r="P40" s="265">
        <f t="shared" si="0"/>
        <v>6.4186667388773344</v>
      </c>
      <c r="Q40" s="265">
        <f t="shared" si="0"/>
        <v>6.4186667388773344</v>
      </c>
      <c r="R40" s="265">
        <f t="shared" si="0"/>
        <v>4.4997596707397127</v>
      </c>
      <c r="S40" s="265">
        <f t="shared" si="0"/>
        <v>4.4997596707397127</v>
      </c>
      <c r="T40" s="265">
        <f t="shared" si="0"/>
        <v>4.4997596707397127</v>
      </c>
      <c r="U40" s="265">
        <f t="shared" si="0"/>
        <v>4.4997596707397127</v>
      </c>
      <c r="V40" s="265">
        <f t="shared" si="0"/>
        <v>4.4997596707397127</v>
      </c>
      <c r="W40" s="265">
        <f t="shared" si="0"/>
        <v>2.8296793840814214</v>
      </c>
      <c r="X40" s="265">
        <f t="shared" si="0"/>
        <v>2.8296793840814214</v>
      </c>
      <c r="Y40" s="265">
        <f t="shared" si="0"/>
        <v>2.8296793840814214</v>
      </c>
      <c r="Z40" s="265">
        <f t="shared" si="0"/>
        <v>2.8296793840814214</v>
      </c>
      <c r="AA40" s="265">
        <f t="shared" si="0"/>
        <v>2.8296793840814214</v>
      </c>
      <c r="AB40" s="265">
        <f t="shared" si="0"/>
        <v>1.9303039613019599</v>
      </c>
      <c r="AC40" s="265">
        <f t="shared" si="0"/>
        <v>1.9303039613019599</v>
      </c>
      <c r="AD40" s="265">
        <f t="shared" si="0"/>
        <v>1.9303039613019599</v>
      </c>
      <c r="AE40" s="265">
        <f t="shared" si="0"/>
        <v>1.9303039613019599</v>
      </c>
      <c r="AF40" s="265">
        <f t="shared" si="0"/>
        <v>1.9303039613019599</v>
      </c>
      <c r="AG40" s="265">
        <f t="shared" si="0"/>
        <v>15.314183490491144</v>
      </c>
      <c r="AH40" s="265">
        <f t="shared" si="0"/>
        <v>-3.9153163284981733</v>
      </c>
      <c r="AI40" s="265">
        <f t="shared" si="0"/>
        <v>-3.2363520194065214</v>
      </c>
      <c r="AJ40" s="265">
        <f t="shared" si="0"/>
        <v>-3.9153163284981733</v>
      </c>
      <c r="AK40" s="265">
        <f t="shared" si="0"/>
        <v>-3.9153163284981733</v>
      </c>
      <c r="AL40" s="265">
        <f t="shared" si="0"/>
        <v>-3.2363520194065214</v>
      </c>
      <c r="AM40" s="265">
        <f t="shared" si="0"/>
        <v>-3.2363520194065214</v>
      </c>
      <c r="AN40" s="265">
        <f t="shared" si="0"/>
        <v>-2.1978270768307269</v>
      </c>
      <c r="AO40" s="265">
        <f t="shared" si="0"/>
        <v>-2.1978270768307269</v>
      </c>
      <c r="AP40" s="266"/>
      <c r="AQ40" s="266"/>
    </row>
    <row r="41" spans="3:43" x14ac:dyDescent="0.25">
      <c r="D41"/>
      <c r="E41" s="100"/>
      <c r="F41" t="s">
        <v>156</v>
      </c>
      <c r="G41" t="s">
        <v>268</v>
      </c>
      <c r="H41" s="266"/>
      <c r="I41" s="266"/>
      <c r="J41" s="267">
        <f t="shared" ref="J41:AO41" si="1">INDEX($J21:$Y21,J$37)</f>
        <v>1.7412053834091776</v>
      </c>
      <c r="K41" s="267">
        <f t="shared" si="1"/>
        <v>1.7412053834091776</v>
      </c>
      <c r="L41" s="267">
        <f t="shared" si="1"/>
        <v>2.1111663095790658</v>
      </c>
      <c r="M41" s="267">
        <f t="shared" si="1"/>
        <v>2.1111663095790658</v>
      </c>
      <c r="N41" s="267">
        <f t="shared" si="1"/>
        <v>2.1111663095790658</v>
      </c>
      <c r="O41" s="267">
        <f t="shared" si="1"/>
        <v>2.1111663095790658</v>
      </c>
      <c r="P41" s="267">
        <f t="shared" si="1"/>
        <v>2.1111663095790658</v>
      </c>
      <c r="Q41" s="267">
        <f t="shared" si="1"/>
        <v>2.1111663095790658</v>
      </c>
      <c r="R41" s="267">
        <f t="shared" si="1"/>
        <v>1.4431517765522237</v>
      </c>
      <c r="S41" s="267">
        <f t="shared" si="1"/>
        <v>1.4431517765522237</v>
      </c>
      <c r="T41" s="267">
        <f t="shared" si="1"/>
        <v>1.4431517765522237</v>
      </c>
      <c r="U41" s="267">
        <f t="shared" si="1"/>
        <v>1.4431517765522237</v>
      </c>
      <c r="V41" s="267">
        <f t="shared" si="1"/>
        <v>1.4431517765522237</v>
      </c>
      <c r="W41" s="267">
        <f t="shared" si="1"/>
        <v>0.85352965281035553</v>
      </c>
      <c r="X41" s="267">
        <f t="shared" si="1"/>
        <v>0.85352965281035553</v>
      </c>
      <c r="Y41" s="267">
        <f t="shared" si="1"/>
        <v>0.85352965281035553</v>
      </c>
      <c r="Z41" s="267">
        <f t="shared" si="1"/>
        <v>0.85352965281035553</v>
      </c>
      <c r="AA41" s="267">
        <f t="shared" si="1"/>
        <v>0.85352965281035553</v>
      </c>
      <c r="AB41" s="267">
        <f t="shared" si="1"/>
        <v>0.54619707647398175</v>
      </c>
      <c r="AC41" s="267">
        <f t="shared" si="1"/>
        <v>0.54619707647398175</v>
      </c>
      <c r="AD41" s="267">
        <f t="shared" si="1"/>
        <v>0.54619707647398175</v>
      </c>
      <c r="AE41" s="267">
        <f t="shared" si="1"/>
        <v>0.54619707647398175</v>
      </c>
      <c r="AF41" s="267">
        <f t="shared" si="1"/>
        <v>0.54619707647398175</v>
      </c>
      <c r="AG41" s="267">
        <f t="shared" si="1"/>
        <v>1.6395116348821819</v>
      </c>
      <c r="AH41" s="267">
        <f t="shared" si="1"/>
        <v>-1.287788299399371</v>
      </c>
      <c r="AI41" s="267">
        <f t="shared" si="1"/>
        <v>-1.0485928038384174</v>
      </c>
      <c r="AJ41" s="267">
        <f t="shared" si="1"/>
        <v>-1.287788299399371</v>
      </c>
      <c r="AK41" s="267">
        <f t="shared" si="1"/>
        <v>-1.287788299399371</v>
      </c>
      <c r="AL41" s="267">
        <f t="shared" si="1"/>
        <v>-1.0485928038384174</v>
      </c>
      <c r="AM41" s="267">
        <f t="shared" si="1"/>
        <v>-1.0485928038384174</v>
      </c>
      <c r="AN41" s="267">
        <f t="shared" si="1"/>
        <v>-0.66294103578575292</v>
      </c>
      <c r="AO41" s="267">
        <f t="shared" si="1"/>
        <v>-0.66294103578575292</v>
      </c>
      <c r="AP41" s="266"/>
      <c r="AQ41" s="266"/>
    </row>
    <row r="42" spans="3:43" x14ac:dyDescent="0.25">
      <c r="D42"/>
      <c r="E42" s="100"/>
      <c r="F42" t="s">
        <v>157</v>
      </c>
      <c r="G42" t="s">
        <v>268</v>
      </c>
      <c r="H42" s="266"/>
      <c r="I42" s="266"/>
      <c r="J42" s="267">
        <f t="shared" ref="J42:AO42" si="2">INDEX($J22:$Y22,J$37)</f>
        <v>0.25725070876601308</v>
      </c>
      <c r="K42" s="267">
        <f t="shared" si="2"/>
        <v>0.25725070876601308</v>
      </c>
      <c r="L42" s="267">
        <f t="shared" si="2"/>
        <v>0.3119098037698384</v>
      </c>
      <c r="M42" s="267">
        <f t="shared" si="2"/>
        <v>0.3119098037698384</v>
      </c>
      <c r="N42" s="267">
        <f t="shared" si="2"/>
        <v>0.3119098037698384</v>
      </c>
      <c r="O42" s="267">
        <f t="shared" si="2"/>
        <v>0.3119098037698384</v>
      </c>
      <c r="P42" s="267">
        <f t="shared" si="2"/>
        <v>0.3119098037698384</v>
      </c>
      <c r="Q42" s="267">
        <f t="shared" si="2"/>
        <v>0.3119098037698384</v>
      </c>
      <c r="R42" s="267">
        <f t="shared" si="2"/>
        <v>0.20756011439443356</v>
      </c>
      <c r="S42" s="267">
        <f t="shared" si="2"/>
        <v>0.20756011439443356</v>
      </c>
      <c r="T42" s="267">
        <f t="shared" si="2"/>
        <v>0.20756011439443356</v>
      </c>
      <c r="U42" s="267">
        <f t="shared" si="2"/>
        <v>0.20756011439443356</v>
      </c>
      <c r="V42" s="267">
        <f t="shared" si="2"/>
        <v>0.20756011439443356</v>
      </c>
      <c r="W42" s="267">
        <f t="shared" si="2"/>
        <v>0.11426321740343361</v>
      </c>
      <c r="X42" s="267">
        <f t="shared" si="2"/>
        <v>0.11426321740343361</v>
      </c>
      <c r="Y42" s="267">
        <f t="shared" si="2"/>
        <v>0.11426321740343361</v>
      </c>
      <c r="Z42" s="267">
        <f t="shared" si="2"/>
        <v>0.11426321740343361</v>
      </c>
      <c r="AA42" s="267">
        <f t="shared" si="2"/>
        <v>0.11426321740343361</v>
      </c>
      <c r="AB42" s="267">
        <f t="shared" si="2"/>
        <v>6.7090042106194347E-2</v>
      </c>
      <c r="AC42" s="267">
        <f t="shared" si="2"/>
        <v>6.7090042106194347E-2</v>
      </c>
      <c r="AD42" s="267">
        <f t="shared" si="2"/>
        <v>6.7090042106194347E-2</v>
      </c>
      <c r="AE42" s="267">
        <f t="shared" si="2"/>
        <v>6.7090042106194347E-2</v>
      </c>
      <c r="AF42" s="267">
        <f t="shared" si="2"/>
        <v>6.7090042106194347E-2</v>
      </c>
      <c r="AG42" s="267">
        <f t="shared" si="2"/>
        <v>0.27858858068711206</v>
      </c>
      <c r="AH42" s="267">
        <f t="shared" si="2"/>
        <v>-0.19026156013395229</v>
      </c>
      <c r="AI42" s="267">
        <f t="shared" si="2"/>
        <v>-0.15248656530221741</v>
      </c>
      <c r="AJ42" s="267">
        <f t="shared" si="2"/>
        <v>-0.19026156013395229</v>
      </c>
      <c r="AK42" s="267">
        <f t="shared" si="2"/>
        <v>-0.19026156013395229</v>
      </c>
      <c r="AL42" s="267">
        <f t="shared" si="2"/>
        <v>-0.15248656530221741</v>
      </c>
      <c r="AM42" s="267">
        <f t="shared" si="2"/>
        <v>-0.15248656530221741</v>
      </c>
      <c r="AN42" s="267">
        <f t="shared" si="2"/>
        <v>-8.874885066761197E-2</v>
      </c>
      <c r="AO42" s="267">
        <f t="shared" si="2"/>
        <v>-8.874885066761197E-2</v>
      </c>
      <c r="AP42" s="266"/>
      <c r="AQ42" s="266"/>
    </row>
    <row r="43" spans="3:43" x14ac:dyDescent="0.25">
      <c r="D43"/>
      <c r="E43" s="100"/>
      <c r="F43" t="s">
        <v>158</v>
      </c>
      <c r="G43" t="s">
        <v>269</v>
      </c>
      <c r="J43" s="311">
        <f t="shared" ref="J43:AO43" si="3">INDEX($J23:$Y23,J$37)</f>
        <v>12.99059773823579</v>
      </c>
      <c r="K43" s="311">
        <f t="shared" si="3"/>
        <v>0</v>
      </c>
      <c r="L43" s="311">
        <f t="shared" si="3"/>
        <v>12.30635267121273</v>
      </c>
      <c r="M43" s="311">
        <f t="shared" si="3"/>
        <v>12.30635267121273</v>
      </c>
      <c r="N43" s="311">
        <f t="shared" si="3"/>
        <v>12.30635267121273</v>
      </c>
      <c r="O43" s="311">
        <f t="shared" si="3"/>
        <v>12.30635267121273</v>
      </c>
      <c r="P43" s="311">
        <f t="shared" si="3"/>
        <v>12.30635267121273</v>
      </c>
      <c r="Q43" s="311">
        <f t="shared" si="3"/>
        <v>0</v>
      </c>
      <c r="R43" s="311">
        <f t="shared" si="3"/>
        <v>16.484720441239212</v>
      </c>
      <c r="S43" s="311">
        <f t="shared" si="3"/>
        <v>16.484720441239212</v>
      </c>
      <c r="T43" s="311">
        <f t="shared" si="3"/>
        <v>16.484720441239212</v>
      </c>
      <c r="U43" s="311">
        <f t="shared" si="3"/>
        <v>16.484720441239212</v>
      </c>
      <c r="V43" s="311">
        <f t="shared" si="3"/>
        <v>16.484720441239212</v>
      </c>
      <c r="W43" s="311">
        <f t="shared" si="3"/>
        <v>16.484720441239212</v>
      </c>
      <c r="X43" s="311">
        <f t="shared" si="3"/>
        <v>16.484720441239212</v>
      </c>
      <c r="Y43" s="311">
        <f t="shared" si="3"/>
        <v>16.484720441239212</v>
      </c>
      <c r="Z43" s="311">
        <f t="shared" si="3"/>
        <v>16.484720441239212</v>
      </c>
      <c r="AA43" s="311">
        <f t="shared" si="3"/>
        <v>16.484720441239212</v>
      </c>
      <c r="AB43" s="311">
        <f t="shared" si="3"/>
        <v>431.6399417186995</v>
      </c>
      <c r="AC43" s="311">
        <f t="shared" si="3"/>
        <v>431.6399417186995</v>
      </c>
      <c r="AD43" s="311">
        <f t="shared" si="3"/>
        <v>431.6399417186995</v>
      </c>
      <c r="AE43" s="311">
        <f t="shared" si="3"/>
        <v>431.6399417186995</v>
      </c>
      <c r="AF43" s="311">
        <f t="shared" si="3"/>
        <v>431.6399417186995</v>
      </c>
      <c r="AG43" s="311">
        <f t="shared" si="3"/>
        <v>0</v>
      </c>
      <c r="AH43" s="311">
        <f t="shared" si="3"/>
        <v>0</v>
      </c>
      <c r="AI43" s="311">
        <f t="shared" si="3"/>
        <v>0</v>
      </c>
      <c r="AJ43" s="311">
        <f t="shared" si="3"/>
        <v>0</v>
      </c>
      <c r="AK43" s="311">
        <f t="shared" si="3"/>
        <v>0</v>
      </c>
      <c r="AL43" s="311">
        <f t="shared" si="3"/>
        <v>0</v>
      </c>
      <c r="AM43" s="311">
        <f t="shared" si="3"/>
        <v>0</v>
      </c>
      <c r="AN43" s="311">
        <f t="shared" si="3"/>
        <v>95.926460844785012</v>
      </c>
      <c r="AO43" s="311">
        <f t="shared" si="3"/>
        <v>95.926460844785012</v>
      </c>
    </row>
    <row r="44" spans="3:43" x14ac:dyDescent="0.25">
      <c r="D44"/>
      <c r="E44" s="100"/>
      <c r="F44" t="s">
        <v>159</v>
      </c>
      <c r="G44" t="s">
        <v>270</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3.6682304258861356</v>
      </c>
      <c r="S44" s="311">
        <f t="shared" si="4"/>
        <v>3.6682304258861356</v>
      </c>
      <c r="T44" s="311">
        <f t="shared" si="4"/>
        <v>3.6682304258861356</v>
      </c>
      <c r="U44" s="311">
        <f t="shared" si="4"/>
        <v>3.6682304258861356</v>
      </c>
      <c r="V44" s="311">
        <f t="shared" si="4"/>
        <v>3.6682304258861356</v>
      </c>
      <c r="W44" s="311">
        <f t="shared" si="4"/>
        <v>2.862433987174307</v>
      </c>
      <c r="X44" s="311">
        <f t="shared" si="4"/>
        <v>2.862433987174307</v>
      </c>
      <c r="Y44" s="311">
        <f t="shared" si="4"/>
        <v>2.862433987174307</v>
      </c>
      <c r="Z44" s="311">
        <f t="shared" si="4"/>
        <v>2.862433987174307</v>
      </c>
      <c r="AA44" s="311">
        <f t="shared" si="4"/>
        <v>2.862433987174307</v>
      </c>
      <c r="AB44" s="311">
        <f t="shared" si="4"/>
        <v>3.3605627625627932</v>
      </c>
      <c r="AC44" s="311">
        <f t="shared" si="4"/>
        <v>3.3605627625627932</v>
      </c>
      <c r="AD44" s="311">
        <f t="shared" si="4"/>
        <v>3.3605627625627932</v>
      </c>
      <c r="AE44" s="311">
        <f t="shared" si="4"/>
        <v>3.3605627625627932</v>
      </c>
      <c r="AF44" s="311">
        <f t="shared" si="4"/>
        <v>3.3605627625627932</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160</v>
      </c>
      <c r="G45" t="s">
        <v>270</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3.6682304258861356</v>
      </c>
      <c r="S45" s="311">
        <f t="shared" si="5"/>
        <v>3.6682304258861356</v>
      </c>
      <c r="T45" s="311">
        <f t="shared" si="5"/>
        <v>3.6682304258861356</v>
      </c>
      <c r="U45" s="311">
        <f t="shared" si="5"/>
        <v>3.6682304258861356</v>
      </c>
      <c r="V45" s="311">
        <f t="shared" si="5"/>
        <v>3.6682304258861356</v>
      </c>
      <c r="W45" s="311">
        <f t="shared" si="5"/>
        <v>2.862433987174307</v>
      </c>
      <c r="X45" s="311">
        <f t="shared" si="5"/>
        <v>2.862433987174307</v>
      </c>
      <c r="Y45" s="311">
        <f t="shared" si="5"/>
        <v>2.862433987174307</v>
      </c>
      <c r="Z45" s="311">
        <f t="shared" si="5"/>
        <v>2.862433987174307</v>
      </c>
      <c r="AA45" s="311">
        <f t="shared" si="5"/>
        <v>2.862433987174307</v>
      </c>
      <c r="AB45" s="311">
        <f t="shared" si="5"/>
        <v>3.3605627625627932</v>
      </c>
      <c r="AC45" s="311">
        <f t="shared" si="5"/>
        <v>3.3605627625627932</v>
      </c>
      <c r="AD45" s="311">
        <f t="shared" si="5"/>
        <v>3.3605627625627932</v>
      </c>
      <c r="AE45" s="311">
        <f t="shared" si="5"/>
        <v>3.3605627625627932</v>
      </c>
      <c r="AF45" s="311">
        <f t="shared" si="5"/>
        <v>3.3605627625627932</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161</v>
      </c>
      <c r="G46" s="91" t="s">
        <v>271</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0.13347738083351493</v>
      </c>
      <c r="S46" s="269">
        <f t="shared" si="6"/>
        <v>0.13347738083351493</v>
      </c>
      <c r="T46" s="269">
        <f t="shared" si="6"/>
        <v>0.13347738083351493</v>
      </c>
      <c r="U46" s="269">
        <f t="shared" si="6"/>
        <v>0.13347738083351493</v>
      </c>
      <c r="V46" s="269">
        <f t="shared" si="6"/>
        <v>0.13347738083351493</v>
      </c>
      <c r="W46" s="269">
        <f t="shared" si="6"/>
        <v>7.6325289559681084E-2</v>
      </c>
      <c r="X46" s="269">
        <f t="shared" si="6"/>
        <v>7.6325289559681084E-2</v>
      </c>
      <c r="Y46" s="269">
        <f t="shared" si="6"/>
        <v>7.6325289559681084E-2</v>
      </c>
      <c r="Z46" s="269">
        <f t="shared" si="6"/>
        <v>7.6325289559681084E-2</v>
      </c>
      <c r="AA46" s="269">
        <f t="shared" si="6"/>
        <v>7.6325289559681084E-2</v>
      </c>
      <c r="AB46" s="269">
        <f t="shared" si="6"/>
        <v>4.7259125728394052E-2</v>
      </c>
      <c r="AC46" s="269">
        <f t="shared" si="6"/>
        <v>4.7259125728394052E-2</v>
      </c>
      <c r="AD46" s="269">
        <f t="shared" si="6"/>
        <v>4.7259125728394052E-2</v>
      </c>
      <c r="AE46" s="269">
        <f t="shared" si="6"/>
        <v>4.7259125728394052E-2</v>
      </c>
      <c r="AF46" s="269">
        <f t="shared" si="6"/>
        <v>4.7259125728394052E-2</v>
      </c>
      <c r="AG46" s="269">
        <f t="shared" si="6"/>
        <v>0</v>
      </c>
      <c r="AH46" s="269">
        <f t="shared" si="6"/>
        <v>0</v>
      </c>
      <c r="AI46" s="269">
        <f t="shared" si="6"/>
        <v>0</v>
      </c>
      <c r="AJ46" s="269">
        <f t="shared" si="6"/>
        <v>0.10555146965941306</v>
      </c>
      <c r="AK46" s="269">
        <f t="shared" si="6"/>
        <v>0</v>
      </c>
      <c r="AL46" s="269">
        <f t="shared" si="6"/>
        <v>9.6832806963468576E-2</v>
      </c>
      <c r="AM46" s="269">
        <f t="shared" si="6"/>
        <v>0</v>
      </c>
      <c r="AN46" s="269">
        <f t="shared" si="6"/>
        <v>8.46405248447962E-2</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871</v>
      </c>
      <c r="F48" s="190"/>
      <c r="G48" t="s">
        <v>269</v>
      </c>
      <c r="J48" s="311">
        <f>INDEX($J29:$Y29,J$37)</f>
        <v>-2.3693159876904436E-3</v>
      </c>
      <c r="K48" s="311">
        <f t="shared" ref="K48:AO48" si="7">INDEX($J29:$Y29,K$37)</f>
        <v>0</v>
      </c>
      <c r="L48" s="311">
        <f t="shared" si="7"/>
        <v>-2.3693159876904436E-3</v>
      </c>
      <c r="M48" s="311">
        <f t="shared" si="7"/>
        <v>-2.3693159876904436E-3</v>
      </c>
      <c r="N48" s="311">
        <f t="shared" si="7"/>
        <v>-2.3693159876904436E-3</v>
      </c>
      <c r="O48" s="311">
        <f t="shared" si="7"/>
        <v>-2.3693159876904436E-3</v>
      </c>
      <c r="P48" s="311">
        <f t="shared" si="7"/>
        <v>-2.3693159876904436E-3</v>
      </c>
      <c r="Q48" s="311">
        <f t="shared" si="7"/>
        <v>0</v>
      </c>
      <c r="R48" s="311">
        <f t="shared" si="7"/>
        <v>-2.3693159876904436E-3</v>
      </c>
      <c r="S48" s="311">
        <f t="shared" si="7"/>
        <v>-2.3693159876904436E-3</v>
      </c>
      <c r="T48" s="311">
        <f t="shared" si="7"/>
        <v>-2.3693159876904436E-3</v>
      </c>
      <c r="U48" s="311">
        <f t="shared" si="7"/>
        <v>-2.3693159876904436E-3</v>
      </c>
      <c r="V48" s="311">
        <f t="shared" si="7"/>
        <v>-2.3693159876904436E-3</v>
      </c>
      <c r="W48" s="311">
        <f t="shared" si="7"/>
        <v>-2.3693159876904436E-3</v>
      </c>
      <c r="X48" s="311">
        <f t="shared" si="7"/>
        <v>-2.3693159876904436E-3</v>
      </c>
      <c r="Y48" s="311">
        <f t="shared" si="7"/>
        <v>-2.3693159876904436E-3</v>
      </c>
      <c r="Z48" s="311">
        <f t="shared" si="7"/>
        <v>-2.3693159876904436E-3</v>
      </c>
      <c r="AA48" s="311">
        <f t="shared" si="7"/>
        <v>-2.3693159876904436E-3</v>
      </c>
      <c r="AB48" s="311">
        <f t="shared" si="7"/>
        <v>-2.3693159876904436E-3</v>
      </c>
      <c r="AC48" s="311">
        <f t="shared" si="7"/>
        <v>-2.3693159876904436E-3</v>
      </c>
      <c r="AD48" s="311">
        <f t="shared" si="7"/>
        <v>-2.3693159876904436E-3</v>
      </c>
      <c r="AE48" s="311">
        <f t="shared" si="7"/>
        <v>-2.3693159876904436E-3</v>
      </c>
      <c r="AF48" s="311">
        <f t="shared" si="7"/>
        <v>-2.3693159876904436E-3</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732</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1024</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1020</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155</v>
      </c>
      <c r="G53" s="90" t="s">
        <v>206</v>
      </c>
      <c r="H53" s="8">
        <v>0</v>
      </c>
      <c r="I53" s="90"/>
      <c r="J53" s="258">
        <f>INDEX('Volume adjustments'!$J$481:$Y$521, J$36 + 1 + $H53*$H$59, J$37)</f>
        <v>913454.1735418035</v>
      </c>
      <c r="K53" s="258">
        <f>INDEX('Volume adjustments'!$J$481:$Y$521, K$36 + 1 + $H53*$H$59, K$37)</f>
        <v>268.80327538247229</v>
      </c>
      <c r="L53" s="258">
        <f>INDEX('Volume adjustments'!$J$481:$Y$521, L$36 + 1 + $H53*$H$59, L$37)</f>
        <v>23.8864359599051</v>
      </c>
      <c r="M53" s="258">
        <f>INDEX('Volume adjustments'!$J$481:$Y$521, M$36 + 1 + $H53*$H$59, M$37)</f>
        <v>17455.792992918039</v>
      </c>
      <c r="N53" s="258">
        <f>INDEX('Volume adjustments'!$J$481:$Y$521, N$36 + 1 + $H53*$H$59, N$37)</f>
        <v>40589.387749905822</v>
      </c>
      <c r="O53" s="258">
        <f>INDEX('Volume adjustments'!$J$481:$Y$521, O$36 + 1 + $H53*$H$59, O$37)</f>
        <v>45351.153182606788</v>
      </c>
      <c r="P53" s="258">
        <f>INDEX('Volume adjustments'!$J$481:$Y$521, P$36 + 1 + $H53*$H$59, P$37)</f>
        <v>131392.28382437726</v>
      </c>
      <c r="Q53" s="258">
        <f>INDEX('Volume adjustments'!$J$481:$Y$521, Q$36 + 1 + $H53*$H$59, Q$37)</f>
        <v>523.63909182228326</v>
      </c>
      <c r="R53" s="258">
        <f>INDEX('Volume adjustments'!$J$481:$Y$521, R$36 + 1 + $H53*$H$59, R$37)</f>
        <v>3.2128723712107869</v>
      </c>
      <c r="S53" s="258">
        <f>INDEX('Volume adjustments'!$J$481:$Y$521, S$36 + 1 + $H53*$H$59, S$37)</f>
        <v>63501.817163596941</v>
      </c>
      <c r="T53" s="258">
        <f>INDEX('Volume adjustments'!$J$481:$Y$521, T$36 + 1 + $H53*$H$59, T$37)</f>
        <v>87523.696794855496</v>
      </c>
      <c r="U53" s="258">
        <f>INDEX('Volume adjustments'!$J$481:$Y$521, U$36 + 1 + $H53*$H$59, U$37)</f>
        <v>54846.556150575161</v>
      </c>
      <c r="V53" s="258">
        <f>INDEX('Volume adjustments'!$J$481:$Y$521, V$36 + 1 + $H53*$H$59, V$37)</f>
        <v>90049.235082545143</v>
      </c>
      <c r="W53" s="258">
        <f>INDEX('Volume adjustments'!$J$481:$Y$521, W$36 + 1 + $H53*$H$59, W$37)</f>
        <v>8.8172625295477786E-2</v>
      </c>
      <c r="X53" s="258">
        <f>INDEX('Volume adjustments'!$J$481:$Y$521, X$36 + 1 + $H53*$H$59, X$37)</f>
        <v>987.26008454584189</v>
      </c>
      <c r="Y53" s="258">
        <f>INDEX('Volume adjustments'!$J$481:$Y$521, Y$36 + 1 + $H53*$H$59, Y$37)</f>
        <v>1314.8316275491463</v>
      </c>
      <c r="Z53" s="258">
        <f>INDEX('Volume adjustments'!$J$481:$Y$521, Z$36 + 1 + $H53*$H$59, Z$37)</f>
        <v>2919.3772255470758</v>
      </c>
      <c r="AA53" s="258">
        <f>INDEX('Volume adjustments'!$J$481:$Y$521, AA$36 + 1 + $H53*$H$59, AA$37)</f>
        <v>50800.709781890153</v>
      </c>
      <c r="AB53" s="258">
        <f>INDEX('Volume adjustments'!$J$481:$Y$521, AB$36 + 1 + $H53*$H$59, AB$37)</f>
        <v>541.96235961505158</v>
      </c>
      <c r="AC53" s="258">
        <f>INDEX('Volume adjustments'!$J$481:$Y$521, AC$36 + 1 + $H53*$H$59, AC$37)</f>
        <v>32280.533912678635</v>
      </c>
      <c r="AD53" s="258">
        <f>INDEX('Volume adjustments'!$J$481:$Y$521, AD$36 + 1 + $H53*$H$59, AD$37)</f>
        <v>108471.97690409535</v>
      </c>
      <c r="AE53" s="258">
        <f>INDEX('Volume adjustments'!$J$481:$Y$521, AE$36 + 1 + $H53*$H$59, AE$37)</f>
        <v>102009.29593258552</v>
      </c>
      <c r="AF53" s="258">
        <f>INDEX('Volume adjustments'!$J$481:$Y$521, AF$36 + 1 + $H53*$H$59, AF$37)</f>
        <v>256403.99664897332</v>
      </c>
      <c r="AG53" s="258">
        <f>INDEX('Volume adjustments'!$J$481:$Y$521, AG$36 + 1 + $H53*$H$59, AG$37)</f>
        <v>7388.2340001917337</v>
      </c>
      <c r="AH53" s="258">
        <f>INDEX('Volume adjustments'!$J$481:$Y$521, AH$36 + 1 + $H53*$H$59, AH$37)</f>
        <v>20847.328278374502</v>
      </c>
      <c r="AI53" s="258">
        <f>INDEX('Volume adjustments'!$J$481:$Y$521, AI$36 + 1 + $H53*$H$59, AI$37)</f>
        <v>8.0310000000000006</v>
      </c>
      <c r="AJ53" s="258">
        <f>INDEX('Volume adjustments'!$J$481:$Y$521, AJ$36 + 1 + $H53*$H$59, AJ$37)</f>
        <v>5924.0747999999994</v>
      </c>
      <c r="AK53" s="258">
        <f>INDEX('Volume adjustments'!$J$481:$Y$521, AK$36 + 1 + $H53*$H$59, AK$37)</f>
        <v>0</v>
      </c>
      <c r="AL53" s="258">
        <f>INDEX('Volume adjustments'!$J$481:$Y$521, AL$36 + 1 + $H53*$H$59, AL$37)</f>
        <v>1042.9018999999998</v>
      </c>
      <c r="AM53" s="258">
        <f>INDEX('Volume adjustments'!$J$481:$Y$521, AM$36 + 1 + $H53*$H$59, AM$37)</f>
        <v>0</v>
      </c>
      <c r="AN53" s="258">
        <f>INDEX('Volume adjustments'!$J$481:$Y$521, AN$36 + 1 + $H53*$H$59, AN$37)</f>
        <v>116165.3422</v>
      </c>
      <c r="AO53" s="258">
        <f>INDEX('Volume adjustments'!$J$481:$Y$521, AO$36 + 1 + $H53*$H$59, AO$37)</f>
        <v>0</v>
      </c>
    </row>
    <row r="54" spans="4:41" x14ac:dyDescent="0.25">
      <c r="D54" s="100"/>
      <c r="F54" t="s">
        <v>156</v>
      </c>
      <c r="G54" t="s">
        <v>206</v>
      </c>
      <c r="H54" s="7">
        <v>1</v>
      </c>
      <c r="J54" s="315">
        <f>INDEX('Volume adjustments'!$J$481:$Y$521, J$36 + 1 + $H54*$H$59, J$37)</f>
        <v>2205334.3086330174</v>
      </c>
      <c r="K54" s="315">
        <f>INDEX('Volume adjustments'!$J$481:$Y$521, K$36 + 1 + $H54*$H$59, K$37)</f>
        <v>3024.6701201283286</v>
      </c>
      <c r="L54" s="315">
        <f>INDEX('Volume adjustments'!$J$481:$Y$521, L$36 + 1 + $H54*$H$59, L$37)</f>
        <v>84.429234480720567</v>
      </c>
      <c r="M54" s="315">
        <f>INDEX('Volume adjustments'!$J$481:$Y$521, M$36 + 1 + $H54*$H$59, M$37)</f>
        <v>62931.357376763488</v>
      </c>
      <c r="N54" s="315">
        <f>INDEX('Volume adjustments'!$J$481:$Y$521, N$36 + 1 + $H54*$H$59, N$37)</f>
        <v>146508.01072477657</v>
      </c>
      <c r="O54" s="315">
        <f>INDEX('Volume adjustments'!$J$481:$Y$521, O$36 + 1 + $H54*$H$59, O$37)</f>
        <v>163824.95099984153</v>
      </c>
      <c r="P54" s="315">
        <f>INDEX('Volume adjustments'!$J$481:$Y$521, P$36 + 1 + $H54*$H$59, P$37)</f>
        <v>469936.19940618548</v>
      </c>
      <c r="Q54" s="315">
        <f>INDEX('Volume adjustments'!$J$481:$Y$521, Q$36 + 1 + $H54*$H$59, Q$37)</f>
        <v>2996.7048058884111</v>
      </c>
      <c r="R54" s="315">
        <f>INDEX('Volume adjustments'!$J$481:$Y$521, R$36 + 1 + $H54*$H$59, R$37)</f>
        <v>11.018313324190808</v>
      </c>
      <c r="S54" s="315">
        <f>INDEX('Volume adjustments'!$J$481:$Y$521, S$36 + 1 + $H54*$H$59, S$37)</f>
        <v>227223.98729172221</v>
      </c>
      <c r="T54" s="315">
        <f>INDEX('Volume adjustments'!$J$481:$Y$521, T$36 + 1 + $H54*$H$59, T$37)</f>
        <v>301176.22088279913</v>
      </c>
      <c r="U54" s="315">
        <f>INDEX('Volume adjustments'!$J$481:$Y$521, U$36 + 1 + $H54*$H$59, U$37)</f>
        <v>196687.71125038658</v>
      </c>
      <c r="V54" s="315">
        <f>INDEX('Volume adjustments'!$J$481:$Y$521, V$36 + 1 + $H54*$H$59, V$37)</f>
        <v>333398.08647472714</v>
      </c>
      <c r="W54" s="315">
        <f>INDEX('Volume adjustments'!$J$481:$Y$521, W$36 + 1 + $H54*$H$59, W$37)</f>
        <v>0.44361509342263367</v>
      </c>
      <c r="X54" s="315">
        <f>INDEX('Volume adjustments'!$J$481:$Y$521, X$36 + 1 + $H54*$H$59, X$37)</f>
        <v>3440.4754873021093</v>
      </c>
      <c r="Y54" s="315">
        <f>INDEX('Volume adjustments'!$J$481:$Y$521, Y$36 + 1 + $H54*$H$59, Y$37)</f>
        <v>4468.9871351334423</v>
      </c>
      <c r="Z54" s="315">
        <f>INDEX('Volume adjustments'!$J$481:$Y$521, Z$36 + 1 + $H54*$H$59, Z$37)</f>
        <v>9891.0431704156144</v>
      </c>
      <c r="AA54" s="315">
        <f>INDEX('Volume adjustments'!$J$481:$Y$521, AA$36 + 1 + $H54*$H$59, AA$37)</f>
        <v>179776.16484897039</v>
      </c>
      <c r="AB54" s="315">
        <f>INDEX('Volume adjustments'!$J$481:$Y$521, AB$36 + 1 + $H54*$H$59, AB$37)</f>
        <v>1787.6325942714436</v>
      </c>
      <c r="AC54" s="315">
        <f>INDEX('Volume adjustments'!$J$481:$Y$521, AC$36 + 1 + $H54*$H$59, AC$37)</f>
        <v>117049.61655678801</v>
      </c>
      <c r="AD54" s="315">
        <f>INDEX('Volume adjustments'!$J$481:$Y$521, AD$36 + 1 + $H54*$H$59, AD$37)</f>
        <v>372505.33476005297</v>
      </c>
      <c r="AE54" s="315">
        <f>INDEX('Volume adjustments'!$J$481:$Y$521, AE$36 + 1 + $H54*$H$59, AE$37)</f>
        <v>334569.58181155205</v>
      </c>
      <c r="AF54" s="315">
        <f>INDEX('Volume adjustments'!$J$481:$Y$521, AF$36 + 1 + $H54*$H$59, AF$37)</f>
        <v>830261.11388494947</v>
      </c>
      <c r="AG54" s="315">
        <f>INDEX('Volume adjustments'!$J$481:$Y$521, AG$36 + 1 + $H54*$H$59, AG$37)</f>
        <v>30003.16690372517</v>
      </c>
      <c r="AH54" s="315">
        <f>INDEX('Volume adjustments'!$J$481:$Y$521, AH$36 + 1 + $H54*$H$59, AH$37)</f>
        <v>101581.4545087218</v>
      </c>
      <c r="AI54" s="315">
        <f>INDEX('Volume adjustments'!$J$481:$Y$521, AI$36 + 1 + $H54*$H$59, AI$37)</f>
        <v>28.257000000000001</v>
      </c>
      <c r="AJ54" s="315">
        <f>INDEX('Volume adjustments'!$J$481:$Y$521, AJ$36 + 1 + $H54*$H$59, AJ$37)</f>
        <v>23928.992700000006</v>
      </c>
      <c r="AK54" s="315">
        <f>INDEX('Volume adjustments'!$J$481:$Y$521, AK$36 + 1 + $H54*$H$59, AK$37)</f>
        <v>0</v>
      </c>
      <c r="AL54" s="315">
        <f>INDEX('Volume adjustments'!$J$481:$Y$521, AL$36 + 1 + $H54*$H$59, AL$37)</f>
        <v>3317.8217</v>
      </c>
      <c r="AM54" s="315">
        <f>INDEX('Volume adjustments'!$J$481:$Y$521, AM$36 + 1 + $H54*$H$59, AM$37)</f>
        <v>0</v>
      </c>
      <c r="AN54" s="315">
        <f>INDEX('Volume adjustments'!$J$481:$Y$521, AN$36 + 1 + $H54*$H$59, AN$37)</f>
        <v>309734.76939999999</v>
      </c>
      <c r="AO54" s="315">
        <f>INDEX('Volume adjustments'!$J$481:$Y$521, AO$36 + 1 + $H54*$H$59, AO$37)</f>
        <v>0</v>
      </c>
    </row>
    <row r="55" spans="4:41" x14ac:dyDescent="0.25">
      <c r="D55" s="100"/>
      <c r="F55" t="s">
        <v>157</v>
      </c>
      <c r="G55" t="s">
        <v>206</v>
      </c>
      <c r="H55" s="7">
        <v>2</v>
      </c>
      <c r="J55" s="315">
        <f>INDEX('Volume adjustments'!$J$481:$Y$521, J$36 + 1 + $H55*$H$59, J$37)</f>
        <v>3256274.7370705893</v>
      </c>
      <c r="K55" s="315">
        <f>INDEX('Volume adjustments'!$J$481:$Y$521, K$36 + 1 + $H55*$H$59, K$37)</f>
        <v>7987.5995677611181</v>
      </c>
      <c r="L55" s="315">
        <f>INDEX('Volume adjustments'!$J$481:$Y$521, L$36 + 1 + $H55*$H$59, L$37)</f>
        <v>84.08467623411623</v>
      </c>
      <c r="M55" s="315">
        <f>INDEX('Volume adjustments'!$J$481:$Y$521, M$36 + 1 + $H55*$H$59, M$37)</f>
        <v>66980.821559370976</v>
      </c>
      <c r="N55" s="315">
        <f>INDEX('Volume adjustments'!$J$481:$Y$521, N$36 + 1 + $H55*$H$59, N$37)</f>
        <v>156920.28452086382</v>
      </c>
      <c r="O55" s="315">
        <f>INDEX('Volume adjustments'!$J$481:$Y$521, O$36 + 1 + $H55*$H$59, O$37)</f>
        <v>181021.82113432416</v>
      </c>
      <c r="P55" s="315">
        <f>INDEX('Volume adjustments'!$J$481:$Y$521, P$36 + 1 + $H55*$H$59, P$37)</f>
        <v>550564.793614113</v>
      </c>
      <c r="Q55" s="315">
        <f>INDEX('Volume adjustments'!$J$481:$Y$521, Q$36 + 1 + $H55*$H$59, Q$37)</f>
        <v>8901.6348585294018</v>
      </c>
      <c r="R55" s="315">
        <f>INDEX('Volume adjustments'!$J$481:$Y$521, R$36 + 1 + $H55*$H$59, R$37)</f>
        <v>19.264918608979336</v>
      </c>
      <c r="S55" s="315">
        <f>INDEX('Volume adjustments'!$J$481:$Y$521, S$36 + 1 + $H55*$H$59, S$37)</f>
        <v>247788.12385693393</v>
      </c>
      <c r="T55" s="315">
        <f>INDEX('Volume adjustments'!$J$481:$Y$521, T$36 + 1 + $H55*$H$59, T$37)</f>
        <v>335160.65596344805</v>
      </c>
      <c r="U55" s="315">
        <f>INDEX('Volume adjustments'!$J$481:$Y$521, U$36 + 1 + $H55*$H$59, U$37)</f>
        <v>216514.40068314568</v>
      </c>
      <c r="V55" s="315">
        <f>INDEX('Volume adjustments'!$J$481:$Y$521, V$36 + 1 + $H55*$H$59, V$37)</f>
        <v>357332.89695374866</v>
      </c>
      <c r="W55" s="315">
        <f>INDEX('Volume adjustments'!$J$481:$Y$521, W$36 + 1 + $H55*$H$59, W$37)</f>
        <v>0.50314829432551389</v>
      </c>
      <c r="X55" s="315">
        <f>INDEX('Volume adjustments'!$J$481:$Y$521, X$36 + 1 + $H55*$H$59, X$37)</f>
        <v>4151.746255602884</v>
      </c>
      <c r="Y55" s="315">
        <f>INDEX('Volume adjustments'!$J$481:$Y$521, Y$36 + 1 + $H55*$H$59, Y$37)</f>
        <v>5094.0932196201147</v>
      </c>
      <c r="Z55" s="315">
        <f>INDEX('Volume adjustments'!$J$481:$Y$521, Z$36 + 1 + $H55*$H$59, Z$37)</f>
        <v>11704.797503811011</v>
      </c>
      <c r="AA55" s="315">
        <f>INDEX('Volume adjustments'!$J$481:$Y$521, AA$36 + 1 + $H55*$H$59, AA$37)</f>
        <v>215400.3360014499</v>
      </c>
      <c r="AB55" s="315">
        <f>INDEX('Volume adjustments'!$J$481:$Y$521, AB$36 + 1 + $H55*$H$59, AB$37)</f>
        <v>3484.4255497876861</v>
      </c>
      <c r="AC55" s="315">
        <f>INDEX('Volume adjustments'!$J$481:$Y$521, AC$36 + 1 + $H55*$H$59, AC$37)</f>
        <v>141238.06677438464</v>
      </c>
      <c r="AD55" s="315">
        <f>INDEX('Volume adjustments'!$J$481:$Y$521, AD$36 + 1 + $H55*$H$59, AD$37)</f>
        <v>470943.49719390366</v>
      </c>
      <c r="AE55" s="315">
        <f>INDEX('Volume adjustments'!$J$481:$Y$521, AE$36 + 1 + $H55*$H$59, AE$37)</f>
        <v>457236.18379073829</v>
      </c>
      <c r="AF55" s="315">
        <f>INDEX('Volume adjustments'!$J$481:$Y$521, AF$36 + 1 + $H55*$H$59, AF$37)</f>
        <v>1249914.7296718536</v>
      </c>
      <c r="AG55" s="315">
        <f>INDEX('Volume adjustments'!$J$481:$Y$521, AG$36 + 1 + $H55*$H$59, AG$37)</f>
        <v>99744.809527368328</v>
      </c>
      <c r="AH55" s="315">
        <f>INDEX('Volume adjustments'!$J$481:$Y$521, AH$36 + 1 + $H55*$H$59, AH$37)</f>
        <v>58048.115445790958</v>
      </c>
      <c r="AI55" s="315">
        <f>INDEX('Volume adjustments'!$J$481:$Y$521, AI$36 + 1 + $H55*$H$59, AI$37)</f>
        <v>18.324999999999999</v>
      </c>
      <c r="AJ55" s="315">
        <f>INDEX('Volume adjustments'!$J$481:$Y$521, AJ$36 + 1 + $H55*$H$59, AJ$37)</f>
        <v>26057.122299999999</v>
      </c>
      <c r="AK55" s="315">
        <f>INDEX('Volume adjustments'!$J$481:$Y$521, AK$36 + 1 + $H55*$H$59, AK$37)</f>
        <v>0</v>
      </c>
      <c r="AL55" s="315">
        <f>INDEX('Volume adjustments'!$J$481:$Y$521, AL$36 + 1 + $H55*$H$59, AL$37)</f>
        <v>5561.4861000000001</v>
      </c>
      <c r="AM55" s="315">
        <f>INDEX('Volume adjustments'!$J$481:$Y$521, AM$36 + 1 + $H55*$H$59, AM$37)</f>
        <v>0</v>
      </c>
      <c r="AN55" s="315">
        <f>INDEX('Volume adjustments'!$J$481:$Y$521, AN$36 + 1 + $H55*$H$59, AN$37)</f>
        <v>382550.29730000003</v>
      </c>
      <c r="AO55" s="315">
        <f>INDEX('Volume adjustments'!$J$481:$Y$521, AO$36 + 1 + $H55*$H$59, AO$37)</f>
        <v>0</v>
      </c>
    </row>
    <row r="56" spans="4:41" x14ac:dyDescent="0.25">
      <c r="D56" s="100"/>
      <c r="F56" t="s">
        <v>211</v>
      </c>
      <c r="G56" t="s">
        <v>211</v>
      </c>
      <c r="H56" s="7">
        <v>3</v>
      </c>
      <c r="J56" s="315">
        <f>INDEX('Volume adjustments'!$J$481:$Y$521, J$36 + 1 + $H56*$H$59, J$37)</f>
        <v>2211223.0038455967</v>
      </c>
      <c r="K56" s="315">
        <f>INDEX('Volume adjustments'!$J$481:$Y$521, K$36 + 1 + $H56*$H$59, K$37)</f>
        <v>4103.3721701347276</v>
      </c>
      <c r="L56" s="315">
        <f>INDEX('Volume adjustments'!$J$481:$Y$521, L$36 + 1 + $H56*$H$59, L$37)</f>
        <v>21.99813867057907</v>
      </c>
      <c r="M56" s="315">
        <f>INDEX('Volume adjustments'!$J$481:$Y$521, M$36 + 1 + $H56*$H$59, M$37)</f>
        <v>50708.548973421945</v>
      </c>
      <c r="N56" s="315">
        <f>INDEX('Volume adjustments'!$J$481:$Y$521, N$36 + 1 + $H56*$H$59, N$37)</f>
        <v>46377.166603043697</v>
      </c>
      <c r="O56" s="315">
        <f>INDEX('Volume adjustments'!$J$481:$Y$521, O$36 + 1 + $H56*$H$59, O$37)</f>
        <v>22115.055120545327</v>
      </c>
      <c r="P56" s="315">
        <f>INDEX('Volume adjustments'!$J$481:$Y$521, P$36 + 1 + $H56*$H$59, P$37)</f>
        <v>24363.507291786456</v>
      </c>
      <c r="Q56" s="315">
        <f>INDEX('Volume adjustments'!$J$481:$Y$521, Q$36 + 1 + $H56*$H$59, Q$37)</f>
        <v>1571.7036335487671</v>
      </c>
      <c r="R56" s="315">
        <f>INDEX('Volume adjustments'!$J$481:$Y$521, R$36 + 1 + $H56*$H$59, R$37)</f>
        <v>8.1262089826560899</v>
      </c>
      <c r="S56" s="315">
        <f>INDEX('Volume adjustments'!$J$481:$Y$521, S$36 + 1 + $H56*$H$59, S$37)</f>
        <v>6867.4372884490795</v>
      </c>
      <c r="T56" s="315">
        <f>INDEX('Volume adjustments'!$J$481:$Y$521, T$36 + 1 + $H56*$H$59, T$37)</f>
        <v>4708.0512945382643</v>
      </c>
      <c r="U56" s="315">
        <f>INDEX('Volume adjustments'!$J$481:$Y$521, U$36 + 1 + $H56*$H$59, U$37)</f>
        <v>2029.8660257913084</v>
      </c>
      <c r="V56" s="315">
        <f>INDEX('Volume adjustments'!$J$481:$Y$521, V$36 + 1 + $H56*$H$59, V$37)</f>
        <v>1792.0492836378749</v>
      </c>
      <c r="W56" s="315">
        <f>INDEX('Volume adjustments'!$J$481:$Y$521, W$36 + 1 + $H56*$H$59, W$37)</f>
        <v>1.1072850062440645</v>
      </c>
      <c r="X56" s="315">
        <f>INDEX('Volume adjustments'!$J$481:$Y$521, X$36 + 1 + $H56*$H$59, X$37)</f>
        <v>12.889489245636724</v>
      </c>
      <c r="Y56" s="315">
        <f>INDEX('Volume adjustments'!$J$481:$Y$521, Y$36 + 1 + $H56*$H$59, Y$37)</f>
        <v>35.035189370518033</v>
      </c>
      <c r="Z56" s="315">
        <f>INDEX('Volume adjustments'!$J$481:$Y$521, Z$36 + 1 + $H56*$H$59, Z$37)</f>
        <v>60.303779099485467</v>
      </c>
      <c r="AA56" s="315">
        <f>INDEX('Volume adjustments'!$J$481:$Y$521, AA$36 + 1 + $H56*$H$59, AA$37)</f>
        <v>625.2353920224997</v>
      </c>
      <c r="AB56" s="315">
        <f>INDEX('Volume adjustments'!$J$481:$Y$521, AB$36 + 1 + $H56*$H$59, AB$37)</f>
        <v>75.007576408708928</v>
      </c>
      <c r="AC56" s="315">
        <f>INDEX('Volume adjustments'!$J$481:$Y$521, AC$36 + 1 + $H56*$H$59, AC$37)</f>
        <v>608.02249301308575</v>
      </c>
      <c r="AD56" s="315">
        <f>INDEX('Volume adjustments'!$J$481:$Y$521, AD$36 + 1 + $H56*$H$59, AD$37)</f>
        <v>698.30620602123213</v>
      </c>
      <c r="AE56" s="315">
        <f>INDEX('Volume adjustments'!$J$481:$Y$521, AE$36 + 1 + $H56*$H$59, AE$37)</f>
        <v>302.54082390094447</v>
      </c>
      <c r="AF56" s="315">
        <f>INDEX('Volume adjustments'!$J$481:$Y$521, AF$36 + 1 + $H56*$H$59, AF$37)</f>
        <v>332.68116512327606</v>
      </c>
      <c r="AG56" s="315">
        <f>INDEX('Volume adjustments'!$J$481:$Y$521, AG$36 + 1 + $H56*$H$59, AG$37)</f>
        <v>813.16725654976756</v>
      </c>
      <c r="AH56" s="315">
        <f>INDEX('Volume adjustments'!$J$481:$Y$521, AH$36 + 1 + $H56*$H$59, AH$37)</f>
        <v>32972.366465964653</v>
      </c>
      <c r="AI56" s="315">
        <f>INDEX('Volume adjustments'!$J$481:$Y$521, AI$36 + 1 + $H56*$H$59, AI$37)</f>
        <v>0</v>
      </c>
      <c r="AJ56" s="315">
        <f>INDEX('Volume adjustments'!$J$481:$Y$521, AJ$36 + 1 + $H56*$H$59, AJ$37)</f>
        <v>717</v>
      </c>
      <c r="AK56" s="315">
        <f>INDEX('Volume adjustments'!$J$481:$Y$521, AK$36 + 1 + $H56*$H$59, AK$37)</f>
        <v>0</v>
      </c>
      <c r="AL56" s="315">
        <f>INDEX('Volume adjustments'!$J$481:$Y$521, AL$36 + 1 + $H56*$H$59, AL$37)</f>
        <v>36</v>
      </c>
      <c r="AM56" s="315">
        <f>INDEX('Volume adjustments'!$J$481:$Y$521, AM$36 + 1 + $H56*$H$59, AM$37)</f>
        <v>0</v>
      </c>
      <c r="AN56" s="315">
        <f>INDEX('Volume adjustments'!$J$481:$Y$521, AN$36 + 1 + $H56*$H$59, AN$37)</f>
        <v>286</v>
      </c>
      <c r="AO56" s="315">
        <f>INDEX('Volume adjustments'!$J$481:$Y$521, AO$36 + 1 + $H56*$H$59, AO$37)</f>
        <v>0</v>
      </c>
    </row>
    <row r="57" spans="4:41" x14ac:dyDescent="0.25">
      <c r="D57" s="100"/>
      <c r="F57" t="s">
        <v>733</v>
      </c>
      <c r="G57" t="s">
        <v>250</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235</v>
      </c>
      <c r="S57" s="315">
        <f>INDEX('Volume adjustments'!$J$481:$Y$521, S$36 + 1 + $H57*$H$59, S$37)</f>
        <v>314029.40230609284</v>
      </c>
      <c r="T57" s="315">
        <f>INDEX('Volume adjustments'!$J$481:$Y$521, T$36 + 1 + $H57*$H$59, T$37)</f>
        <v>528624.25426667673</v>
      </c>
      <c r="U57" s="315">
        <f>INDEX('Volume adjustments'!$J$481:$Y$521, U$36 + 1 + $H57*$H$59, U$37)</f>
        <v>369763.18557077396</v>
      </c>
      <c r="V57" s="315">
        <f>INDEX('Volume adjustments'!$J$481:$Y$521, V$36 + 1 + $H57*$H$59, V$37)</f>
        <v>620993.85851468623</v>
      </c>
      <c r="W57" s="315">
        <f>INDEX('Volume adjustments'!$J$481:$Y$521, W$36 + 1 + $H57*$H$59, W$37)</f>
        <v>30</v>
      </c>
      <c r="X57" s="315">
        <f>INDEX('Volume adjustments'!$J$481:$Y$521, X$36 + 1 + $H57*$H$59, X$37)</f>
        <v>812.71682114038549</v>
      </c>
      <c r="Y57" s="315">
        <f>INDEX('Volume adjustments'!$J$481:$Y$521, Y$36 + 1 + $H57*$H$59, Y$37)</f>
        <v>4074.5823046082055</v>
      </c>
      <c r="Z57" s="315">
        <f>INDEX('Volume adjustments'!$J$481:$Y$521, Z$36 + 1 + $H57*$H$59, Z$37)</f>
        <v>10678.597263921059</v>
      </c>
      <c r="AA57" s="315">
        <f>INDEX('Volume adjustments'!$J$481:$Y$521, AA$36 + 1 + $H57*$H$59, AA$37)</f>
        <v>289054.71830623806</v>
      </c>
      <c r="AB57" s="315">
        <f>INDEX('Volume adjustments'!$J$481:$Y$521, AB$36 + 1 + $H57*$H$59, AB$37)</f>
        <v>10815</v>
      </c>
      <c r="AC57" s="315">
        <f>INDEX('Volume adjustments'!$J$481:$Y$521, AC$36 + 1 + $H57*$H$59, AC$37)</f>
        <v>150418.64605319232</v>
      </c>
      <c r="AD57" s="315">
        <f>INDEX('Volume adjustments'!$J$481:$Y$521, AD$36 + 1 + $H57*$H$59, AD$37)</f>
        <v>483174.64886044635</v>
      </c>
      <c r="AE57" s="315">
        <f>INDEX('Volume adjustments'!$J$481:$Y$521, AE$36 + 1 + $H57*$H$59, AE$37)</f>
        <v>408941.7481529098</v>
      </c>
      <c r="AF57" s="315">
        <f>INDEX('Volume adjustments'!$J$481:$Y$521, AF$36 + 1 + $H57*$H$59, AF$37)</f>
        <v>1101321.4339163622</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251</v>
      </c>
      <c r="G58" t="s">
        <v>250</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1.2328767123287672</v>
      </c>
      <c r="S58" s="315">
        <f>INDEX('Volume adjustments'!$J$481:$Y$521, S$36 + 1 + $H58*$H$59, S$37)</f>
        <v>20860.962559507119</v>
      </c>
      <c r="T58" s="315">
        <f>INDEX('Volume adjustments'!$J$481:$Y$521, T$36 + 1 + $H58*$H$59, T$37)</f>
        <v>8093.3023423394779</v>
      </c>
      <c r="U58" s="315">
        <f>INDEX('Volume adjustments'!$J$481:$Y$521, U$36 + 1 + $H58*$H$59, U$37)</f>
        <v>3562.984557085922</v>
      </c>
      <c r="V58" s="315">
        <f>INDEX('Volume adjustments'!$J$481:$Y$521, V$36 + 1 + $H58*$H$59, V$37)</f>
        <v>3133.2077582473103</v>
      </c>
      <c r="W58" s="315">
        <f>INDEX('Volume adjustments'!$J$481:$Y$521, W$36 + 1 + $H58*$H$59, W$37)</f>
        <v>0</v>
      </c>
      <c r="X58" s="315">
        <f>INDEX('Volume adjustments'!$J$481:$Y$521, X$36 + 1 + $H58*$H$59, X$37)</f>
        <v>106.63561643835617</v>
      </c>
      <c r="Y58" s="315">
        <f>INDEX('Volume adjustments'!$J$481:$Y$521, Y$36 + 1 + $H58*$H$59, Y$37)</f>
        <v>289.13095886971962</v>
      </c>
      <c r="Z58" s="315">
        <f>INDEX('Volume adjustments'!$J$481:$Y$521, Z$36 + 1 + $H58*$H$59, Z$37)</f>
        <v>174.21643835616439</v>
      </c>
      <c r="AA58" s="315">
        <f>INDEX('Volume adjustments'!$J$481:$Y$521, AA$36 + 1 + $H58*$H$59, AA$37)</f>
        <v>1034.6739726027397</v>
      </c>
      <c r="AB58" s="315">
        <f>INDEX('Volume adjustments'!$J$481:$Y$521, AB$36 + 1 + $H58*$H$59, AB$37)</f>
        <v>1069.3095890410959</v>
      </c>
      <c r="AC58" s="315">
        <f>INDEX('Volume adjustments'!$J$481:$Y$521, AC$36 + 1 + $H58*$H$59, AC$37)</f>
        <v>8063.7479452054795</v>
      </c>
      <c r="AD58" s="315">
        <f>INDEX('Volume adjustments'!$J$481:$Y$521, AD$36 + 1 + $H58*$H$59, AD$37)</f>
        <v>6804.5150684931505</v>
      </c>
      <c r="AE58" s="315">
        <f>INDEX('Volume adjustments'!$J$481:$Y$521, AE$36 + 1 + $H58*$H$59, AE$37)</f>
        <v>2879.1150684931508</v>
      </c>
      <c r="AF58" s="315">
        <f>INDEX('Volume adjustments'!$J$481:$Y$521, AF$36 + 1 + $H58*$H$59, AF$37)</f>
        <v>5749.4941147291138</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214</v>
      </c>
      <c r="G59" s="96" t="s">
        <v>253</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11.863</v>
      </c>
      <c r="S59" s="257">
        <f>INDEX('Volume adjustments'!$J$481:$Y$521, S$36 + 1 + $H59*$H$59, S$37)</f>
        <v>48825.922919107208</v>
      </c>
      <c r="T59" s="257">
        <f>INDEX('Volume adjustments'!$J$481:$Y$521, T$36 + 1 + $H59*$H$59, T$37)</f>
        <v>63272.735810064718</v>
      </c>
      <c r="U59" s="257">
        <f>INDEX('Volume adjustments'!$J$481:$Y$521, U$36 + 1 + $H59*$H$59, U$37)</f>
        <v>49356.438919621942</v>
      </c>
      <c r="V59" s="257">
        <f>INDEX('Volume adjustments'!$J$481:$Y$521, V$36 + 1 + $H59*$H$59, V$37)</f>
        <v>76087.216388954272</v>
      </c>
      <c r="W59" s="257">
        <f>INDEX('Volume adjustments'!$J$481:$Y$521, W$36 + 1 + $H59*$H$59, W$37)</f>
        <v>7.0000000000000007E-2</v>
      </c>
      <c r="X59" s="257">
        <f>INDEX('Volume adjustments'!$J$481:$Y$521, X$36 + 1 + $H59*$H$59, X$37)</f>
        <v>645.46512377794534</v>
      </c>
      <c r="Y59" s="257">
        <f>INDEX('Volume adjustments'!$J$481:$Y$521, Y$36 + 1 + $H59*$H$59, Y$37)</f>
        <v>981.47515133744719</v>
      </c>
      <c r="Z59" s="257">
        <f>INDEX('Volume adjustments'!$J$481:$Y$521, Z$36 + 1 + $H59*$H$59, Z$37)</f>
        <v>2049.6235268262867</v>
      </c>
      <c r="AA59" s="257">
        <f>INDEX('Volume adjustments'!$J$481:$Y$521, AA$36 + 1 + $H59*$H$59, AA$37)</f>
        <v>34414.249166160676</v>
      </c>
      <c r="AB59" s="257">
        <f>INDEX('Volume adjustments'!$J$481:$Y$521, AB$36 + 1 + $H59*$H$59, AB$37)</f>
        <v>3977.5509999999999</v>
      </c>
      <c r="AC59" s="257">
        <f>INDEX('Volume adjustments'!$J$481:$Y$521, AC$36 + 1 + $H59*$H$59, AC$37)</f>
        <v>40006.871612034396</v>
      </c>
      <c r="AD59" s="257">
        <f>INDEX('Volume adjustments'!$J$481:$Y$521, AD$36 + 1 + $H59*$H$59, AD$37)</f>
        <v>84858.318428284387</v>
      </c>
      <c r="AE59" s="257">
        <f>INDEX('Volume adjustments'!$J$481:$Y$521, AE$36 + 1 + $H59*$H$59, AE$37)</f>
        <v>69881.558066816026</v>
      </c>
      <c r="AF59" s="257">
        <f>INDEX('Volume adjustments'!$J$481:$Y$521, AF$36 + 1 + $H59*$H$59, AF$37)</f>
        <v>200991.72523880485</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6309.8550000000005</v>
      </c>
      <c r="AK59" s="257">
        <f>INDEX('Volume adjustments'!$J$481:$Y$521, AK$36 + 1 + $H59*$H$59, AK$37)</f>
        <v>0</v>
      </c>
      <c r="AL59" s="257">
        <f>INDEX('Volume adjustments'!$J$481:$Y$521, AL$36 + 1 + $H59*$H$59, AL$37)</f>
        <v>614.85700000000008</v>
      </c>
      <c r="AM59" s="257">
        <f>INDEX('Volume adjustments'!$J$481:$Y$521, AM$36 + 1 + $H59*$H$59, AM$37)</f>
        <v>0</v>
      </c>
      <c r="AN59" s="257">
        <f>INDEX('Volume adjustments'!$J$481:$Y$521, AN$36 + 1 + $H59*$H$59, AN$37)</f>
        <v>31949.8</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734</v>
      </c>
      <c r="G61" t="s">
        <v>276</v>
      </c>
      <c r="H61" s="163">
        <f>'General inputs'!$H$88</f>
        <v>432265609.82623905</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869</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867</v>
      </c>
      <c r="G64" s="90" t="s">
        <v>276</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868</v>
      </c>
      <c r="G65" s="15" t="s">
        <v>276</v>
      </c>
      <c r="H65" s="317">
        <f>'General inputs'!H54</f>
        <v>-21060.414469411629</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1141</v>
      </c>
      <c r="G66" s="91" t="s">
        <v>276</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882</v>
      </c>
      <c r="F68"/>
      <c r="G68" s="15" t="s">
        <v>276</v>
      </c>
      <c r="H68" s="319">
        <f>H61 - H64  - H65 - H66</f>
        <v>432286670.24070847</v>
      </c>
      <c r="I68" s="15" t="s">
        <v>153</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1148</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735</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736</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737</v>
      </c>
      <c r="F75" s="60"/>
      <c r="H75" s="171" t="s">
        <v>542</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155</v>
      </c>
      <c r="G76" s="90" t="s">
        <v>276</v>
      </c>
      <c r="H76" s="222">
        <f t="shared" ref="H76:H83" si="8">SUM(J76:AO76)</f>
        <v>85519808.961234286</v>
      </c>
      <c r="I76" s="172"/>
      <c r="J76" s="302">
        <f t="shared" ref="J76:AO76" si="9">J53 * thousand * J40 / hundred</f>
        <v>48356977.325058088</v>
      </c>
      <c r="K76" s="302">
        <f t="shared" si="9"/>
        <v>14230.066782848513</v>
      </c>
      <c r="L76" s="302">
        <f t="shared" si="9"/>
        <v>1533.1907200616636</v>
      </c>
      <c r="M76" s="302">
        <f t="shared" si="9"/>
        <v>1120429.1788437108</v>
      </c>
      <c r="N76" s="302">
        <f t="shared" si="9"/>
        <v>2605297.5310171563</v>
      </c>
      <c r="O76" s="302">
        <f t="shared" si="9"/>
        <v>2910939.3850292917</v>
      </c>
      <c r="P76" s="302">
        <f t="shared" si="9"/>
        <v>8433632.8192866072</v>
      </c>
      <c r="Q76" s="302">
        <f t="shared" si="9"/>
        <v>33610.648218556242</v>
      </c>
      <c r="R76" s="302">
        <f t="shared" si="9"/>
        <v>144.57153523208171</v>
      </c>
      <c r="S76" s="302">
        <f t="shared" si="9"/>
        <v>2857429.158914404</v>
      </c>
      <c r="T76" s="302">
        <f t="shared" si="9"/>
        <v>3938356.0107154138</v>
      </c>
      <c r="U76" s="302">
        <f t="shared" si="9"/>
        <v>2467963.2144531924</v>
      </c>
      <c r="V76" s="302">
        <f t="shared" si="9"/>
        <v>4051999.1640539635</v>
      </c>
      <c r="W76" s="302">
        <f t="shared" si="9"/>
        <v>2.4950026003894954</v>
      </c>
      <c r="X76" s="302">
        <f t="shared" si="9"/>
        <v>27936.295079658496</v>
      </c>
      <c r="Y76" s="302">
        <f t="shared" si="9"/>
        <v>37205.519500140414</v>
      </c>
      <c r="Z76" s="302">
        <f t="shared" si="9"/>
        <v>82609.015494873791</v>
      </c>
      <c r="AA76" s="302">
        <f t="shared" si="9"/>
        <v>1437497.2116651798</v>
      </c>
      <c r="AB76" s="302">
        <f t="shared" si="9"/>
        <v>10461.520896414913</v>
      </c>
      <c r="AC76" s="302">
        <f t="shared" si="9"/>
        <v>623112.42484585824</v>
      </c>
      <c r="AD76" s="302">
        <f t="shared" si="9"/>
        <v>2093838.8670822997</v>
      </c>
      <c r="AE76" s="302">
        <f t="shared" si="9"/>
        <v>1969089.4802829372</v>
      </c>
      <c r="AF76" s="302">
        <f t="shared" si="9"/>
        <v>4949376.5042516766</v>
      </c>
      <c r="AG76" s="302">
        <f t="shared" si="9"/>
        <v>1131447.711496216</v>
      </c>
      <c r="AH76" s="302">
        <f t="shared" si="9"/>
        <v>-816238.84813881398</v>
      </c>
      <c r="AI76" s="302">
        <f t="shared" si="9"/>
        <v>-259.91143067853778</v>
      </c>
      <c r="AJ76" s="302">
        <f t="shared" si="9"/>
        <v>-231946.26795684549</v>
      </c>
      <c r="AK76" s="302">
        <f t="shared" si="9"/>
        <v>0</v>
      </c>
      <c r="AL76" s="302">
        <f t="shared" si="9"/>
        <v>-33751.976701078973</v>
      </c>
      <c r="AM76" s="302">
        <f t="shared" si="9"/>
        <v>0</v>
      </c>
      <c r="AN76" s="302">
        <f t="shared" si="9"/>
        <v>-2553113.3447646708</v>
      </c>
      <c r="AO76" s="302">
        <f t="shared" si="9"/>
        <v>0</v>
      </c>
    </row>
    <row r="77" spans="1:43" x14ac:dyDescent="0.25">
      <c r="D77" s="100"/>
      <c r="F77" t="s">
        <v>156</v>
      </c>
      <c r="G77" t="s">
        <v>276</v>
      </c>
      <c r="H77" s="101">
        <f t="shared" si="8"/>
        <v>79113697.387016296</v>
      </c>
      <c r="I77" s="92"/>
      <c r="J77" s="310">
        <f t="shared" ref="J77" si="10">J54 * thousand * J41 / hundred</f>
        <v>38399399.704087667</v>
      </c>
      <c r="K77" s="310">
        <f t="shared" ref="K77:AO77" si="11">K54 * thousand * K41 / hundred</f>
        <v>52665.718962043291</v>
      </c>
      <c r="L77" s="310">
        <f t="shared" si="11"/>
        <v>1782.4415537924847</v>
      </c>
      <c r="M77" s="310">
        <f t="shared" si="11"/>
        <v>1328585.6150990308</v>
      </c>
      <c r="N77" s="310">
        <f t="shared" si="11"/>
        <v>3093027.7632559673</v>
      </c>
      <c r="O77" s="310">
        <f t="shared" si="11"/>
        <v>3458617.1721930676</v>
      </c>
      <c r="P77" s="310">
        <f t="shared" si="11"/>
        <v>9921134.7183796857</v>
      </c>
      <c r="Q77" s="310">
        <f t="shared" si="11"/>
        <v>63265.422259452876</v>
      </c>
      <c r="R77" s="310">
        <f t="shared" si="11"/>
        <v>159.01098448415004</v>
      </c>
      <c r="S77" s="310">
        <f t="shared" si="11"/>
        <v>3279187.009353288</v>
      </c>
      <c r="T77" s="310">
        <f t="shared" si="11"/>
        <v>4346429.982222965</v>
      </c>
      <c r="U77" s="310">
        <f t="shared" si="11"/>
        <v>2838502.1991698616</v>
      </c>
      <c r="V77" s="310">
        <f t="shared" si="11"/>
        <v>4811440.4079511436</v>
      </c>
      <c r="W77" s="310">
        <f t="shared" si="11"/>
        <v>3.7863863667045394</v>
      </c>
      <c r="X77" s="310">
        <f t="shared" si="11"/>
        <v>29365.478481795079</v>
      </c>
      <c r="Y77" s="310">
        <f t="shared" si="11"/>
        <v>38144.130378643924</v>
      </c>
      <c r="Z77" s="310">
        <f t="shared" si="11"/>
        <v>84422.986431770769</v>
      </c>
      <c r="AA77" s="310">
        <f t="shared" si="11"/>
        <v>1534442.8756711895</v>
      </c>
      <c r="AB77" s="310">
        <f t="shared" si="11"/>
        <v>9763.9969680066206</v>
      </c>
      <c r="AC77" s="310">
        <f t="shared" si="11"/>
        <v>639321.58365718182</v>
      </c>
      <c r="AD77" s="310">
        <f t="shared" si="11"/>
        <v>2034613.2481690282</v>
      </c>
      <c r="AE77" s="310">
        <f t="shared" si="11"/>
        <v>1827409.274625924</v>
      </c>
      <c r="AF77" s="310">
        <f t="shared" si="11"/>
        <v>4534861.9311399106</v>
      </c>
      <c r="AG77" s="310">
        <f t="shared" si="11"/>
        <v>491905.41221969423</v>
      </c>
      <c r="AH77" s="310">
        <f t="shared" si="11"/>
        <v>-1308154.085523014</v>
      </c>
      <c r="AI77" s="310">
        <f t="shared" si="11"/>
        <v>-296.30086858062162</v>
      </c>
      <c r="AJ77" s="310">
        <f t="shared" si="11"/>
        <v>-308154.76815472974</v>
      </c>
      <c r="AK77" s="310">
        <f t="shared" si="11"/>
        <v>0</v>
      </c>
      <c r="AL77" s="310">
        <f t="shared" si="11"/>
        <v>-34790.439590389447</v>
      </c>
      <c r="AM77" s="310">
        <f t="shared" si="11"/>
        <v>0</v>
      </c>
      <c r="AN77" s="310">
        <f t="shared" si="11"/>
        <v>-2053358.888448973</v>
      </c>
      <c r="AO77" s="310">
        <f t="shared" si="11"/>
        <v>0</v>
      </c>
    </row>
    <row r="78" spans="1:43" x14ac:dyDescent="0.25">
      <c r="D78" s="100"/>
      <c r="F78" t="s">
        <v>157</v>
      </c>
      <c r="G78" t="s">
        <v>276</v>
      </c>
      <c r="H78" s="101">
        <f t="shared" si="8"/>
        <v>15404994.356772322</v>
      </c>
      <c r="I78" s="92"/>
      <c r="J78" s="310">
        <f t="shared" ref="J78" si="12">J55 * thousand * J42 / hundred</f>
        <v>8376789.8404827202</v>
      </c>
      <c r="K78" s="310">
        <f t="shared" ref="K78:AO78" si="13">K55 * thousand * K42 / hundred</f>
        <v>20548.156501456477</v>
      </c>
      <c r="L78" s="310">
        <f t="shared" si="13"/>
        <v>262.26834864233587</v>
      </c>
      <c r="M78" s="310">
        <f t="shared" si="13"/>
        <v>208919.74908925963</v>
      </c>
      <c r="N78" s="310">
        <f t="shared" si="13"/>
        <v>489449.75152409845</v>
      </c>
      <c r="O78" s="310">
        <f t="shared" si="13"/>
        <v>564624.80708065839</v>
      </c>
      <c r="P78" s="310">
        <f t="shared" si="13"/>
        <v>1717265.5673875955</v>
      </c>
      <c r="Q78" s="310">
        <f t="shared" si="13"/>
        <v>27765.071819546589</v>
      </c>
      <c r="R78" s="310">
        <f t="shared" si="13"/>
        <v>39.986287102792033</v>
      </c>
      <c r="S78" s="310">
        <f t="shared" si="13"/>
        <v>514309.31333327276</v>
      </c>
      <c r="T78" s="310">
        <f t="shared" si="13"/>
        <v>695659.8409228666</v>
      </c>
      <c r="U78" s="310">
        <f t="shared" si="13"/>
        <v>449397.53773835942</v>
      </c>
      <c r="V78" s="310">
        <f t="shared" si="13"/>
        <v>741680.56968614412</v>
      </c>
      <c r="W78" s="310">
        <f t="shared" si="13"/>
        <v>0.57491342940682999</v>
      </c>
      <c r="X78" s="310">
        <f t="shared" si="13"/>
        <v>4743.9188500784376</v>
      </c>
      <c r="Y78" s="310">
        <f t="shared" si="13"/>
        <v>5820.6748102681022</v>
      </c>
      <c r="Z78" s="310">
        <f t="shared" si="13"/>
        <v>13374.278218411244</v>
      </c>
      <c r="AA78" s="310">
        <f t="shared" si="13"/>
        <v>246123.3542130632</v>
      </c>
      <c r="AB78" s="310">
        <f t="shared" si="13"/>
        <v>2337.7025685115527</v>
      </c>
      <c r="AC78" s="310">
        <f t="shared" si="13"/>
        <v>94756.678468909537</v>
      </c>
      <c r="AD78" s="310">
        <f t="shared" si="13"/>
        <v>315956.1905637742</v>
      </c>
      <c r="AE78" s="310">
        <f t="shared" si="13"/>
        <v>306759.94822996249</v>
      </c>
      <c r="AF78" s="310">
        <f t="shared" si="13"/>
        <v>838568.3184283718</v>
      </c>
      <c r="AG78" s="310">
        <f t="shared" si="13"/>
        <v>277877.64917135873</v>
      </c>
      <c r="AH78" s="310">
        <f t="shared" si="13"/>
        <v>-110443.25007551962</v>
      </c>
      <c r="AI78" s="310">
        <f t="shared" si="13"/>
        <v>-27.943163091631341</v>
      </c>
      <c r="AJ78" s="310">
        <f t="shared" si="13"/>
        <v>-49576.687413991996</v>
      </c>
      <c r="AK78" s="310">
        <f t="shared" si="13"/>
        <v>0</v>
      </c>
      <c r="AL78" s="310">
        <f t="shared" si="13"/>
        <v>-8480.519133650243</v>
      </c>
      <c r="AM78" s="310">
        <f t="shared" si="13"/>
        <v>0</v>
      </c>
      <c r="AN78" s="310">
        <f t="shared" si="13"/>
        <v>-339508.99207928265</v>
      </c>
      <c r="AO78" s="310">
        <f t="shared" si="13"/>
        <v>0</v>
      </c>
    </row>
    <row r="79" spans="1:43" x14ac:dyDescent="0.25">
      <c r="D79" s="100"/>
      <c r="F79" t="s">
        <v>158</v>
      </c>
      <c r="G79" t="s">
        <v>276</v>
      </c>
      <c r="H79" s="101">
        <f t="shared" si="8"/>
        <v>115544615.42877454</v>
      </c>
      <c r="I79" s="92"/>
      <c r="J79" s="302">
        <f t="shared" ref="J79" si="14">J56 * J43 * days_in_year / hundred</f>
        <v>104846646.21659417</v>
      </c>
      <c r="K79" s="302">
        <f t="shared" ref="K79:AO79" si="15">K56 * K43 * days_in_year / hundred</f>
        <v>0</v>
      </c>
      <c r="L79" s="302">
        <f t="shared" si="15"/>
        <v>988.11651195491913</v>
      </c>
      <c r="M79" s="302">
        <f t="shared" si="15"/>
        <v>2277736.0979602332</v>
      </c>
      <c r="N79" s="302">
        <f t="shared" si="15"/>
        <v>2083178.2535965529</v>
      </c>
      <c r="O79" s="302">
        <f t="shared" si="15"/>
        <v>993368.18694710021</v>
      </c>
      <c r="P79" s="302">
        <f t="shared" si="15"/>
        <v>1094364.5825974129</v>
      </c>
      <c r="Q79" s="302">
        <f t="shared" si="15"/>
        <v>0</v>
      </c>
      <c r="R79" s="302">
        <f t="shared" si="15"/>
        <v>488.94773414052975</v>
      </c>
      <c r="S79" s="302">
        <f t="shared" si="15"/>
        <v>413208.41104456095</v>
      </c>
      <c r="T79" s="302">
        <f t="shared" si="15"/>
        <v>283279.81935919344</v>
      </c>
      <c r="U79" s="302">
        <f t="shared" si="15"/>
        <v>122135.47498443729</v>
      </c>
      <c r="V79" s="302">
        <f t="shared" si="15"/>
        <v>107826.22482058076</v>
      </c>
      <c r="W79" s="302">
        <f t="shared" si="15"/>
        <v>66.62448578498865</v>
      </c>
      <c r="X79" s="302">
        <f t="shared" si="15"/>
        <v>775.55063798308458</v>
      </c>
      <c r="Y79" s="302">
        <f t="shared" si="15"/>
        <v>2108.0403536828585</v>
      </c>
      <c r="Z79" s="302">
        <f t="shared" si="15"/>
        <v>3628.4319310192063</v>
      </c>
      <c r="AA79" s="302">
        <f t="shared" si="15"/>
        <v>37619.931863227219</v>
      </c>
      <c r="AB79" s="302">
        <f t="shared" si="15"/>
        <v>118173.3705697335</v>
      </c>
      <c r="AC79" s="302">
        <f t="shared" si="15"/>
        <v>957930.79608456744</v>
      </c>
      <c r="AD79" s="302">
        <f t="shared" si="15"/>
        <v>1100171.5027511595</v>
      </c>
      <c r="AE79" s="302">
        <f t="shared" si="15"/>
        <v>476648.76812587812</v>
      </c>
      <c r="AF79" s="302">
        <f t="shared" si="15"/>
        <v>524134.44734522776</v>
      </c>
      <c r="AG79" s="302">
        <f t="shared" si="15"/>
        <v>0</v>
      </c>
      <c r="AH79" s="302">
        <f t="shared" si="15"/>
        <v>0</v>
      </c>
      <c r="AI79" s="302">
        <f t="shared" si="15"/>
        <v>0</v>
      </c>
      <c r="AJ79" s="302">
        <f t="shared" si="15"/>
        <v>0</v>
      </c>
      <c r="AK79" s="302">
        <f t="shared" si="15"/>
        <v>0</v>
      </c>
      <c r="AL79" s="302">
        <f t="shared" si="15"/>
        <v>0</v>
      </c>
      <c r="AM79" s="302">
        <f t="shared" si="15"/>
        <v>0</v>
      </c>
      <c r="AN79" s="302">
        <f t="shared" si="15"/>
        <v>100137.63247587107</v>
      </c>
      <c r="AO79" s="302">
        <f t="shared" si="15"/>
        <v>0</v>
      </c>
    </row>
    <row r="80" spans="1:43" x14ac:dyDescent="0.25">
      <c r="D80" s="100"/>
      <c r="F80" t="s">
        <v>733</v>
      </c>
      <c r="G80" t="s">
        <v>276</v>
      </c>
      <c r="H80" s="101">
        <f t="shared" si="8"/>
        <v>54163028.733099639</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3146.4246478038326</v>
      </c>
      <c r="S80" s="320">
        <f t="shared" si="17"/>
        <v>4204552.5597914737</v>
      </c>
      <c r="T80" s="320">
        <f t="shared" si="17"/>
        <v>7077771.8427727316</v>
      </c>
      <c r="U80" s="320">
        <f t="shared" si="17"/>
        <v>4950774.4720440246</v>
      </c>
      <c r="V80" s="320">
        <f t="shared" si="17"/>
        <v>8314512.2662358079</v>
      </c>
      <c r="W80" s="320">
        <f t="shared" si="17"/>
        <v>313.43652159558661</v>
      </c>
      <c r="X80" s="320">
        <f t="shared" si="17"/>
        <v>8491.1711153488304</v>
      </c>
      <c r="Y80" s="320">
        <f t="shared" si="17"/>
        <v>42570.763483710827</v>
      </c>
      <c r="Z80" s="320">
        <f t="shared" si="17"/>
        <v>111568.74606411885</v>
      </c>
      <c r="AA80" s="320">
        <f t="shared" si="17"/>
        <v>3020010.1818899796</v>
      </c>
      <c r="AB80" s="320">
        <f t="shared" si="17"/>
        <v>132657.37491147564</v>
      </c>
      <c r="AC80" s="320">
        <f t="shared" si="17"/>
        <v>1845043.2476333689</v>
      </c>
      <c r="AD80" s="320">
        <f t="shared" si="17"/>
        <v>5926646.3746279068</v>
      </c>
      <c r="AE80" s="320">
        <f t="shared" si="17"/>
        <v>5016101.5997850019</v>
      </c>
      <c r="AF80" s="320">
        <f t="shared" si="17"/>
        <v>13508868.271575291</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251</v>
      </c>
      <c r="G81" t="s">
        <v>276</v>
      </c>
      <c r="H81" s="101">
        <f t="shared" si="8"/>
        <v>795437.32687464973</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16.507036916487611</v>
      </c>
      <c r="S81" s="306">
        <f t="shared" si="19"/>
        <v>279308.28414530272</v>
      </c>
      <c r="T81" s="306">
        <f t="shared" si="19"/>
        <v>108361.55732793799</v>
      </c>
      <c r="U81" s="306">
        <f t="shared" si="19"/>
        <v>47704.946511317306</v>
      </c>
      <c r="V81" s="306">
        <f t="shared" si="19"/>
        <v>41950.647307402251</v>
      </c>
      <c r="W81" s="306">
        <f t="shared" si="19"/>
        <v>0</v>
      </c>
      <c r="X81" s="306">
        <f t="shared" si="19"/>
        <v>1114.1165564879839</v>
      </c>
      <c r="Y81" s="306">
        <f t="shared" si="19"/>
        <v>3020.8067344573851</v>
      </c>
      <c r="Z81" s="306">
        <f t="shared" si="19"/>
        <v>1820.1931481042702</v>
      </c>
      <c r="AA81" s="306">
        <f t="shared" si="19"/>
        <v>10810.153698602999</v>
      </c>
      <c r="AB81" s="306">
        <f t="shared" si="19"/>
        <v>13116.209251027331</v>
      </c>
      <c r="AC81" s="306">
        <f t="shared" si="19"/>
        <v>98910.368410426672</v>
      </c>
      <c r="AD81" s="306">
        <f t="shared" si="19"/>
        <v>83464.549841135551</v>
      </c>
      <c r="AE81" s="306">
        <f t="shared" si="19"/>
        <v>35315.381142337006</v>
      </c>
      <c r="AF81" s="306">
        <f t="shared" si="19"/>
        <v>70523.605763193962</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214</v>
      </c>
      <c r="G82" s="96" t="s">
        <v>276</v>
      </c>
      <c r="H82" s="193">
        <f t="shared" si="8"/>
        <v>569354.37517867854</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15.834421688279877</v>
      </c>
      <c r="S82" s="306">
        <f t="shared" si="21"/>
        <v>65171.563080215172</v>
      </c>
      <c r="T82" s="306">
        <f t="shared" si="21"/>
        <v>84454.790540983857</v>
      </c>
      <c r="U82" s="306">
        <f t="shared" si="21"/>
        <v>65879.681942604962</v>
      </c>
      <c r="V82" s="306">
        <f t="shared" si="21"/>
        <v>101559.22358510508</v>
      </c>
      <c r="W82" s="306">
        <f t="shared" si="21"/>
        <v>5.3427702691776754E-2</v>
      </c>
      <c r="X82" s="306">
        <f t="shared" si="21"/>
        <v>492.65312473027063</v>
      </c>
      <c r="Y82" s="306">
        <f t="shared" si="21"/>
        <v>749.11375121462481</v>
      </c>
      <c r="Z82" s="306">
        <f t="shared" si="21"/>
        <v>1564.3810917335111</v>
      </c>
      <c r="AA82" s="306">
        <f t="shared" si="21"/>
        <v>26266.775325862269</v>
      </c>
      <c r="AB82" s="306">
        <f t="shared" si="21"/>
        <v>1879.7558280009948</v>
      </c>
      <c r="AC82" s="306">
        <f t="shared" si="21"/>
        <v>18906.897755128521</v>
      </c>
      <c r="AD82" s="306">
        <f t="shared" si="21"/>
        <v>40103.299397023904</v>
      </c>
      <c r="AE82" s="306">
        <f t="shared" si="21"/>
        <v>33025.413387757282</v>
      </c>
      <c r="AF82" s="306">
        <f t="shared" si="21"/>
        <v>94986.932134275106</v>
      </c>
      <c r="AG82" s="306">
        <f t="shared" si="21"/>
        <v>0</v>
      </c>
      <c r="AH82" s="306">
        <f t="shared" si="21"/>
        <v>0</v>
      </c>
      <c r="AI82" s="306">
        <f t="shared" si="21"/>
        <v>0</v>
      </c>
      <c r="AJ82" s="306">
        <f t="shared" si="21"/>
        <v>6660.1446858779582</v>
      </c>
      <c r="AK82" s="306">
        <f t="shared" si="21"/>
        <v>0</v>
      </c>
      <c r="AL82" s="306">
        <f t="shared" si="21"/>
        <v>595.38329191137416</v>
      </c>
      <c r="AM82" s="306">
        <f t="shared" si="21"/>
        <v>0</v>
      </c>
      <c r="AN82" s="306">
        <f t="shared" si="21"/>
        <v>27042.478406862694</v>
      </c>
      <c r="AO82" s="306">
        <f t="shared" si="21"/>
        <v>0</v>
      </c>
    </row>
    <row r="83" spans="2:43" x14ac:dyDescent="0.25">
      <c r="D83"/>
      <c r="E83" s="71"/>
      <c r="F83" s="151" t="s">
        <v>99</v>
      </c>
      <c r="G83" s="215" t="s">
        <v>276</v>
      </c>
      <c r="H83" s="227">
        <f t="shared" si="8"/>
        <v>351110936.56895041</v>
      </c>
      <c r="I83" s="228"/>
      <c r="J83" s="321">
        <f t="shared" ref="J83" si="22">SUM(J76:J82)</f>
        <v>199979813.08622265</v>
      </c>
      <c r="K83" s="321">
        <f t="shared" ref="K83:AO83" si="23">SUM(K76:K82)</f>
        <v>87443.942246348277</v>
      </c>
      <c r="L83" s="321">
        <f t="shared" si="23"/>
        <v>4566.0171344514038</v>
      </c>
      <c r="M83" s="321">
        <f t="shared" si="23"/>
        <v>4935670.6409922345</v>
      </c>
      <c r="N83" s="321">
        <f t="shared" si="23"/>
        <v>8270953.299393774</v>
      </c>
      <c r="O83" s="321">
        <f t="shared" si="23"/>
        <v>7927549.5512501169</v>
      </c>
      <c r="P83" s="321">
        <f t="shared" si="23"/>
        <v>21166397.687651299</v>
      </c>
      <c r="Q83" s="321">
        <f t="shared" si="23"/>
        <v>124641.14229755571</v>
      </c>
      <c r="R83" s="321">
        <f t="shared" si="23"/>
        <v>4011.2826473681534</v>
      </c>
      <c r="S83" s="321">
        <f t="shared" si="23"/>
        <v>11613166.299662517</v>
      </c>
      <c r="T83" s="321">
        <f t="shared" si="23"/>
        <v>16534313.84386209</v>
      </c>
      <c r="U83" s="321">
        <f t="shared" si="23"/>
        <v>10942357.526843797</v>
      </c>
      <c r="V83" s="321">
        <f t="shared" si="23"/>
        <v>18170968.503640153</v>
      </c>
      <c r="W83" s="321">
        <f t="shared" si="23"/>
        <v>386.97073747976788</v>
      </c>
      <c r="X83" s="321">
        <f t="shared" si="23"/>
        <v>72919.183846082189</v>
      </c>
      <c r="Y83" s="321">
        <f t="shared" si="23"/>
        <v>129619.04901211812</v>
      </c>
      <c r="Z83" s="321">
        <f t="shared" si="23"/>
        <v>298988.0323800316</v>
      </c>
      <c r="AA83" s="321">
        <f t="shared" si="23"/>
        <v>6312770.4843271049</v>
      </c>
      <c r="AB83" s="321">
        <f t="shared" si="23"/>
        <v>288389.93099317054</v>
      </c>
      <c r="AC83" s="321">
        <f t="shared" si="23"/>
        <v>4277981.9968554415</v>
      </c>
      <c r="AD83" s="321">
        <f t="shared" si="23"/>
        <v>11594794.032432327</v>
      </c>
      <c r="AE83" s="321">
        <f t="shared" si="23"/>
        <v>9664349.865579797</v>
      </c>
      <c r="AF83" s="321">
        <f t="shared" si="23"/>
        <v>24521320.010637943</v>
      </c>
      <c r="AG83" s="321">
        <f t="shared" si="23"/>
        <v>1901230.7728872688</v>
      </c>
      <c r="AH83" s="321">
        <f t="shared" si="23"/>
        <v>-2234836.1837373474</v>
      </c>
      <c r="AI83" s="321">
        <f t="shared" si="23"/>
        <v>-584.1554623507908</v>
      </c>
      <c r="AJ83" s="321">
        <f t="shared" si="23"/>
        <v>-583017.57883968926</v>
      </c>
      <c r="AK83" s="321">
        <f t="shared" si="23"/>
        <v>0</v>
      </c>
      <c r="AL83" s="321">
        <f t="shared" si="23"/>
        <v>-76427.552133207297</v>
      </c>
      <c r="AM83" s="321">
        <f t="shared" si="23"/>
        <v>0</v>
      </c>
      <c r="AN83" s="321">
        <f t="shared" si="23"/>
        <v>-4818801.1144101936</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738</v>
      </c>
      <c r="G85" t="s">
        <v>276</v>
      </c>
      <c r="H85" s="141">
        <f>H68 - H83</f>
        <v>81175733.671758056</v>
      </c>
      <c r="I85" s="322" t="s">
        <v>153</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1136</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926</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1132</v>
      </c>
      <c r="E91"/>
      <c r="I91" t="s">
        <v>153</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1130</v>
      </c>
    </row>
    <row r="92" spans="2:43" x14ac:dyDescent="0.25">
      <c r="C92" s="71"/>
      <c r="D92" s="71" t="s">
        <v>1108</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1016</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983</v>
      </c>
      <c r="G95" s="90" t="s">
        <v>148</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984</v>
      </c>
      <c r="G96" t="s">
        <v>148</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985</v>
      </c>
      <c r="G97" t="s">
        <v>148</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986</v>
      </c>
      <c r="G98" t="s">
        <v>148</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987</v>
      </c>
      <c r="G99" t="s">
        <v>148</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988</v>
      </c>
      <c r="G100" t="s">
        <v>148</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989</v>
      </c>
      <c r="G101" t="s">
        <v>148</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990</v>
      </c>
      <c r="G102" s="91" t="s">
        <v>148</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1005</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983</v>
      </c>
      <c r="G105" s="90" t="s">
        <v>148</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984</v>
      </c>
      <c r="G106" t="s">
        <v>148</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985</v>
      </c>
      <c r="G107" t="s">
        <v>148</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986</v>
      </c>
      <c r="G108" t="s">
        <v>148</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987</v>
      </c>
      <c r="G109" t="s">
        <v>148</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988</v>
      </c>
      <c r="G110" t="s">
        <v>148</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989</v>
      </c>
      <c r="G111" t="s">
        <v>148</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990</v>
      </c>
      <c r="G112" s="91" t="s">
        <v>148</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1006</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983</v>
      </c>
      <c r="G115" s="90" t="s">
        <v>211</v>
      </c>
      <c r="H115" s="90"/>
      <c r="I115" s="90"/>
      <c r="J115" s="330">
        <f t="shared" ref="J115:J122" si="50">SUMIF($J105:$AO105, J105, $J$56:$AO$56)</f>
        <v>2211223.0038455967</v>
      </c>
      <c r="K115" s="325"/>
      <c r="L115" s="325"/>
      <c r="M115" s="330">
        <f t="shared" ref="M115:P122" si="51">SUMIF($J105:$AO105, M105, $J$56:$AO$56)</f>
        <v>50708.548973421945</v>
      </c>
      <c r="N115" s="330">
        <f t="shared" si="51"/>
        <v>46377.166603043697</v>
      </c>
      <c r="O115" s="330">
        <f t="shared" si="51"/>
        <v>22115.055120545327</v>
      </c>
      <c r="P115" s="330">
        <f t="shared" si="51"/>
        <v>24363.507291786456</v>
      </c>
      <c r="Q115" s="325"/>
      <c r="R115" s="325"/>
      <c r="S115" s="330">
        <f t="shared" ref="S115:V122" si="52">SUMIF($J105:$AO105, S105, $J$56:$AO$56)</f>
        <v>6880.3267776947159</v>
      </c>
      <c r="T115" s="330">
        <f t="shared" si="52"/>
        <v>4743.0864839087826</v>
      </c>
      <c r="U115" s="330">
        <f t="shared" si="52"/>
        <v>2090.1698048907938</v>
      </c>
      <c r="V115" s="330">
        <f t="shared" si="52"/>
        <v>2417.2846756603744</v>
      </c>
      <c r="W115" s="325"/>
      <c r="X115" s="330">
        <f t="shared" ref="X115:AA122" si="53">SUMIF($J105:$AO105, X105, $J$56:$AO$56)</f>
        <v>6880.3267776947159</v>
      </c>
      <c r="Y115" s="330">
        <f t="shared" si="53"/>
        <v>4743.0864839087826</v>
      </c>
      <c r="Z115" s="330">
        <f t="shared" si="53"/>
        <v>2090.1698048907938</v>
      </c>
      <c r="AA115" s="330">
        <f t="shared" si="53"/>
        <v>2417.2846756603744</v>
      </c>
      <c r="AB115" s="325"/>
      <c r="AC115" s="330">
        <f t="shared" ref="AC115:AG122" si="54">SUMIF($J105:$AO105, AC105, $J$56:$AO$56)</f>
        <v>608.02249301308575</v>
      </c>
      <c r="AD115" s="330">
        <f t="shared" si="54"/>
        <v>698.30620602123213</v>
      </c>
      <c r="AE115" s="330">
        <f t="shared" si="54"/>
        <v>302.54082390094447</v>
      </c>
      <c r="AF115" s="330">
        <f t="shared" si="54"/>
        <v>332.68116512327606</v>
      </c>
      <c r="AG115" s="330">
        <f t="shared" si="54"/>
        <v>813.16725654976756</v>
      </c>
      <c r="AH115" s="325"/>
      <c r="AI115" s="325"/>
      <c r="AJ115" s="325"/>
      <c r="AK115" s="325"/>
      <c r="AL115" s="325"/>
      <c r="AM115" s="325"/>
      <c r="AN115" s="325"/>
      <c r="AO115" s="325"/>
    </row>
    <row r="116" spans="3:41" x14ac:dyDescent="0.25">
      <c r="C116" s="71"/>
      <c r="D116"/>
      <c r="E116"/>
      <c r="F116" t="s">
        <v>984</v>
      </c>
      <c r="G116" t="s">
        <v>211</v>
      </c>
      <c r="J116" s="331">
        <f t="shared" si="50"/>
        <v>2211223.0038455967</v>
      </c>
      <c r="K116" s="327"/>
      <c r="L116" s="327"/>
      <c r="M116" s="331">
        <f t="shared" si="51"/>
        <v>97085.715576465649</v>
      </c>
      <c r="N116" s="331">
        <f t="shared" si="51"/>
        <v>97085.715576465649</v>
      </c>
      <c r="O116" s="331">
        <f t="shared" si="51"/>
        <v>22115.055120545327</v>
      </c>
      <c r="P116" s="331">
        <f t="shared" si="51"/>
        <v>24363.507291786456</v>
      </c>
      <c r="Q116" s="327"/>
      <c r="R116" s="327"/>
      <c r="S116" s="331">
        <f t="shared" si="52"/>
        <v>11623.413261603499</v>
      </c>
      <c r="T116" s="331">
        <f t="shared" si="52"/>
        <v>11623.413261603499</v>
      </c>
      <c r="U116" s="331">
        <f t="shared" si="52"/>
        <v>2090.1698048907938</v>
      </c>
      <c r="V116" s="331">
        <f t="shared" si="52"/>
        <v>2417.2846756603744</v>
      </c>
      <c r="W116" s="327"/>
      <c r="X116" s="331">
        <f t="shared" si="53"/>
        <v>11623.413261603499</v>
      </c>
      <c r="Y116" s="331">
        <f t="shared" si="53"/>
        <v>11623.413261603499</v>
      </c>
      <c r="Z116" s="331">
        <f t="shared" si="53"/>
        <v>2090.1698048907938</v>
      </c>
      <c r="AA116" s="331">
        <f t="shared" si="53"/>
        <v>2417.2846756603744</v>
      </c>
      <c r="AB116" s="327"/>
      <c r="AC116" s="331">
        <f t="shared" si="54"/>
        <v>1306.3286990343179</v>
      </c>
      <c r="AD116" s="331">
        <f t="shared" si="54"/>
        <v>1306.3286990343179</v>
      </c>
      <c r="AE116" s="331">
        <f t="shared" si="54"/>
        <v>302.54082390094447</v>
      </c>
      <c r="AF116" s="331">
        <f t="shared" si="54"/>
        <v>332.68116512327606</v>
      </c>
      <c r="AG116" s="331">
        <f t="shared" si="54"/>
        <v>813.16725654976756</v>
      </c>
      <c r="AH116" s="327"/>
      <c r="AI116" s="327"/>
      <c r="AJ116" s="327"/>
      <c r="AK116" s="327"/>
      <c r="AL116" s="327"/>
      <c r="AM116" s="327"/>
      <c r="AN116" s="327"/>
      <c r="AO116" s="327"/>
    </row>
    <row r="117" spans="3:41" x14ac:dyDescent="0.25">
      <c r="C117" s="71"/>
      <c r="D117"/>
      <c r="E117"/>
      <c r="F117" t="s">
        <v>985</v>
      </c>
      <c r="G117" t="s">
        <v>211</v>
      </c>
      <c r="J117" s="331">
        <f t="shared" si="50"/>
        <v>2211223.0038455967</v>
      </c>
      <c r="K117" s="327"/>
      <c r="L117" s="327"/>
      <c r="M117" s="331">
        <f t="shared" si="51"/>
        <v>50708.548973421945</v>
      </c>
      <c r="N117" s="331">
        <f t="shared" si="51"/>
        <v>68492.221723589028</v>
      </c>
      <c r="O117" s="331">
        <f t="shared" si="51"/>
        <v>68492.221723589028</v>
      </c>
      <c r="P117" s="331">
        <f t="shared" si="51"/>
        <v>24363.507291786456</v>
      </c>
      <c r="Q117" s="327"/>
      <c r="R117" s="327"/>
      <c r="S117" s="331">
        <f t="shared" si="52"/>
        <v>6880.3267776947159</v>
      </c>
      <c r="T117" s="331">
        <f t="shared" si="52"/>
        <v>6833.2562887995764</v>
      </c>
      <c r="U117" s="331">
        <f t="shared" si="52"/>
        <v>6833.2562887995764</v>
      </c>
      <c r="V117" s="331">
        <f t="shared" si="52"/>
        <v>2417.2846756603744</v>
      </c>
      <c r="W117" s="327"/>
      <c r="X117" s="331">
        <f t="shared" si="53"/>
        <v>6880.3267776947159</v>
      </c>
      <c r="Y117" s="331">
        <f t="shared" si="53"/>
        <v>6833.2562887995764</v>
      </c>
      <c r="Z117" s="331">
        <f t="shared" si="53"/>
        <v>6833.2562887995764</v>
      </c>
      <c r="AA117" s="331">
        <f t="shared" si="53"/>
        <v>2417.2846756603744</v>
      </c>
      <c r="AB117" s="327"/>
      <c r="AC117" s="331">
        <f t="shared" si="54"/>
        <v>608.02249301308575</v>
      </c>
      <c r="AD117" s="331">
        <f t="shared" si="54"/>
        <v>1000.8470299221766</v>
      </c>
      <c r="AE117" s="331">
        <f t="shared" si="54"/>
        <v>1000.8470299221766</v>
      </c>
      <c r="AF117" s="331">
        <f t="shared" si="54"/>
        <v>332.68116512327606</v>
      </c>
      <c r="AG117" s="331">
        <f t="shared" si="54"/>
        <v>813.16725654976756</v>
      </c>
      <c r="AH117" s="327"/>
      <c r="AI117" s="327"/>
      <c r="AJ117" s="327"/>
      <c r="AK117" s="327"/>
      <c r="AL117" s="327"/>
      <c r="AM117" s="327"/>
      <c r="AN117" s="327"/>
      <c r="AO117" s="327"/>
    </row>
    <row r="118" spans="3:41" x14ac:dyDescent="0.25">
      <c r="C118" s="71"/>
      <c r="D118"/>
      <c r="E118"/>
      <c r="F118" t="s">
        <v>986</v>
      </c>
      <c r="G118" t="s">
        <v>211</v>
      </c>
      <c r="J118" s="331">
        <f t="shared" si="50"/>
        <v>2211223.0038455967</v>
      </c>
      <c r="K118" s="327"/>
      <c r="L118" s="327"/>
      <c r="M118" s="331">
        <f t="shared" si="51"/>
        <v>50708.548973421945</v>
      </c>
      <c r="N118" s="331">
        <f t="shared" si="51"/>
        <v>46377.166603043697</v>
      </c>
      <c r="O118" s="331">
        <f t="shared" si="51"/>
        <v>46478.562412331783</v>
      </c>
      <c r="P118" s="331">
        <f t="shared" si="51"/>
        <v>46478.562412331783</v>
      </c>
      <c r="Q118" s="327"/>
      <c r="R118" s="327"/>
      <c r="S118" s="331">
        <f t="shared" si="52"/>
        <v>6880.3267776947159</v>
      </c>
      <c r="T118" s="331">
        <f t="shared" si="52"/>
        <v>4743.0864839087826</v>
      </c>
      <c r="U118" s="331">
        <f t="shared" si="52"/>
        <v>4507.4544805511687</v>
      </c>
      <c r="V118" s="331">
        <f t="shared" si="52"/>
        <v>4507.4544805511687</v>
      </c>
      <c r="W118" s="327"/>
      <c r="X118" s="331">
        <f t="shared" si="53"/>
        <v>6880.3267776947159</v>
      </c>
      <c r="Y118" s="331">
        <f t="shared" si="53"/>
        <v>4743.0864839087826</v>
      </c>
      <c r="Z118" s="331">
        <f t="shared" si="53"/>
        <v>4507.4544805511687</v>
      </c>
      <c r="AA118" s="331">
        <f t="shared" si="53"/>
        <v>4507.4544805511687</v>
      </c>
      <c r="AB118" s="327"/>
      <c r="AC118" s="331">
        <f t="shared" si="54"/>
        <v>608.02249301308575</v>
      </c>
      <c r="AD118" s="331">
        <f t="shared" si="54"/>
        <v>698.30620602123213</v>
      </c>
      <c r="AE118" s="331">
        <f t="shared" si="54"/>
        <v>635.22198902422053</v>
      </c>
      <c r="AF118" s="331">
        <f t="shared" si="54"/>
        <v>635.22198902422053</v>
      </c>
      <c r="AG118" s="331">
        <f t="shared" si="54"/>
        <v>813.16725654976756</v>
      </c>
      <c r="AH118" s="327"/>
      <c r="AI118" s="327"/>
      <c r="AJ118" s="327"/>
      <c r="AK118" s="327"/>
      <c r="AL118" s="327"/>
      <c r="AM118" s="327"/>
      <c r="AN118" s="327"/>
      <c r="AO118" s="327"/>
    </row>
    <row r="119" spans="3:41" x14ac:dyDescent="0.25">
      <c r="C119" s="71"/>
      <c r="D119"/>
      <c r="E119"/>
      <c r="F119" t="s">
        <v>987</v>
      </c>
      <c r="G119" t="s">
        <v>211</v>
      </c>
      <c r="J119" s="331">
        <f t="shared" si="50"/>
        <v>2211223.0038455967</v>
      </c>
      <c r="K119" s="327"/>
      <c r="L119" s="327"/>
      <c r="M119" s="331">
        <f t="shared" si="51"/>
        <v>97085.715576465649</v>
      </c>
      <c r="N119" s="331">
        <f t="shared" si="51"/>
        <v>97085.715576465649</v>
      </c>
      <c r="O119" s="331">
        <f t="shared" si="51"/>
        <v>46478.562412331783</v>
      </c>
      <c r="P119" s="331">
        <f t="shared" si="51"/>
        <v>46478.562412331783</v>
      </c>
      <c r="Q119" s="327"/>
      <c r="R119" s="327"/>
      <c r="S119" s="331">
        <f t="shared" si="52"/>
        <v>11623.413261603499</v>
      </c>
      <c r="T119" s="331">
        <f t="shared" si="52"/>
        <v>11623.413261603499</v>
      </c>
      <c r="U119" s="331">
        <f t="shared" si="52"/>
        <v>4507.4544805511687</v>
      </c>
      <c r="V119" s="331">
        <f t="shared" si="52"/>
        <v>4507.4544805511687</v>
      </c>
      <c r="W119" s="327"/>
      <c r="X119" s="331">
        <f t="shared" si="53"/>
        <v>11623.413261603499</v>
      </c>
      <c r="Y119" s="331">
        <f t="shared" si="53"/>
        <v>11623.413261603499</v>
      </c>
      <c r="Z119" s="331">
        <f t="shared" si="53"/>
        <v>4507.4544805511687</v>
      </c>
      <c r="AA119" s="331">
        <f t="shared" si="53"/>
        <v>4507.4544805511687</v>
      </c>
      <c r="AB119" s="327"/>
      <c r="AC119" s="331">
        <f t="shared" si="54"/>
        <v>1306.3286990343179</v>
      </c>
      <c r="AD119" s="331">
        <f t="shared" si="54"/>
        <v>1306.3286990343179</v>
      </c>
      <c r="AE119" s="331">
        <f t="shared" si="54"/>
        <v>635.22198902422053</v>
      </c>
      <c r="AF119" s="331">
        <f t="shared" si="54"/>
        <v>635.22198902422053</v>
      </c>
      <c r="AG119" s="331">
        <f t="shared" si="54"/>
        <v>813.16725654976756</v>
      </c>
      <c r="AH119" s="327"/>
      <c r="AI119" s="327"/>
      <c r="AJ119" s="327"/>
      <c r="AK119" s="327"/>
      <c r="AL119" s="327"/>
      <c r="AM119" s="327"/>
      <c r="AN119" s="327"/>
      <c r="AO119" s="327"/>
    </row>
    <row r="120" spans="3:41" x14ac:dyDescent="0.25">
      <c r="C120" s="71"/>
      <c r="D120"/>
      <c r="E120"/>
      <c r="F120" t="s">
        <v>988</v>
      </c>
      <c r="G120" t="s">
        <v>211</v>
      </c>
      <c r="J120" s="331">
        <f t="shared" si="50"/>
        <v>2211223.0038455967</v>
      </c>
      <c r="K120" s="327"/>
      <c r="L120" s="327"/>
      <c r="M120" s="331">
        <f t="shared" si="51"/>
        <v>119200.77069701097</v>
      </c>
      <c r="N120" s="331">
        <f t="shared" si="51"/>
        <v>119200.77069701097</v>
      </c>
      <c r="O120" s="331">
        <f t="shared" si="51"/>
        <v>119200.77069701097</v>
      </c>
      <c r="P120" s="331">
        <f t="shared" si="51"/>
        <v>24363.507291786456</v>
      </c>
      <c r="Q120" s="327"/>
      <c r="R120" s="327"/>
      <c r="S120" s="331">
        <f t="shared" si="52"/>
        <v>13713.583066494293</v>
      </c>
      <c r="T120" s="331">
        <f t="shared" si="52"/>
        <v>13713.583066494293</v>
      </c>
      <c r="U120" s="331">
        <f t="shared" si="52"/>
        <v>13713.583066494293</v>
      </c>
      <c r="V120" s="331">
        <f t="shared" si="52"/>
        <v>2417.2846756603744</v>
      </c>
      <c r="W120" s="327"/>
      <c r="X120" s="331">
        <f t="shared" si="53"/>
        <v>13713.583066494293</v>
      </c>
      <c r="Y120" s="331">
        <f t="shared" si="53"/>
        <v>13713.583066494293</v>
      </c>
      <c r="Z120" s="331">
        <f t="shared" si="53"/>
        <v>13713.583066494293</v>
      </c>
      <c r="AA120" s="331">
        <f t="shared" si="53"/>
        <v>2417.2846756603744</v>
      </c>
      <c r="AB120" s="327"/>
      <c r="AC120" s="331">
        <f t="shared" si="54"/>
        <v>1608.8695229352625</v>
      </c>
      <c r="AD120" s="331">
        <f t="shared" si="54"/>
        <v>1608.8695229352625</v>
      </c>
      <c r="AE120" s="331">
        <f t="shared" si="54"/>
        <v>1608.8695229352625</v>
      </c>
      <c r="AF120" s="331">
        <f t="shared" si="54"/>
        <v>332.68116512327606</v>
      </c>
      <c r="AG120" s="331">
        <f t="shared" si="54"/>
        <v>813.16725654976756</v>
      </c>
      <c r="AH120" s="327"/>
      <c r="AI120" s="327"/>
      <c r="AJ120" s="327"/>
      <c r="AK120" s="327"/>
      <c r="AL120" s="327"/>
      <c r="AM120" s="327"/>
      <c r="AN120" s="327"/>
      <c r="AO120" s="327"/>
    </row>
    <row r="121" spans="3:41" x14ac:dyDescent="0.25">
      <c r="C121" s="71"/>
      <c r="D121"/>
      <c r="E121"/>
      <c r="F121" t="s">
        <v>989</v>
      </c>
      <c r="G121" t="s">
        <v>211</v>
      </c>
      <c r="J121" s="331">
        <f t="shared" si="50"/>
        <v>2211223.0038455967</v>
      </c>
      <c r="K121" s="327"/>
      <c r="L121" s="327"/>
      <c r="M121" s="331">
        <f t="shared" si="51"/>
        <v>50708.548973421945</v>
      </c>
      <c r="N121" s="331">
        <f t="shared" si="51"/>
        <v>92855.729015375488</v>
      </c>
      <c r="O121" s="331">
        <f t="shared" si="51"/>
        <v>92855.729015375488</v>
      </c>
      <c r="P121" s="331">
        <f t="shared" si="51"/>
        <v>92855.729015375488</v>
      </c>
      <c r="Q121" s="327"/>
      <c r="R121" s="327"/>
      <c r="S121" s="331">
        <f t="shared" si="52"/>
        <v>6880.3267776947159</v>
      </c>
      <c r="T121" s="331">
        <f t="shared" si="52"/>
        <v>9250.5409644599495</v>
      </c>
      <c r="U121" s="331">
        <f t="shared" si="52"/>
        <v>9250.5409644599495</v>
      </c>
      <c r="V121" s="331">
        <f t="shared" si="52"/>
        <v>9250.5409644599495</v>
      </c>
      <c r="W121" s="327"/>
      <c r="X121" s="331">
        <f t="shared" si="53"/>
        <v>6880.3267776947159</v>
      </c>
      <c r="Y121" s="331">
        <f t="shared" si="53"/>
        <v>9250.5409644599495</v>
      </c>
      <c r="Z121" s="331">
        <f t="shared" si="53"/>
        <v>9250.5409644599495</v>
      </c>
      <c r="AA121" s="331">
        <f t="shared" si="53"/>
        <v>9250.5409644599495</v>
      </c>
      <c r="AB121" s="327"/>
      <c r="AC121" s="331">
        <f t="shared" si="54"/>
        <v>608.02249301308575</v>
      </c>
      <c r="AD121" s="331">
        <f t="shared" si="54"/>
        <v>1333.5281950454528</v>
      </c>
      <c r="AE121" s="331">
        <f t="shared" si="54"/>
        <v>1333.5281950454528</v>
      </c>
      <c r="AF121" s="331">
        <f t="shared" si="54"/>
        <v>1333.5281950454528</v>
      </c>
      <c r="AG121" s="331">
        <f t="shared" si="54"/>
        <v>813.16725654976756</v>
      </c>
      <c r="AH121" s="327"/>
      <c r="AI121" s="327"/>
      <c r="AJ121" s="327"/>
      <c r="AK121" s="327"/>
      <c r="AL121" s="327"/>
      <c r="AM121" s="327"/>
      <c r="AN121" s="327"/>
      <c r="AO121" s="327"/>
    </row>
    <row r="122" spans="3:41" x14ac:dyDescent="0.25">
      <c r="C122" s="71"/>
      <c r="D122"/>
      <c r="E122"/>
      <c r="F122" s="91" t="s">
        <v>990</v>
      </c>
      <c r="G122" s="91" t="s">
        <v>211</v>
      </c>
      <c r="H122" s="91"/>
      <c r="I122" s="91"/>
      <c r="J122" s="332">
        <f t="shared" si="50"/>
        <v>2211223.0038455967</v>
      </c>
      <c r="K122" s="329"/>
      <c r="L122" s="329"/>
      <c r="M122" s="332">
        <f t="shared" si="51"/>
        <v>143564.27798879743</v>
      </c>
      <c r="N122" s="332">
        <f t="shared" si="51"/>
        <v>143564.27798879743</v>
      </c>
      <c r="O122" s="332">
        <f t="shared" si="51"/>
        <v>143564.27798879743</v>
      </c>
      <c r="P122" s="332">
        <f t="shared" si="51"/>
        <v>143564.27798879743</v>
      </c>
      <c r="Q122" s="329"/>
      <c r="R122" s="329"/>
      <c r="S122" s="332">
        <f t="shared" si="52"/>
        <v>16130.867742154667</v>
      </c>
      <c r="T122" s="332">
        <f t="shared" si="52"/>
        <v>16130.867742154667</v>
      </c>
      <c r="U122" s="332">
        <f t="shared" si="52"/>
        <v>16130.867742154667</v>
      </c>
      <c r="V122" s="332">
        <f t="shared" si="52"/>
        <v>16130.867742154667</v>
      </c>
      <c r="W122" s="329"/>
      <c r="X122" s="332">
        <f t="shared" si="53"/>
        <v>16130.867742154667</v>
      </c>
      <c r="Y122" s="332">
        <f t="shared" si="53"/>
        <v>16130.867742154667</v>
      </c>
      <c r="Z122" s="332">
        <f t="shared" si="53"/>
        <v>16130.867742154667</v>
      </c>
      <c r="AA122" s="332">
        <f t="shared" si="53"/>
        <v>16130.867742154667</v>
      </c>
      <c r="AB122" s="329"/>
      <c r="AC122" s="332">
        <f t="shared" si="54"/>
        <v>1941.5506880585385</v>
      </c>
      <c r="AD122" s="332">
        <f t="shared" si="54"/>
        <v>1941.5506880585385</v>
      </c>
      <c r="AE122" s="332">
        <f t="shared" si="54"/>
        <v>1941.5506880585385</v>
      </c>
      <c r="AF122" s="332">
        <f t="shared" si="54"/>
        <v>1941.5506880585385</v>
      </c>
      <c r="AG122" s="332">
        <f t="shared" si="54"/>
        <v>813.16725654976756</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998</v>
      </c>
      <c r="G124" t="s">
        <v>148</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1007</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983</v>
      </c>
      <c r="G127" s="90" t="s">
        <v>903</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984</v>
      </c>
      <c r="G128" t="s">
        <v>903</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985</v>
      </c>
      <c r="G129" t="s">
        <v>903</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986</v>
      </c>
      <c r="G130" t="s">
        <v>903</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987</v>
      </c>
      <c r="G131" t="s">
        <v>903</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988</v>
      </c>
      <c r="G132" t="s">
        <v>903</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989</v>
      </c>
      <c r="G133" t="s">
        <v>903</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990</v>
      </c>
      <c r="G134" s="91" t="s">
        <v>903</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1107</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983</v>
      </c>
      <c r="G137" s="90" t="s">
        <v>148</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984</v>
      </c>
      <c r="G138" t="s">
        <v>148</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985</v>
      </c>
      <c r="G139" t="s">
        <v>148</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986</v>
      </c>
      <c r="G140" t="s">
        <v>148</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987</v>
      </c>
      <c r="G141" t="s">
        <v>148</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988</v>
      </c>
      <c r="G142" t="s">
        <v>148</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989</v>
      </c>
      <c r="G143" t="s">
        <v>148</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990</v>
      </c>
      <c r="G144" s="91" t="s">
        <v>148</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1000</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999</v>
      </c>
      <c r="G148" t="s">
        <v>148</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1008</v>
      </c>
      <c r="G150" t="s">
        <v>148</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1017</v>
      </c>
      <c r="G154" t="s">
        <v>211</v>
      </c>
      <c r="J154" s="259">
        <f t="shared" ref="J154:AO154" si="98">IF(J32, J56, 0)</f>
        <v>2211223.0038455967</v>
      </c>
      <c r="K154" s="259">
        <f t="shared" si="98"/>
        <v>0</v>
      </c>
      <c r="L154" s="259">
        <f t="shared" si="98"/>
        <v>0</v>
      </c>
      <c r="M154" s="259">
        <f t="shared" si="98"/>
        <v>50708.548973421945</v>
      </c>
      <c r="N154" s="259">
        <f t="shared" si="98"/>
        <v>46377.166603043697</v>
      </c>
      <c r="O154" s="259">
        <f t="shared" si="98"/>
        <v>22115.055120545327</v>
      </c>
      <c r="P154" s="259">
        <f t="shared" si="98"/>
        <v>24363.507291786456</v>
      </c>
      <c r="Q154" s="259">
        <f t="shared" si="98"/>
        <v>0</v>
      </c>
      <c r="R154" s="259">
        <f t="shared" si="98"/>
        <v>0</v>
      </c>
      <c r="S154" s="259">
        <f t="shared" si="98"/>
        <v>6867.4372884490795</v>
      </c>
      <c r="T154" s="259">
        <f t="shared" si="98"/>
        <v>4708.0512945382643</v>
      </c>
      <c r="U154" s="259">
        <f t="shared" si="98"/>
        <v>2029.8660257913084</v>
      </c>
      <c r="V154" s="259">
        <f t="shared" si="98"/>
        <v>1792.0492836378749</v>
      </c>
      <c r="W154" s="259">
        <f t="shared" si="98"/>
        <v>0</v>
      </c>
      <c r="X154" s="259">
        <f t="shared" si="98"/>
        <v>12.889489245636724</v>
      </c>
      <c r="Y154" s="259">
        <f t="shared" si="98"/>
        <v>35.035189370518033</v>
      </c>
      <c r="Z154" s="259">
        <f t="shared" si="98"/>
        <v>60.303779099485467</v>
      </c>
      <c r="AA154" s="259">
        <f t="shared" si="98"/>
        <v>625.2353920224997</v>
      </c>
      <c r="AB154" s="259">
        <f t="shared" si="98"/>
        <v>0</v>
      </c>
      <c r="AC154" s="259">
        <f t="shared" si="98"/>
        <v>608.02249301308575</v>
      </c>
      <c r="AD154" s="259">
        <f t="shared" si="98"/>
        <v>698.30620602123213</v>
      </c>
      <c r="AE154" s="259">
        <f t="shared" si="98"/>
        <v>302.54082390094447</v>
      </c>
      <c r="AF154" s="259">
        <f t="shared" si="98"/>
        <v>332.68116512327606</v>
      </c>
      <c r="AG154" s="259">
        <f t="shared" si="98"/>
        <v>813.16725654976756</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1014</v>
      </c>
      <c r="G156" t="s">
        <v>211</v>
      </c>
      <c r="J156" s="259">
        <f t="shared" ref="J156:AO156" si="99">SUMIF($J$150:$AO$150,J150,$J$154:$AO$154)</f>
        <v>2211223.0038455967</v>
      </c>
      <c r="K156" s="259">
        <f t="shared" si="99"/>
        <v>0</v>
      </c>
      <c r="L156" s="259">
        <f t="shared" si="99"/>
        <v>0</v>
      </c>
      <c r="M156" s="259">
        <f t="shared" si="99"/>
        <v>50708.548973421945</v>
      </c>
      <c r="N156" s="259">
        <f t="shared" si="99"/>
        <v>46377.166603043697</v>
      </c>
      <c r="O156" s="259">
        <f t="shared" si="99"/>
        <v>22115.055120545327</v>
      </c>
      <c r="P156" s="259">
        <f t="shared" si="99"/>
        <v>24363.507291786456</v>
      </c>
      <c r="Q156" s="259">
        <f t="shared" si="99"/>
        <v>0</v>
      </c>
      <c r="R156" s="259">
        <f t="shared" si="99"/>
        <v>0</v>
      </c>
      <c r="S156" s="259">
        <f t="shared" si="99"/>
        <v>6880.3267776947159</v>
      </c>
      <c r="T156" s="259">
        <f t="shared" si="99"/>
        <v>4743.0864839087826</v>
      </c>
      <c r="U156" s="259">
        <f t="shared" si="99"/>
        <v>2090.1698048907938</v>
      </c>
      <c r="V156" s="259">
        <f t="shared" si="99"/>
        <v>2417.2846756603744</v>
      </c>
      <c r="W156" s="259">
        <f t="shared" si="99"/>
        <v>0</v>
      </c>
      <c r="X156" s="259">
        <f t="shared" si="99"/>
        <v>6880.3267776947159</v>
      </c>
      <c r="Y156" s="259">
        <f t="shared" si="99"/>
        <v>4743.0864839087826</v>
      </c>
      <c r="Z156" s="259">
        <f t="shared" si="99"/>
        <v>2090.1698048907938</v>
      </c>
      <c r="AA156" s="259">
        <f t="shared" si="99"/>
        <v>2417.2846756603744</v>
      </c>
      <c r="AB156" s="259">
        <f t="shared" si="99"/>
        <v>0</v>
      </c>
      <c r="AC156" s="259">
        <f t="shared" si="99"/>
        <v>608.02249301308575</v>
      </c>
      <c r="AD156" s="259">
        <f t="shared" si="99"/>
        <v>698.30620602123213</v>
      </c>
      <c r="AE156" s="259">
        <f t="shared" si="99"/>
        <v>302.54082390094447</v>
      </c>
      <c r="AF156" s="259">
        <f t="shared" si="99"/>
        <v>332.68116512327606</v>
      </c>
      <c r="AG156" s="259">
        <f t="shared" si="99"/>
        <v>813.16725654976756</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1123</v>
      </c>
      <c r="G158" t="s">
        <v>166</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0.9981266167055578</v>
      </c>
      <c r="T158" s="334">
        <f t="shared" si="100"/>
        <v>0.99261341966051486</v>
      </c>
      <c r="U158" s="334">
        <f t="shared" si="100"/>
        <v>0.97114886122726474</v>
      </c>
      <c r="V158" s="334">
        <f t="shared" si="100"/>
        <v>0.74134805125850867</v>
      </c>
      <c r="W158" s="334">
        <f t="shared" si="100"/>
        <v>0</v>
      </c>
      <c r="X158" s="334">
        <f t="shared" si="100"/>
        <v>1.8733832944422162E-3</v>
      </c>
      <c r="Y158" s="334">
        <f t="shared" si="100"/>
        <v>7.3865803394850809E-3</v>
      </c>
      <c r="Z158" s="334">
        <f t="shared" si="100"/>
        <v>2.8851138772735353E-2</v>
      </c>
      <c r="AA158" s="334">
        <f t="shared" si="100"/>
        <v>0.25865194874149133</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1133</v>
      </c>
      <c r="I162" t="s">
        <v>153</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1128</v>
      </c>
    </row>
    <row r="163" spans="3:43" x14ac:dyDescent="0.25">
      <c r="C163" s="71"/>
      <c r="D163" s="71" t="s">
        <v>1109</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1009</v>
      </c>
      <c r="G165" t="s">
        <v>206</v>
      </c>
      <c r="J165" s="259">
        <f t="shared" ref="J165:AO165" si="101">SUM(J53:J55)</f>
        <v>6375063.2192454096</v>
      </c>
      <c r="K165" s="259">
        <f t="shared" si="101"/>
        <v>11281.072963271919</v>
      </c>
      <c r="L165" s="259">
        <f t="shared" si="101"/>
        <v>192.40034667474191</v>
      </c>
      <c r="M165" s="259">
        <f t="shared" si="101"/>
        <v>147367.9719290525</v>
      </c>
      <c r="N165" s="259">
        <f t="shared" si="101"/>
        <v>344017.6829955462</v>
      </c>
      <c r="O165" s="259">
        <f t="shared" si="101"/>
        <v>390197.92531677248</v>
      </c>
      <c r="P165" s="259">
        <f t="shared" si="101"/>
        <v>1151893.2768446757</v>
      </c>
      <c r="Q165" s="259">
        <f t="shared" si="101"/>
        <v>12421.978756240096</v>
      </c>
      <c r="R165" s="259">
        <f t="shared" si="101"/>
        <v>33.496104304380935</v>
      </c>
      <c r="S165" s="259">
        <f t="shared" si="101"/>
        <v>538513.92831225309</v>
      </c>
      <c r="T165" s="259">
        <f t="shared" si="101"/>
        <v>723860.57364110276</v>
      </c>
      <c r="U165" s="259">
        <f t="shared" si="101"/>
        <v>468048.66808410746</v>
      </c>
      <c r="V165" s="259">
        <f t="shared" si="101"/>
        <v>780780.218511021</v>
      </c>
      <c r="W165" s="259">
        <f t="shared" si="101"/>
        <v>1.0349360130436254</v>
      </c>
      <c r="X165" s="259">
        <f t="shared" si="101"/>
        <v>8579.4818274508361</v>
      </c>
      <c r="Y165" s="259">
        <f t="shared" si="101"/>
        <v>10877.911982302703</v>
      </c>
      <c r="Z165" s="259">
        <f t="shared" si="101"/>
        <v>24515.217899773699</v>
      </c>
      <c r="AA165" s="259">
        <f t="shared" si="101"/>
        <v>445977.21063231048</v>
      </c>
      <c r="AB165" s="259">
        <f t="shared" si="101"/>
        <v>5814.0205036741809</v>
      </c>
      <c r="AC165" s="259">
        <f t="shared" si="101"/>
        <v>290568.21724385128</v>
      </c>
      <c r="AD165" s="259">
        <f t="shared" si="101"/>
        <v>951920.80885805201</v>
      </c>
      <c r="AE165" s="259">
        <f t="shared" si="101"/>
        <v>893815.06153487577</v>
      </c>
      <c r="AF165" s="259">
        <f t="shared" si="101"/>
        <v>2336579.8402057765</v>
      </c>
      <c r="AG165" s="259">
        <f t="shared" si="101"/>
        <v>137136.21043128523</v>
      </c>
      <c r="AH165" s="259">
        <f t="shared" si="101"/>
        <v>180476.89823288727</v>
      </c>
      <c r="AI165" s="259">
        <f t="shared" si="101"/>
        <v>54.613</v>
      </c>
      <c r="AJ165" s="259">
        <f t="shared" si="101"/>
        <v>55910.189800000007</v>
      </c>
      <c r="AK165" s="259">
        <f t="shared" si="101"/>
        <v>0</v>
      </c>
      <c r="AL165" s="259">
        <f t="shared" si="101"/>
        <v>9922.2096999999994</v>
      </c>
      <c r="AM165" s="259">
        <f t="shared" si="101"/>
        <v>0</v>
      </c>
      <c r="AN165" s="259">
        <f t="shared" si="101"/>
        <v>808450.40890000004</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1010</v>
      </c>
      <c r="G167" t="s">
        <v>206</v>
      </c>
      <c r="J167" s="259">
        <f t="shared" ref="J167:AO167" si="102">IF(J32,J165, 0)</f>
        <v>6375063.2192454096</v>
      </c>
      <c r="K167" s="259">
        <f t="shared" si="102"/>
        <v>0</v>
      </c>
      <c r="L167" s="259">
        <f t="shared" si="102"/>
        <v>0</v>
      </c>
      <c r="M167" s="259">
        <f t="shared" si="102"/>
        <v>147367.9719290525</v>
      </c>
      <c r="N167" s="259">
        <f t="shared" si="102"/>
        <v>344017.6829955462</v>
      </c>
      <c r="O167" s="259">
        <f t="shared" si="102"/>
        <v>390197.92531677248</v>
      </c>
      <c r="P167" s="259">
        <f t="shared" si="102"/>
        <v>1151893.2768446757</v>
      </c>
      <c r="Q167" s="259">
        <f t="shared" si="102"/>
        <v>0</v>
      </c>
      <c r="R167" s="259">
        <f t="shared" si="102"/>
        <v>0</v>
      </c>
      <c r="S167" s="259">
        <f t="shared" si="102"/>
        <v>538513.92831225309</v>
      </c>
      <c r="T167" s="259">
        <f t="shared" si="102"/>
        <v>723860.57364110276</v>
      </c>
      <c r="U167" s="259">
        <f t="shared" si="102"/>
        <v>468048.66808410746</v>
      </c>
      <c r="V167" s="259">
        <f t="shared" si="102"/>
        <v>780780.218511021</v>
      </c>
      <c r="W167" s="259">
        <f t="shared" si="102"/>
        <v>0</v>
      </c>
      <c r="X167" s="259">
        <f t="shared" si="102"/>
        <v>8579.4818274508361</v>
      </c>
      <c r="Y167" s="259">
        <f t="shared" si="102"/>
        <v>10877.911982302703</v>
      </c>
      <c r="Z167" s="259">
        <f t="shared" si="102"/>
        <v>24515.217899773699</v>
      </c>
      <c r="AA167" s="259">
        <f t="shared" si="102"/>
        <v>445977.21063231048</v>
      </c>
      <c r="AB167" s="259">
        <f t="shared" si="102"/>
        <v>0</v>
      </c>
      <c r="AC167" s="259">
        <f t="shared" si="102"/>
        <v>290568.21724385128</v>
      </c>
      <c r="AD167" s="259">
        <f t="shared" si="102"/>
        <v>951920.80885805201</v>
      </c>
      <c r="AE167" s="259">
        <f t="shared" si="102"/>
        <v>893815.06153487577</v>
      </c>
      <c r="AF167" s="259">
        <f t="shared" si="102"/>
        <v>2336579.8402057765</v>
      </c>
      <c r="AG167" s="259">
        <f t="shared" si="102"/>
        <v>137136.21043128523</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1019</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1004</v>
      </c>
      <c r="G171" t="s">
        <v>166</v>
      </c>
      <c r="J171" s="13">
        <v>1</v>
      </c>
      <c r="K171" s="95"/>
      <c r="L171" s="114"/>
      <c r="M171" s="335">
        <f>'Volume adjustments'!K689</f>
        <v>6.9000000000000006E-2</v>
      </c>
      <c r="N171" s="335">
        <f>'Volume adjustments'!L689</f>
        <v>0.17</v>
      </c>
      <c r="O171" s="335">
        <f>'Volume adjustments'!M689</f>
        <v>0.192</v>
      </c>
      <c r="P171" s="335">
        <f>'Volume adjustments'!N689</f>
        <v>0.56899999999999995</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980</v>
      </c>
      <c r="G173" t="s">
        <v>206</v>
      </c>
      <c r="J173" s="259">
        <f>J171*$K165</f>
        <v>11281.072963271919</v>
      </c>
      <c r="K173" s="114"/>
      <c r="L173" s="114"/>
      <c r="M173" s="259">
        <f>M171*$Q165</f>
        <v>857.11653418056676</v>
      </c>
      <c r="N173" s="259">
        <f>N171*$Q165</f>
        <v>2111.7363885608165</v>
      </c>
      <c r="O173" s="259">
        <f>O171*$Q165</f>
        <v>2385.0199211980985</v>
      </c>
      <c r="P173" s="259">
        <f>P171*$Q165</f>
        <v>7068.1059123006144</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1011</v>
      </c>
      <c r="G175" t="s">
        <v>206</v>
      </c>
      <c r="J175" s="259">
        <f t="shared" ref="J175:AO175" si="103">J167+J173</f>
        <v>6386344.2922086818</v>
      </c>
      <c r="K175" s="259">
        <f t="shared" si="103"/>
        <v>0</v>
      </c>
      <c r="L175" s="259">
        <f t="shared" si="103"/>
        <v>0</v>
      </c>
      <c r="M175" s="259">
        <f t="shared" si="103"/>
        <v>148225.08846323306</v>
      </c>
      <c r="N175" s="259">
        <f t="shared" si="103"/>
        <v>346129.41938410699</v>
      </c>
      <c r="O175" s="259">
        <f t="shared" si="103"/>
        <v>392582.94523797056</v>
      </c>
      <c r="P175" s="259">
        <f t="shared" si="103"/>
        <v>1158961.3827569762</v>
      </c>
      <c r="Q175" s="259">
        <f t="shared" si="103"/>
        <v>0</v>
      </c>
      <c r="R175" s="259">
        <f t="shared" si="103"/>
        <v>0</v>
      </c>
      <c r="S175" s="259">
        <f t="shared" si="103"/>
        <v>538513.92831225309</v>
      </c>
      <c r="T175" s="259">
        <f t="shared" si="103"/>
        <v>723860.57364110276</v>
      </c>
      <c r="U175" s="259">
        <f t="shared" si="103"/>
        <v>468048.66808410746</v>
      </c>
      <c r="V175" s="259">
        <f t="shared" si="103"/>
        <v>780780.218511021</v>
      </c>
      <c r="W175" s="259">
        <f t="shared" si="103"/>
        <v>0</v>
      </c>
      <c r="X175" s="259">
        <f t="shared" si="103"/>
        <v>8579.4818274508361</v>
      </c>
      <c r="Y175" s="259">
        <f t="shared" si="103"/>
        <v>10877.911982302703</v>
      </c>
      <c r="Z175" s="259">
        <f t="shared" si="103"/>
        <v>24515.217899773699</v>
      </c>
      <c r="AA175" s="259">
        <f t="shared" si="103"/>
        <v>445977.21063231048</v>
      </c>
      <c r="AB175" s="259">
        <f t="shared" si="103"/>
        <v>0</v>
      </c>
      <c r="AC175" s="259">
        <f t="shared" si="103"/>
        <v>290568.21724385128</v>
      </c>
      <c r="AD175" s="259">
        <f t="shared" si="103"/>
        <v>951920.80885805201</v>
      </c>
      <c r="AE175" s="259">
        <f t="shared" si="103"/>
        <v>893815.06153487577</v>
      </c>
      <c r="AF175" s="259">
        <f t="shared" si="103"/>
        <v>2336579.8402057765</v>
      </c>
      <c r="AG175" s="259">
        <f t="shared" si="103"/>
        <v>137136.21043128523</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1110</v>
      </c>
      <c r="I179" t="s">
        <v>153</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1128</v>
      </c>
    </row>
    <row r="180" spans="3:43" x14ac:dyDescent="0.25">
      <c r="C180" s="71"/>
      <c r="D180" s="71" t="s">
        <v>1111</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1112</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1013</v>
      </c>
      <c r="G183" t="s">
        <v>206</v>
      </c>
      <c r="J183" s="259">
        <f t="shared" ref="J183:AO183" si="104">SUMIF($J$150:$AO$150,J150,$J$175:$AO$175)</f>
        <v>6386344.2922086818</v>
      </c>
      <c r="K183" s="259">
        <f t="shared" si="104"/>
        <v>0</v>
      </c>
      <c r="L183" s="259">
        <f t="shared" si="104"/>
        <v>0</v>
      </c>
      <c r="M183" s="259">
        <f t="shared" si="104"/>
        <v>148225.08846323306</v>
      </c>
      <c r="N183" s="259">
        <f t="shared" si="104"/>
        <v>346129.41938410699</v>
      </c>
      <c r="O183" s="259">
        <f t="shared" si="104"/>
        <v>392582.94523797056</v>
      </c>
      <c r="P183" s="259">
        <f t="shared" si="104"/>
        <v>1158961.3827569762</v>
      </c>
      <c r="Q183" s="259">
        <f t="shared" si="104"/>
        <v>0</v>
      </c>
      <c r="R183" s="259">
        <f t="shared" si="104"/>
        <v>0</v>
      </c>
      <c r="S183" s="259">
        <f t="shared" si="104"/>
        <v>547093.41013970389</v>
      </c>
      <c r="T183" s="259">
        <f t="shared" si="104"/>
        <v>734738.48562340543</v>
      </c>
      <c r="U183" s="259">
        <f t="shared" si="104"/>
        <v>492563.88598388113</v>
      </c>
      <c r="V183" s="259">
        <f t="shared" si="104"/>
        <v>1226757.4291433315</v>
      </c>
      <c r="W183" s="259">
        <f t="shared" si="104"/>
        <v>0</v>
      </c>
      <c r="X183" s="259">
        <f t="shared" si="104"/>
        <v>547093.41013970389</v>
      </c>
      <c r="Y183" s="259">
        <f t="shared" si="104"/>
        <v>734738.48562340543</v>
      </c>
      <c r="Z183" s="259">
        <f t="shared" si="104"/>
        <v>492563.88598388113</v>
      </c>
      <c r="AA183" s="259">
        <f t="shared" si="104"/>
        <v>1226757.4291433315</v>
      </c>
      <c r="AB183" s="259">
        <f t="shared" si="104"/>
        <v>0</v>
      </c>
      <c r="AC183" s="259">
        <f t="shared" si="104"/>
        <v>290568.21724385128</v>
      </c>
      <c r="AD183" s="259">
        <f t="shared" si="104"/>
        <v>951920.80885805201</v>
      </c>
      <c r="AE183" s="259">
        <f t="shared" si="104"/>
        <v>893815.06153487577</v>
      </c>
      <c r="AF183" s="259">
        <f t="shared" si="104"/>
        <v>2336579.8402057765</v>
      </c>
      <c r="AG183" s="259">
        <f t="shared" si="104"/>
        <v>137136.21043128523</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1015</v>
      </c>
      <c r="G185" t="s">
        <v>206</v>
      </c>
      <c r="J185" s="259">
        <f>J158*J183</f>
        <v>6386344.2922086818</v>
      </c>
      <c r="K185" s="259">
        <f t="shared" ref="K185:AO185" si="105">K158*K183</f>
        <v>0</v>
      </c>
      <c r="L185" s="259">
        <f t="shared" si="105"/>
        <v>0</v>
      </c>
      <c r="M185" s="259">
        <f t="shared" si="105"/>
        <v>148225.08846323306</v>
      </c>
      <c r="N185" s="259">
        <f t="shared" si="105"/>
        <v>346129.41938410699</v>
      </c>
      <c r="O185" s="259">
        <f t="shared" si="105"/>
        <v>392582.94523797056</v>
      </c>
      <c r="P185" s="259">
        <f t="shared" si="105"/>
        <v>1158961.3827569762</v>
      </c>
      <c r="Q185" s="259">
        <f t="shared" si="105"/>
        <v>0</v>
      </c>
      <c r="R185" s="259">
        <f t="shared" si="105"/>
        <v>0</v>
      </c>
      <c r="S185" s="259">
        <f t="shared" si="105"/>
        <v>546068.49448464881</v>
      </c>
      <c r="T185" s="259">
        <f t="shared" si="105"/>
        <v>729311.28077083651</v>
      </c>
      <c r="U185" s="259">
        <f t="shared" si="105"/>
        <v>478352.85695492243</v>
      </c>
      <c r="V185" s="259">
        <f t="shared" si="105"/>
        <v>909454.22946230683</v>
      </c>
      <c r="W185" s="259">
        <f t="shared" si="105"/>
        <v>0</v>
      </c>
      <c r="X185" s="259">
        <f t="shared" si="105"/>
        <v>1024.915655055145</v>
      </c>
      <c r="Y185" s="259">
        <f t="shared" si="105"/>
        <v>5427.2048525688879</v>
      </c>
      <c r="Z185" s="259">
        <f t="shared" si="105"/>
        <v>14211.029028958748</v>
      </c>
      <c r="AA185" s="259">
        <f t="shared" si="105"/>
        <v>317303.19968102465</v>
      </c>
      <c r="AB185" s="259">
        <f t="shared" si="105"/>
        <v>0</v>
      </c>
      <c r="AC185" s="259">
        <f t="shared" si="105"/>
        <v>290568.21724385128</v>
      </c>
      <c r="AD185" s="259">
        <f t="shared" si="105"/>
        <v>951920.80885805201</v>
      </c>
      <c r="AE185" s="259">
        <f t="shared" si="105"/>
        <v>893815.06153487577</v>
      </c>
      <c r="AF185" s="259">
        <f t="shared" si="105"/>
        <v>2336579.8402057765</v>
      </c>
      <c r="AG185" s="259">
        <f t="shared" si="105"/>
        <v>137136.21043128523</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452</v>
      </c>
      <c r="G187" t="s">
        <v>206</v>
      </c>
      <c r="H187" s="259">
        <f>SUM($J$185:$AO$185)</f>
        <v>16043416.477215134</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1027</v>
      </c>
      <c r="G189" t="s">
        <v>166</v>
      </c>
      <c r="J189" s="336">
        <f>J185/$H187</f>
        <v>0.39806635334054752</v>
      </c>
      <c r="K189" s="336">
        <f t="shared" ref="K189:AO189" si="106">K185/$H187</f>
        <v>0</v>
      </c>
      <c r="L189" s="336">
        <f t="shared" si="106"/>
        <v>0</v>
      </c>
      <c r="M189" s="336">
        <f t="shared" si="106"/>
        <v>9.2389977330416123E-3</v>
      </c>
      <c r="N189" s="336">
        <f t="shared" si="106"/>
        <v>2.1574545538706181E-2</v>
      </c>
      <c r="O189" s="336">
        <f t="shared" si="106"/>
        <v>2.4470033910515072E-2</v>
      </c>
      <c r="P189" s="336">
        <f t="shared" si="106"/>
        <v>7.2239063568718898E-2</v>
      </c>
      <c r="Q189" s="336">
        <f t="shared" si="106"/>
        <v>0</v>
      </c>
      <c r="R189" s="336">
        <f t="shared" si="106"/>
        <v>0</v>
      </c>
      <c r="S189" s="336">
        <f t="shared" si="106"/>
        <v>3.4036920705772085E-2</v>
      </c>
      <c r="T189" s="336">
        <f t="shared" si="106"/>
        <v>4.5458601776411194E-2</v>
      </c>
      <c r="U189" s="336">
        <f t="shared" si="106"/>
        <v>2.9816146556706256E-2</v>
      </c>
      <c r="V189" s="336">
        <f t="shared" si="106"/>
        <v>5.6687067293547735E-2</v>
      </c>
      <c r="W189" s="336">
        <f t="shared" si="106"/>
        <v>0</v>
      </c>
      <c r="X189" s="336">
        <f t="shared" si="106"/>
        <v>6.3883877633590731E-5</v>
      </c>
      <c r="Y189" s="336">
        <f t="shared" si="106"/>
        <v>3.3828236400124665E-4</v>
      </c>
      <c r="Z189" s="336">
        <f t="shared" si="106"/>
        <v>8.8578570837086082E-4</v>
      </c>
      <c r="AA189" s="336">
        <f t="shared" si="106"/>
        <v>1.9777782377691108E-2</v>
      </c>
      <c r="AB189" s="336">
        <f t="shared" si="106"/>
        <v>0</v>
      </c>
      <c r="AC189" s="336">
        <f t="shared" si="106"/>
        <v>1.8111367840915705E-2</v>
      </c>
      <c r="AD189" s="336">
        <f t="shared" si="106"/>
        <v>5.9334045850518831E-2</v>
      </c>
      <c r="AE189" s="336">
        <f t="shared" si="106"/>
        <v>5.5712264454661029E-2</v>
      </c>
      <c r="AF189" s="336">
        <f t="shared" si="106"/>
        <v>0.14564103871043851</v>
      </c>
      <c r="AG189" s="336">
        <f t="shared" si="106"/>
        <v>8.5478183918024035E-3</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922</v>
      </c>
      <c r="G191" t="s">
        <v>276</v>
      </c>
      <c r="J191" s="259">
        <f>$H$85 * J189</f>
        <v>32313328.282460224</v>
      </c>
      <c r="K191" s="259">
        <f t="shared" ref="K191:AO191" si="107">$H$85 * K189</f>
        <v>0</v>
      </c>
      <c r="L191" s="259">
        <f t="shared" si="107"/>
        <v>0</v>
      </c>
      <c r="M191" s="259">
        <f t="shared" si="107"/>
        <v>749982.41937136231</v>
      </c>
      <c r="N191" s="259">
        <f t="shared" si="107"/>
        <v>1751329.5627392288</v>
      </c>
      <c r="O191" s="259">
        <f t="shared" si="107"/>
        <v>1986372.9556588598</v>
      </c>
      <c r="P191" s="259">
        <f t="shared" si="107"/>
        <v>5864058.984951525</v>
      </c>
      <c r="Q191" s="259">
        <f t="shared" si="107"/>
        <v>0</v>
      </c>
      <c r="R191" s="259">
        <f t="shared" si="107"/>
        <v>0</v>
      </c>
      <c r="S191" s="259">
        <f t="shared" si="107"/>
        <v>2762972.010218502</v>
      </c>
      <c r="T191" s="259">
        <f t="shared" si="107"/>
        <v>3690135.3508924628</v>
      </c>
      <c r="U191" s="259">
        <f t="shared" si="107"/>
        <v>2420347.5720052929</v>
      </c>
      <c r="V191" s="259">
        <f t="shared" si="107"/>
        <v>4601614.277254058</v>
      </c>
      <c r="W191" s="259">
        <f t="shared" si="107"/>
        <v>0</v>
      </c>
      <c r="X191" s="259">
        <f t="shared" si="107"/>
        <v>5185.8206367035427</v>
      </c>
      <c r="Y191" s="259">
        <f t="shared" si="107"/>
        <v>27460.319086017913</v>
      </c>
      <c r="Z191" s="259">
        <f t="shared" si="107"/>
        <v>71904.304752962547</v>
      </c>
      <c r="AA191" s="259">
        <f t="shared" si="107"/>
        <v>1605475.9949094432</v>
      </c>
      <c r="AB191" s="259">
        <f t="shared" si="107"/>
        <v>0</v>
      </c>
      <c r="AC191" s="259">
        <f t="shared" si="107"/>
        <v>1470203.572285417</v>
      </c>
      <c r="AD191" s="259">
        <f t="shared" si="107"/>
        <v>4816484.703629598</v>
      </c>
      <c r="AE191" s="259">
        <f t="shared" si="107"/>
        <v>4522483.9416221166</v>
      </c>
      <c r="AF191" s="259">
        <f t="shared" si="107"/>
        <v>11822518.170036763</v>
      </c>
      <c r="AG191" s="259">
        <f t="shared" si="107"/>
        <v>693875.42924750713</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1025</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923</v>
      </c>
      <c r="G197" t="s">
        <v>1124</v>
      </c>
      <c r="I197" t="s">
        <v>153</v>
      </c>
      <c r="J197" s="259">
        <f t="shared" ref="J197:AO197" si="108">IF(J33, J191/J154, 0)</f>
        <v>14.613328563543005</v>
      </c>
      <c r="K197" s="259">
        <f t="shared" si="108"/>
        <v>0</v>
      </c>
      <c r="L197" s="259">
        <f t="shared" si="108"/>
        <v>0</v>
      </c>
      <c r="M197" s="259">
        <f t="shared" si="108"/>
        <v>14.790058768284876</v>
      </c>
      <c r="N197" s="259">
        <f t="shared" si="108"/>
        <v>37.76275462728011</v>
      </c>
      <c r="O197" s="259">
        <f t="shared" si="108"/>
        <v>89.8199414304638</v>
      </c>
      <c r="P197" s="259">
        <f t="shared" si="108"/>
        <v>240.69026329917799</v>
      </c>
      <c r="Q197" s="259">
        <f t="shared" si="108"/>
        <v>0</v>
      </c>
      <c r="R197" s="259">
        <f t="shared" si="108"/>
        <v>0</v>
      </c>
      <c r="S197" s="259">
        <f t="shared" si="108"/>
        <v>402.3294125839019</v>
      </c>
      <c r="T197" s="259">
        <f t="shared" si="108"/>
        <v>783.7925120257994</v>
      </c>
      <c r="U197" s="259">
        <f t="shared" si="108"/>
        <v>1192.3681372329793</v>
      </c>
      <c r="V197" s="259">
        <f t="shared" si="108"/>
        <v>2567.7944905135328</v>
      </c>
      <c r="W197" s="259">
        <f t="shared" si="108"/>
        <v>0</v>
      </c>
      <c r="X197" s="259">
        <f t="shared" si="108"/>
        <v>402.32941258390179</v>
      </c>
      <c r="Y197" s="259">
        <f t="shared" si="108"/>
        <v>783.7925120257994</v>
      </c>
      <c r="Z197" s="259">
        <f t="shared" si="108"/>
        <v>1192.3681372329791</v>
      </c>
      <c r="AA197" s="259">
        <f t="shared" si="108"/>
        <v>2567.7944905135323</v>
      </c>
      <c r="AB197" s="259">
        <f t="shared" si="108"/>
        <v>0</v>
      </c>
      <c r="AC197" s="259">
        <f t="shared" si="108"/>
        <v>2418.008526296042</v>
      </c>
      <c r="AD197" s="259">
        <f t="shared" si="108"/>
        <v>6897.3820683517624</v>
      </c>
      <c r="AE197" s="259">
        <f t="shared" si="108"/>
        <v>14948.342783329077</v>
      </c>
      <c r="AF197" s="259">
        <f t="shared" si="108"/>
        <v>35537.082977498561</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1137</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923</v>
      </c>
      <c r="G199" t="s">
        <v>269</v>
      </c>
      <c r="I199" t="s">
        <v>153</v>
      </c>
      <c r="J199" s="259">
        <f t="shared" ref="J199:AO199" si="109">J197 * hundred / days_in_year</f>
        <v>4.0036516612446587</v>
      </c>
      <c r="K199" s="259">
        <f t="shared" si="109"/>
        <v>0</v>
      </c>
      <c r="L199" s="259">
        <f t="shared" si="109"/>
        <v>0</v>
      </c>
      <c r="M199" s="259">
        <f t="shared" si="109"/>
        <v>4.0520708954205142</v>
      </c>
      <c r="N199" s="259">
        <f t="shared" si="109"/>
        <v>10.345960171857564</v>
      </c>
      <c r="O199" s="259">
        <f t="shared" si="109"/>
        <v>24.608203131633918</v>
      </c>
      <c r="P199" s="259">
        <f t="shared" si="109"/>
        <v>65.942537890185747</v>
      </c>
      <c r="Q199" s="259">
        <f t="shared" si="109"/>
        <v>0</v>
      </c>
      <c r="R199" s="259">
        <f t="shared" si="109"/>
        <v>0</v>
      </c>
      <c r="S199" s="259">
        <f t="shared" si="109"/>
        <v>110.22723632435668</v>
      </c>
      <c r="T199" s="259">
        <f t="shared" si="109"/>
        <v>214.73767452761626</v>
      </c>
      <c r="U199" s="259">
        <f t="shared" si="109"/>
        <v>326.6762019816382</v>
      </c>
      <c r="V199" s="259">
        <f t="shared" si="109"/>
        <v>703.50533986672133</v>
      </c>
      <c r="W199" s="259">
        <f t="shared" si="109"/>
        <v>0</v>
      </c>
      <c r="X199" s="259">
        <f t="shared" si="109"/>
        <v>110.22723632435665</v>
      </c>
      <c r="Y199" s="259">
        <f t="shared" si="109"/>
        <v>214.73767452761626</v>
      </c>
      <c r="Z199" s="259">
        <f t="shared" si="109"/>
        <v>326.67620198163809</v>
      </c>
      <c r="AA199" s="259">
        <f t="shared" si="109"/>
        <v>703.50533986672122</v>
      </c>
      <c r="AB199" s="259">
        <f t="shared" si="109"/>
        <v>0</v>
      </c>
      <c r="AC199" s="259">
        <f t="shared" si="109"/>
        <v>662.46808939617586</v>
      </c>
      <c r="AD199" s="259">
        <f t="shared" si="109"/>
        <v>1889.6937173566471</v>
      </c>
      <c r="AE199" s="259">
        <f t="shared" si="109"/>
        <v>4095.4363789942677</v>
      </c>
      <c r="AF199" s="259">
        <f t="shared" si="109"/>
        <v>9736.1871171228941</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1138</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1021</v>
      </c>
      <c r="E203"/>
      <c r="I203" t="s">
        <v>153</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1129</v>
      </c>
    </row>
    <row r="204" spans="3:43" x14ac:dyDescent="0.25">
      <c r="C204" s="71"/>
      <c r="D204" s="71" t="s">
        <v>1022</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924</v>
      </c>
      <c r="G206" t="s">
        <v>925</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5.059753562281692</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924</v>
      </c>
      <c r="G208" t="s">
        <v>268</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0.50597535622816914</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1028</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1029</v>
      </c>
      <c r="I212" t="s">
        <v>153</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1113</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1030</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1031</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1032</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1134</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1033</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1034</v>
      </c>
      <c r="G223" t="s">
        <v>269</v>
      </c>
      <c r="J223" s="259">
        <f t="array" ref="J223">MIN(IF($J150:$AO150=J150,$J43:$AO43+$J48:$AO48))</f>
        <v>12.988228422248099</v>
      </c>
      <c r="K223" s="259">
        <f t="array" ref="K223">MIN(IF($J150:$AO150=K150,$J43:$AO43+$J48:$AO48))</f>
        <v>0</v>
      </c>
      <c r="L223" s="259">
        <f t="array" ref="L223">MIN(IF($J150:$AO150=L150,$J43:$AO43+$J48:$AO48))</f>
        <v>0</v>
      </c>
      <c r="M223" s="259">
        <f t="array" ref="M223">MIN(IF($J150:$AO150=M150,$J43:$AO43+$J48:$AO48))</f>
        <v>12.303983355225039</v>
      </c>
      <c r="N223" s="259">
        <f t="array" ref="N223">MIN(IF($J150:$AO150=N150,$J43:$AO43+$J48:$AO48))</f>
        <v>12.303983355225039</v>
      </c>
      <c r="O223" s="259">
        <f t="array" ref="O223">MIN(IF($J150:$AO150=O150,$J43:$AO43+$J48:$AO48))</f>
        <v>12.303983355225039</v>
      </c>
      <c r="P223" s="259">
        <f t="array" ref="P223">MIN(IF($J150:$AO150=P150,$J43:$AO43+$J48:$AO48))</f>
        <v>12.303983355225039</v>
      </c>
      <c r="Q223" s="259">
        <f t="array" ref="Q223">MIN(IF($J150:$AO150=Q150,$J43:$AO43+$J48:$AO48))</f>
        <v>0</v>
      </c>
      <c r="R223" s="259">
        <f t="array" ref="R223">MIN(IF($J150:$AO150=R150,$J43:$AO43+$J48:$AO48))</f>
        <v>0</v>
      </c>
      <c r="S223" s="259">
        <f t="array" ref="S223">MIN(IF($J150:$AO150=S150,$J43:$AO43+$J48:$AO48))</f>
        <v>16.482351125251522</v>
      </c>
      <c r="T223" s="259">
        <f t="array" ref="T223">MIN(IF($J150:$AO150=T150,$J43:$AO43+$J48:$AO48))</f>
        <v>16.482351125251522</v>
      </c>
      <c r="U223" s="259">
        <f t="array" ref="U223">MIN(IF($J150:$AO150=U150,$J43:$AO43+$J48:$AO48))</f>
        <v>16.482351125251522</v>
      </c>
      <c r="V223" s="259">
        <f t="array" ref="V223">MIN(IF($J150:$AO150=V150,$J43:$AO43+$J48:$AO48))</f>
        <v>16.482351125251522</v>
      </c>
      <c r="W223" s="259">
        <f t="array" ref="W223">MIN(IF($J150:$AO150=W150,$J43:$AO43+$J48:$AO48))</f>
        <v>0</v>
      </c>
      <c r="X223" s="259">
        <f t="array" ref="X223">MIN(IF($J150:$AO150=X150,$J43:$AO43+$J48:$AO48))</f>
        <v>16.482351125251522</v>
      </c>
      <c r="Y223" s="259">
        <f t="array" ref="Y223">MIN(IF($J150:$AO150=Y150,$J43:$AO43+$J48:$AO48))</f>
        <v>16.482351125251522</v>
      </c>
      <c r="Z223" s="259">
        <f t="array" ref="Z223">MIN(IF($J150:$AO150=Z150,$J43:$AO43+$J48:$AO48))</f>
        <v>16.482351125251522</v>
      </c>
      <c r="AA223" s="259">
        <f t="array" ref="AA223">MIN(IF($J150:$AO150=AA150,$J43:$AO43+$J48:$AO48))</f>
        <v>16.482351125251522</v>
      </c>
      <c r="AB223" s="259">
        <f t="array" ref="AB223">MIN(IF($J150:$AO150=AB150,$J43:$AO43+$J48:$AO48))</f>
        <v>0</v>
      </c>
      <c r="AC223" s="259">
        <f t="array" ref="AC223">MIN(IF($J150:$AO150=AC150,$J43:$AO43+$J48:$AO48))</f>
        <v>431.63757240271184</v>
      </c>
      <c r="AD223" s="259">
        <f t="array" ref="AD223">MIN(IF($J150:$AO150=AD150,$J43:$AO43+$J48:$AO48))</f>
        <v>431.63757240271184</v>
      </c>
      <c r="AE223" s="259">
        <f t="array" ref="AE223">MIN(IF($J150:$AO150=AE150,$J43:$AO43+$J48:$AO48))</f>
        <v>431.63757240271184</v>
      </c>
      <c r="AF223" s="259">
        <f t="array" ref="AF223">MIN(IF($J150:$AO150=AF150,$J43:$AO43+$J48:$AO48))</f>
        <v>431.63757240271184</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1035</v>
      </c>
      <c r="G225" t="s">
        <v>269</v>
      </c>
      <c r="J225" s="259">
        <f>MAX(-J223,J199)</f>
        <v>4.0036516612446587</v>
      </c>
      <c r="K225" s="259">
        <f t="shared" ref="K225:AO225" si="112">MAX(-K223,K199)</f>
        <v>0</v>
      </c>
      <c r="L225" s="259">
        <f t="shared" si="112"/>
        <v>0</v>
      </c>
      <c r="M225" s="259">
        <f t="shared" si="112"/>
        <v>4.0520708954205142</v>
      </c>
      <c r="N225" s="259">
        <f t="shared" si="112"/>
        <v>10.345960171857564</v>
      </c>
      <c r="O225" s="259">
        <f t="shared" si="112"/>
        <v>24.608203131633918</v>
      </c>
      <c r="P225" s="259">
        <f t="shared" si="112"/>
        <v>65.942537890185747</v>
      </c>
      <c r="Q225" s="259">
        <f t="shared" si="112"/>
        <v>0</v>
      </c>
      <c r="R225" s="259">
        <f t="shared" si="112"/>
        <v>0</v>
      </c>
      <c r="S225" s="259">
        <f t="shared" si="112"/>
        <v>110.22723632435668</v>
      </c>
      <c r="T225" s="259">
        <f t="shared" si="112"/>
        <v>214.73767452761626</v>
      </c>
      <c r="U225" s="259">
        <f t="shared" si="112"/>
        <v>326.6762019816382</v>
      </c>
      <c r="V225" s="259">
        <f t="shared" si="112"/>
        <v>703.50533986672133</v>
      </c>
      <c r="W225" s="259">
        <f t="shared" si="112"/>
        <v>0</v>
      </c>
      <c r="X225" s="259">
        <f t="shared" si="112"/>
        <v>110.22723632435665</v>
      </c>
      <c r="Y225" s="259">
        <f t="shared" si="112"/>
        <v>214.73767452761626</v>
      </c>
      <c r="Z225" s="259">
        <f t="shared" si="112"/>
        <v>326.67620198163809</v>
      </c>
      <c r="AA225" s="259">
        <f t="shared" si="112"/>
        <v>703.50533986672122</v>
      </c>
      <c r="AB225" s="259">
        <f t="shared" si="112"/>
        <v>0</v>
      </c>
      <c r="AC225" s="259">
        <f t="shared" si="112"/>
        <v>662.46808939617586</v>
      </c>
      <c r="AD225" s="259">
        <f t="shared" si="112"/>
        <v>1889.6937173566471</v>
      </c>
      <c r="AE225" s="259">
        <f t="shared" si="112"/>
        <v>4095.4363789942677</v>
      </c>
      <c r="AF225" s="259">
        <f t="shared" si="112"/>
        <v>9736.1871171228941</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1036</v>
      </c>
      <c r="G227" t="s">
        <v>269</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1037</v>
      </c>
      <c r="G229" t="s">
        <v>921</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1038</v>
      </c>
      <c r="G231" t="s">
        <v>921</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1039</v>
      </c>
      <c r="I235" t="s">
        <v>153</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1113</v>
      </c>
    </row>
    <row r="236" spans="3:43" x14ac:dyDescent="0.25">
      <c r="C236" s="71"/>
      <c r="D236" s="71" t="s">
        <v>1040</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1041</v>
      </c>
      <c r="G238" t="s">
        <v>903</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1042</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1043</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1044</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1045</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1046</v>
      </c>
      <c r="G245" s="90" t="s">
        <v>148</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1047</v>
      </c>
      <c r="G246" t="s">
        <v>148</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1048</v>
      </c>
      <c r="G247" s="91" t="s">
        <v>148</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1049</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1046</v>
      </c>
      <c r="G250" s="90" t="s">
        <v>268</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1047</v>
      </c>
      <c r="G251" t="s">
        <v>268</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1048</v>
      </c>
      <c r="G252" s="91" t="s">
        <v>268</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1050</v>
      </c>
      <c r="I254" t="s">
        <v>153</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1139</v>
      </c>
    </row>
    <row r="255" spans="3:43" x14ac:dyDescent="0.25">
      <c r="C255" s="71"/>
      <c r="E255" s="2" t="s">
        <v>1051</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1052</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1046</v>
      </c>
      <c r="G258" s="90" t="s">
        <v>268</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1047</v>
      </c>
      <c r="G259" t="s">
        <v>268</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1048</v>
      </c>
      <c r="G260" s="91" t="s">
        <v>268</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1053</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1046</v>
      </c>
      <c r="G263" s="90" t="s">
        <v>268</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1047</v>
      </c>
      <c r="G264" t="s">
        <v>268</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1048</v>
      </c>
      <c r="G265" s="91" t="s">
        <v>268</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1054</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1046</v>
      </c>
      <c r="G268" s="90" t="s">
        <v>148</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1047</v>
      </c>
      <c r="G269" t="s">
        <v>148</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1048</v>
      </c>
      <c r="G270" s="91" t="s">
        <v>148</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1055</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1046</v>
      </c>
      <c r="G273" s="90" t="s">
        <v>206</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1047</v>
      </c>
      <c r="G274" t="s">
        <v>206</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1048</v>
      </c>
      <c r="G275" s="91" t="s">
        <v>206</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1056</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1046</v>
      </c>
      <c r="G278" s="90" t="s">
        <v>206</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1047</v>
      </c>
      <c r="G279" t="s">
        <v>206</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1048</v>
      </c>
      <c r="G280" s="91" t="s">
        <v>206</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1057</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1046</v>
      </c>
      <c r="G283" s="90" t="s">
        <v>206</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1047</v>
      </c>
      <c r="G284" t="s">
        <v>206</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1048</v>
      </c>
      <c r="G285" s="91" t="s">
        <v>206</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1058</v>
      </c>
      <c r="E289" s="60"/>
      <c r="I289" t="s">
        <v>153</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1113</v>
      </c>
    </row>
    <row r="290" spans="3:44" x14ac:dyDescent="0.25">
      <c r="C290" s="71"/>
      <c r="D290" s="71" t="s">
        <v>1059</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1060</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1061</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1062</v>
      </c>
      <c r="G294" t="s">
        <v>921</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1063</v>
      </c>
      <c r="G296" t="s">
        <v>921</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1011</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1064</v>
      </c>
      <c r="G299" t="s">
        <v>206</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1013</v>
      </c>
      <c r="G301" t="s">
        <v>206</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1015</v>
      </c>
      <c r="G303" t="s">
        <v>206</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1065</v>
      </c>
      <c r="G305" t="s">
        <v>268</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1066</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1046</v>
      </c>
      <c r="G308" s="90" t="s">
        <v>903</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1047</v>
      </c>
      <c r="G309" t="s">
        <v>903</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1048</v>
      </c>
      <c r="G310" s="91" t="s">
        <v>903</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1067</v>
      </c>
      <c r="G312" t="s">
        <v>903</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1135</v>
      </c>
      <c r="E316" s="60"/>
      <c r="I316" t="s">
        <v>153</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1113</v>
      </c>
    </row>
    <row r="317" spans="3:43" x14ac:dyDescent="0.25">
      <c r="C317" s="71"/>
      <c r="D317" s="71" t="s">
        <v>1068</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1069</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1070</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1071</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1072</v>
      </c>
      <c r="G322" t="s">
        <v>921</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1073</v>
      </c>
      <c r="G324" t="s">
        <v>921</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1062</v>
      </c>
      <c r="G326" t="s">
        <v>921</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1063</v>
      </c>
      <c r="G328" t="s">
        <v>921</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1011</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1074</v>
      </c>
      <c r="G331" t="s">
        <v>206</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1013</v>
      </c>
      <c r="G333" t="s">
        <v>206</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1015</v>
      </c>
      <c r="G335" t="s">
        <v>206</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1075</v>
      </c>
      <c r="G337" t="s">
        <v>268</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1076</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1046</v>
      </c>
      <c r="G340" s="90" t="s">
        <v>903</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1047</v>
      </c>
      <c r="G341" t="s">
        <v>903</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1048</v>
      </c>
      <c r="G342" s="91" t="s">
        <v>903</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1077</v>
      </c>
      <c r="G344" t="s">
        <v>903</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1135</v>
      </c>
      <c r="E348" s="60"/>
      <c r="I348" t="s">
        <v>153</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1113</v>
      </c>
    </row>
    <row r="349" spans="3:43" x14ac:dyDescent="0.25">
      <c r="C349" s="71"/>
      <c r="D349" s="71" t="s">
        <v>1078</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1069</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1070</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1079</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1080</v>
      </c>
      <c r="G354" t="s">
        <v>921</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1073</v>
      </c>
      <c r="G356" t="s">
        <v>921</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1062</v>
      </c>
      <c r="G358" t="s">
        <v>921</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1063</v>
      </c>
      <c r="G360" t="s">
        <v>921</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1011</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1074</v>
      </c>
      <c r="G363" t="s">
        <v>206</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1013</v>
      </c>
      <c r="G365" t="s">
        <v>206</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1015</v>
      </c>
      <c r="G367" t="s">
        <v>206</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1081</v>
      </c>
      <c r="G369" t="s">
        <v>268</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1082</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1046</v>
      </c>
      <c r="G372" s="90" t="s">
        <v>903</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1047</v>
      </c>
      <c r="G373" t="s">
        <v>903</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1048</v>
      </c>
      <c r="G374" s="91" t="s">
        <v>903</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1083</v>
      </c>
      <c r="G376" t="s">
        <v>903</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1131</v>
      </c>
      <c r="E380" s="60"/>
      <c r="I380" t="s">
        <v>153</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1113</v>
      </c>
    </row>
    <row r="381" spans="3:43" x14ac:dyDescent="0.25">
      <c r="C381" s="71"/>
      <c r="D381" s="71" t="s">
        <v>1084</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1085</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1086</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1087</v>
      </c>
      <c r="G385" s="90" t="s">
        <v>903</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1088</v>
      </c>
      <c r="G386" t="s">
        <v>903</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1089</v>
      </c>
      <c r="G387" s="91" t="s">
        <v>903</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1090</v>
      </c>
      <c r="G389" t="s">
        <v>148</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1091</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1087</v>
      </c>
      <c r="G392" s="90" t="s">
        <v>903</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1088</v>
      </c>
      <c r="G393" t="s">
        <v>903</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1089</v>
      </c>
      <c r="G394" s="91" t="s">
        <v>903</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1092</v>
      </c>
      <c r="G396" t="s">
        <v>268</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1093</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1046</v>
      </c>
      <c r="G399" s="90" t="s">
        <v>268</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1047</v>
      </c>
      <c r="G400" t="s">
        <v>268</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1048</v>
      </c>
      <c r="G401" s="91" t="s">
        <v>268</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1094</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155</v>
      </c>
      <c r="G404" s="90" t="s">
        <v>268</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156</v>
      </c>
      <c r="G405" t="s">
        <v>268</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157</v>
      </c>
      <c r="G406" s="91" t="s">
        <v>268</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1012</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928</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155</v>
      </c>
      <c r="G413" s="90" t="s">
        <v>268</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0.50597535622816914</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156</v>
      </c>
      <c r="G414" t="s">
        <v>268</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0.50597535622816914</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157</v>
      </c>
      <c r="G415" t="s">
        <v>268</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0.50597535622816914</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158</v>
      </c>
      <c r="G416" t="s">
        <v>269</v>
      </c>
      <c r="J416" s="311">
        <f t="shared" ref="J416:AO416" si="173">J225</f>
        <v>4.0036516612446587</v>
      </c>
      <c r="K416" s="311">
        <f t="shared" si="173"/>
        <v>0</v>
      </c>
      <c r="L416" s="311">
        <f t="shared" si="173"/>
        <v>0</v>
      </c>
      <c r="M416" s="311">
        <f t="shared" si="173"/>
        <v>4.0520708954205142</v>
      </c>
      <c r="N416" s="311">
        <f t="shared" si="173"/>
        <v>10.345960171857564</v>
      </c>
      <c r="O416" s="311">
        <f t="shared" si="173"/>
        <v>24.608203131633918</v>
      </c>
      <c r="P416" s="311">
        <f t="shared" si="173"/>
        <v>65.942537890185747</v>
      </c>
      <c r="Q416" s="311">
        <f t="shared" si="173"/>
        <v>0</v>
      </c>
      <c r="R416" s="311">
        <f t="shared" si="173"/>
        <v>0</v>
      </c>
      <c r="S416" s="311">
        <f t="shared" si="173"/>
        <v>110.22723632435668</v>
      </c>
      <c r="T416" s="311">
        <f t="shared" si="173"/>
        <v>214.73767452761626</v>
      </c>
      <c r="U416" s="311">
        <f t="shared" si="173"/>
        <v>326.6762019816382</v>
      </c>
      <c r="V416" s="311">
        <f t="shared" si="173"/>
        <v>703.50533986672133</v>
      </c>
      <c r="W416" s="311">
        <f t="shared" si="173"/>
        <v>0</v>
      </c>
      <c r="X416" s="311">
        <f t="shared" si="173"/>
        <v>110.22723632435665</v>
      </c>
      <c r="Y416" s="311">
        <f t="shared" si="173"/>
        <v>214.73767452761626</v>
      </c>
      <c r="Z416" s="311">
        <f t="shared" si="173"/>
        <v>326.67620198163809</v>
      </c>
      <c r="AA416" s="311">
        <f t="shared" si="173"/>
        <v>703.50533986672122</v>
      </c>
      <c r="AB416" s="311">
        <f t="shared" si="173"/>
        <v>0</v>
      </c>
      <c r="AC416" s="311">
        <f t="shared" si="173"/>
        <v>662.46808939617586</v>
      </c>
      <c r="AD416" s="311">
        <f t="shared" si="173"/>
        <v>1889.6937173566471</v>
      </c>
      <c r="AE416" s="311">
        <f t="shared" si="173"/>
        <v>4095.4363789942677</v>
      </c>
      <c r="AF416" s="311">
        <f t="shared" si="173"/>
        <v>9736.1871171228941</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159</v>
      </c>
      <c r="G417" t="s">
        <v>270</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160</v>
      </c>
      <c r="G418" t="s">
        <v>270</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161</v>
      </c>
      <c r="G419" s="91" t="s">
        <v>271</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230</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1095</v>
      </c>
      <c r="F423" s="89"/>
      <c r="G423" t="s">
        <v>921</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1096</v>
      </c>
      <c r="F425" s="89"/>
      <c r="G425" t="s">
        <v>921</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1097</v>
      </c>
      <c r="F427" s="89"/>
      <c r="G427" t="s">
        <v>903</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1098</v>
      </c>
      <c r="G429" s="6" t="s">
        <v>54</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231</v>
      </c>
      <c r="G431" s="6" t="s">
        <v>54</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927</v>
      </c>
      <c r="G433" s="6" t="s">
        <v>54</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105</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739</v>
      </c>
      <c r="E9"/>
    </row>
    <row r="10" spans="1:43" x14ac:dyDescent="0.25">
      <c r="C10" s="71" t="s">
        <v>740</v>
      </c>
      <c r="E10"/>
    </row>
    <row r="12" spans="1:43" x14ac:dyDescent="0.25">
      <c r="B12" s="70" t="s">
        <v>741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742</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743</v>
      </c>
      <c r="F18" s="60"/>
    </row>
    <row r="19" spans="3:43" x14ac:dyDescent="0.25">
      <c r="E19" s="71" t="s">
        <v>744</v>
      </c>
      <c r="F19" s="2"/>
    </row>
    <row r="20" spans="3:43" x14ac:dyDescent="0.25">
      <c r="C20" s="100"/>
      <c r="F20" s="90" t="s">
        <v>155</v>
      </c>
      <c r="G20" s="90" t="s">
        <v>268</v>
      </c>
      <c r="H20" s="276"/>
      <c r="I20" s="264"/>
      <c r="J20" s="276">
        <f>'Revenue matching'!J40</f>
        <v>5.2938591475870105</v>
      </c>
      <c r="K20" s="276">
        <f>'Revenue matching'!K40</f>
        <v>5.2938591475870105</v>
      </c>
      <c r="L20" s="276">
        <f>'Revenue matching'!L40</f>
        <v>6.4186667388773344</v>
      </c>
      <c r="M20" s="276">
        <f>'Revenue matching'!M40</f>
        <v>6.4186667388773344</v>
      </c>
      <c r="N20" s="276">
        <f>'Revenue matching'!N40</f>
        <v>6.4186667388773344</v>
      </c>
      <c r="O20" s="276">
        <f>'Revenue matching'!O40</f>
        <v>6.4186667388773344</v>
      </c>
      <c r="P20" s="276">
        <f>'Revenue matching'!P40</f>
        <v>6.4186667388773344</v>
      </c>
      <c r="Q20" s="276">
        <f>'Revenue matching'!Q40</f>
        <v>6.4186667388773344</v>
      </c>
      <c r="R20" s="276">
        <f>'Revenue matching'!R40</f>
        <v>4.4997596707397127</v>
      </c>
      <c r="S20" s="276">
        <f>'Revenue matching'!S40</f>
        <v>4.4997596707397127</v>
      </c>
      <c r="T20" s="276">
        <f>'Revenue matching'!T40</f>
        <v>4.4997596707397127</v>
      </c>
      <c r="U20" s="276">
        <f>'Revenue matching'!U40</f>
        <v>4.4997596707397127</v>
      </c>
      <c r="V20" s="276">
        <f>'Revenue matching'!V40</f>
        <v>4.4997596707397127</v>
      </c>
      <c r="W20" s="276">
        <f>'Revenue matching'!W40</f>
        <v>2.8296793840814214</v>
      </c>
      <c r="X20" s="276">
        <f>'Revenue matching'!X40</f>
        <v>2.8296793840814214</v>
      </c>
      <c r="Y20" s="276">
        <f>'Revenue matching'!Y40</f>
        <v>2.8296793840814214</v>
      </c>
      <c r="Z20" s="276">
        <f>'Revenue matching'!Z40</f>
        <v>2.8296793840814214</v>
      </c>
      <c r="AA20" s="276">
        <f>'Revenue matching'!AA40</f>
        <v>2.8296793840814214</v>
      </c>
      <c r="AB20" s="276">
        <f>'Revenue matching'!AB40</f>
        <v>1.9303039613019599</v>
      </c>
      <c r="AC20" s="276">
        <f>'Revenue matching'!AC40</f>
        <v>1.9303039613019599</v>
      </c>
      <c r="AD20" s="276">
        <f>'Revenue matching'!AD40</f>
        <v>1.9303039613019599</v>
      </c>
      <c r="AE20" s="276">
        <f>'Revenue matching'!AE40</f>
        <v>1.9303039613019599</v>
      </c>
      <c r="AF20" s="276">
        <f>'Revenue matching'!AF40</f>
        <v>1.9303039613019599</v>
      </c>
      <c r="AG20" s="276">
        <f>'Revenue matching'!AG40</f>
        <v>15.314183490491144</v>
      </c>
      <c r="AH20" s="276">
        <f>'Revenue matching'!AH40</f>
        <v>-3.9153163284981733</v>
      </c>
      <c r="AI20" s="276">
        <f>'Revenue matching'!AI40</f>
        <v>-3.2363520194065214</v>
      </c>
      <c r="AJ20" s="276">
        <f>'Revenue matching'!AJ40</f>
        <v>-3.9153163284981733</v>
      </c>
      <c r="AK20" s="276">
        <f>'Revenue matching'!AK40</f>
        <v>-3.9153163284981733</v>
      </c>
      <c r="AL20" s="276">
        <f>'Revenue matching'!AL40</f>
        <v>-3.2363520194065214</v>
      </c>
      <c r="AM20" s="276">
        <f>'Revenue matching'!AM40</f>
        <v>-3.2363520194065214</v>
      </c>
      <c r="AN20" s="276">
        <f>'Revenue matching'!AN40</f>
        <v>-2.1978270768307269</v>
      </c>
      <c r="AO20" s="276">
        <f>'Revenue matching'!AO40</f>
        <v>-2.1978270768307269</v>
      </c>
      <c r="AP20" s="266"/>
      <c r="AQ20" s="266"/>
    </row>
    <row r="21" spans="3:43" x14ac:dyDescent="0.25">
      <c r="C21" s="100"/>
      <c r="F21" t="s">
        <v>156</v>
      </c>
      <c r="G21" t="s">
        <v>268</v>
      </c>
      <c r="H21" s="277"/>
      <c r="I21" s="266"/>
      <c r="J21" s="277">
        <f>'Revenue matching'!J41</f>
        <v>1.7412053834091776</v>
      </c>
      <c r="K21" s="277">
        <f>'Revenue matching'!K41</f>
        <v>1.7412053834091776</v>
      </c>
      <c r="L21" s="277">
        <f>'Revenue matching'!L41</f>
        <v>2.1111663095790658</v>
      </c>
      <c r="M21" s="277">
        <f>'Revenue matching'!M41</f>
        <v>2.1111663095790658</v>
      </c>
      <c r="N21" s="277">
        <f>'Revenue matching'!N41</f>
        <v>2.1111663095790658</v>
      </c>
      <c r="O21" s="277">
        <f>'Revenue matching'!O41</f>
        <v>2.1111663095790658</v>
      </c>
      <c r="P21" s="277">
        <f>'Revenue matching'!P41</f>
        <v>2.1111663095790658</v>
      </c>
      <c r="Q21" s="277">
        <f>'Revenue matching'!Q41</f>
        <v>2.1111663095790658</v>
      </c>
      <c r="R21" s="277">
        <f>'Revenue matching'!R41</f>
        <v>1.4431517765522237</v>
      </c>
      <c r="S21" s="277">
        <f>'Revenue matching'!S41</f>
        <v>1.4431517765522237</v>
      </c>
      <c r="T21" s="277">
        <f>'Revenue matching'!T41</f>
        <v>1.4431517765522237</v>
      </c>
      <c r="U21" s="277">
        <f>'Revenue matching'!U41</f>
        <v>1.4431517765522237</v>
      </c>
      <c r="V21" s="277">
        <f>'Revenue matching'!V41</f>
        <v>1.4431517765522237</v>
      </c>
      <c r="W21" s="277">
        <f>'Revenue matching'!W41</f>
        <v>0.85352965281035553</v>
      </c>
      <c r="X21" s="277">
        <f>'Revenue matching'!X41</f>
        <v>0.85352965281035553</v>
      </c>
      <c r="Y21" s="277">
        <f>'Revenue matching'!Y41</f>
        <v>0.85352965281035553</v>
      </c>
      <c r="Z21" s="277">
        <f>'Revenue matching'!Z41</f>
        <v>0.85352965281035553</v>
      </c>
      <c r="AA21" s="277">
        <f>'Revenue matching'!AA41</f>
        <v>0.85352965281035553</v>
      </c>
      <c r="AB21" s="277">
        <f>'Revenue matching'!AB41</f>
        <v>0.54619707647398175</v>
      </c>
      <c r="AC21" s="277">
        <f>'Revenue matching'!AC41</f>
        <v>0.54619707647398175</v>
      </c>
      <c r="AD21" s="277">
        <f>'Revenue matching'!AD41</f>
        <v>0.54619707647398175</v>
      </c>
      <c r="AE21" s="277">
        <f>'Revenue matching'!AE41</f>
        <v>0.54619707647398175</v>
      </c>
      <c r="AF21" s="277">
        <f>'Revenue matching'!AF41</f>
        <v>0.54619707647398175</v>
      </c>
      <c r="AG21" s="277">
        <f>'Revenue matching'!AG41</f>
        <v>1.6395116348821819</v>
      </c>
      <c r="AH21" s="277">
        <f>'Revenue matching'!AH41</f>
        <v>-1.287788299399371</v>
      </c>
      <c r="AI21" s="277">
        <f>'Revenue matching'!AI41</f>
        <v>-1.0485928038384174</v>
      </c>
      <c r="AJ21" s="277">
        <f>'Revenue matching'!AJ41</f>
        <v>-1.287788299399371</v>
      </c>
      <c r="AK21" s="277">
        <f>'Revenue matching'!AK41</f>
        <v>-1.287788299399371</v>
      </c>
      <c r="AL21" s="277">
        <f>'Revenue matching'!AL41</f>
        <v>-1.0485928038384174</v>
      </c>
      <c r="AM21" s="277">
        <f>'Revenue matching'!AM41</f>
        <v>-1.0485928038384174</v>
      </c>
      <c r="AN21" s="277">
        <f>'Revenue matching'!AN41</f>
        <v>-0.66294103578575292</v>
      </c>
      <c r="AO21" s="277">
        <f>'Revenue matching'!AO41</f>
        <v>-0.66294103578575292</v>
      </c>
      <c r="AP21" s="266"/>
      <c r="AQ21" s="266"/>
    </row>
    <row r="22" spans="3:43" x14ac:dyDescent="0.25">
      <c r="C22" s="100"/>
      <c r="F22" t="s">
        <v>157</v>
      </c>
      <c r="G22" t="s">
        <v>268</v>
      </c>
      <c r="H22" s="277"/>
      <c r="I22" s="266"/>
      <c r="J22" s="277">
        <f>'Revenue matching'!J42</f>
        <v>0.25725070876601308</v>
      </c>
      <c r="K22" s="277">
        <f>'Revenue matching'!K42</f>
        <v>0.25725070876601308</v>
      </c>
      <c r="L22" s="277">
        <f>'Revenue matching'!L42</f>
        <v>0.3119098037698384</v>
      </c>
      <c r="M22" s="277">
        <f>'Revenue matching'!M42</f>
        <v>0.3119098037698384</v>
      </c>
      <c r="N22" s="277">
        <f>'Revenue matching'!N42</f>
        <v>0.3119098037698384</v>
      </c>
      <c r="O22" s="277">
        <f>'Revenue matching'!O42</f>
        <v>0.3119098037698384</v>
      </c>
      <c r="P22" s="277">
        <f>'Revenue matching'!P42</f>
        <v>0.3119098037698384</v>
      </c>
      <c r="Q22" s="277">
        <f>'Revenue matching'!Q42</f>
        <v>0.3119098037698384</v>
      </c>
      <c r="R22" s="277">
        <f>'Revenue matching'!R42</f>
        <v>0.20756011439443356</v>
      </c>
      <c r="S22" s="277">
        <f>'Revenue matching'!S42</f>
        <v>0.20756011439443356</v>
      </c>
      <c r="T22" s="277">
        <f>'Revenue matching'!T42</f>
        <v>0.20756011439443356</v>
      </c>
      <c r="U22" s="277">
        <f>'Revenue matching'!U42</f>
        <v>0.20756011439443356</v>
      </c>
      <c r="V22" s="277">
        <f>'Revenue matching'!V42</f>
        <v>0.20756011439443356</v>
      </c>
      <c r="W22" s="277">
        <f>'Revenue matching'!W42</f>
        <v>0.11426321740343361</v>
      </c>
      <c r="X22" s="277">
        <f>'Revenue matching'!X42</f>
        <v>0.11426321740343361</v>
      </c>
      <c r="Y22" s="277">
        <f>'Revenue matching'!Y42</f>
        <v>0.11426321740343361</v>
      </c>
      <c r="Z22" s="277">
        <f>'Revenue matching'!Z42</f>
        <v>0.11426321740343361</v>
      </c>
      <c r="AA22" s="277">
        <f>'Revenue matching'!AA42</f>
        <v>0.11426321740343361</v>
      </c>
      <c r="AB22" s="277">
        <f>'Revenue matching'!AB42</f>
        <v>6.7090042106194347E-2</v>
      </c>
      <c r="AC22" s="277">
        <f>'Revenue matching'!AC42</f>
        <v>6.7090042106194347E-2</v>
      </c>
      <c r="AD22" s="277">
        <f>'Revenue matching'!AD42</f>
        <v>6.7090042106194347E-2</v>
      </c>
      <c r="AE22" s="277">
        <f>'Revenue matching'!AE42</f>
        <v>6.7090042106194347E-2</v>
      </c>
      <c r="AF22" s="277">
        <f>'Revenue matching'!AF42</f>
        <v>6.7090042106194347E-2</v>
      </c>
      <c r="AG22" s="277">
        <f>'Revenue matching'!AG42</f>
        <v>0.27858858068711206</v>
      </c>
      <c r="AH22" s="277">
        <f>'Revenue matching'!AH42</f>
        <v>-0.19026156013395229</v>
      </c>
      <c r="AI22" s="277">
        <f>'Revenue matching'!AI42</f>
        <v>-0.15248656530221741</v>
      </c>
      <c r="AJ22" s="277">
        <f>'Revenue matching'!AJ42</f>
        <v>-0.19026156013395229</v>
      </c>
      <c r="AK22" s="277">
        <f>'Revenue matching'!AK42</f>
        <v>-0.19026156013395229</v>
      </c>
      <c r="AL22" s="277">
        <f>'Revenue matching'!AL42</f>
        <v>-0.15248656530221741</v>
      </c>
      <c r="AM22" s="277">
        <f>'Revenue matching'!AM42</f>
        <v>-0.15248656530221741</v>
      </c>
      <c r="AN22" s="277">
        <f>'Revenue matching'!AN42</f>
        <v>-8.874885066761197E-2</v>
      </c>
      <c r="AO22" s="277">
        <f>'Revenue matching'!AO42</f>
        <v>-8.874885066761197E-2</v>
      </c>
      <c r="AP22" s="266"/>
      <c r="AQ22" s="266"/>
    </row>
    <row r="23" spans="3:43" x14ac:dyDescent="0.25">
      <c r="C23" s="100"/>
      <c r="F23" t="s">
        <v>158</v>
      </c>
      <c r="G23" t="s">
        <v>269</v>
      </c>
      <c r="H23" s="63"/>
      <c r="J23" s="163">
        <f>'Revenue matching'!J43</f>
        <v>12.99059773823579</v>
      </c>
      <c r="K23" s="163">
        <f>'Revenue matching'!K43</f>
        <v>0</v>
      </c>
      <c r="L23" s="163">
        <f>'Revenue matching'!L43</f>
        <v>12.30635267121273</v>
      </c>
      <c r="M23" s="163">
        <f>'Revenue matching'!M43</f>
        <v>12.30635267121273</v>
      </c>
      <c r="N23" s="163">
        <f>'Revenue matching'!N43</f>
        <v>12.30635267121273</v>
      </c>
      <c r="O23" s="163">
        <f>'Revenue matching'!O43</f>
        <v>12.30635267121273</v>
      </c>
      <c r="P23" s="163">
        <f>'Revenue matching'!P43</f>
        <v>12.30635267121273</v>
      </c>
      <c r="Q23" s="163">
        <f>'Revenue matching'!Q43</f>
        <v>0</v>
      </c>
      <c r="R23" s="163">
        <f>'Revenue matching'!R43</f>
        <v>16.484720441239212</v>
      </c>
      <c r="S23" s="163">
        <f>'Revenue matching'!S43</f>
        <v>16.484720441239212</v>
      </c>
      <c r="T23" s="163">
        <f>'Revenue matching'!T43</f>
        <v>16.484720441239212</v>
      </c>
      <c r="U23" s="163">
        <f>'Revenue matching'!U43</f>
        <v>16.484720441239212</v>
      </c>
      <c r="V23" s="163">
        <f>'Revenue matching'!V43</f>
        <v>16.484720441239212</v>
      </c>
      <c r="W23" s="163">
        <f>'Revenue matching'!W43</f>
        <v>16.484720441239212</v>
      </c>
      <c r="X23" s="163">
        <f>'Revenue matching'!X43</f>
        <v>16.484720441239212</v>
      </c>
      <c r="Y23" s="163">
        <f>'Revenue matching'!Y43</f>
        <v>16.484720441239212</v>
      </c>
      <c r="Z23" s="163">
        <f>'Revenue matching'!Z43</f>
        <v>16.484720441239212</v>
      </c>
      <c r="AA23" s="163">
        <f>'Revenue matching'!AA43</f>
        <v>16.484720441239212</v>
      </c>
      <c r="AB23" s="163">
        <f>'Revenue matching'!AB43</f>
        <v>431.6399417186995</v>
      </c>
      <c r="AC23" s="163">
        <f>'Revenue matching'!AC43</f>
        <v>431.6399417186995</v>
      </c>
      <c r="AD23" s="163">
        <f>'Revenue matching'!AD43</f>
        <v>431.6399417186995</v>
      </c>
      <c r="AE23" s="163">
        <f>'Revenue matching'!AE43</f>
        <v>431.6399417186995</v>
      </c>
      <c r="AF23" s="163">
        <f>'Revenue matching'!AF43</f>
        <v>431.6399417186995</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95.926460844785012</v>
      </c>
      <c r="AO23" s="163">
        <f>'Revenue matching'!AO43</f>
        <v>95.926460844785012</v>
      </c>
    </row>
    <row r="24" spans="3:43" x14ac:dyDescent="0.25">
      <c r="C24" s="100"/>
      <c r="F24" t="s">
        <v>159</v>
      </c>
      <c r="G24" t="s">
        <v>270</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3.6682304258861356</v>
      </c>
      <c r="S24" s="163">
        <f>'Revenue matching'!S44</f>
        <v>3.6682304258861356</v>
      </c>
      <c r="T24" s="163">
        <f>'Revenue matching'!T44</f>
        <v>3.6682304258861356</v>
      </c>
      <c r="U24" s="163">
        <f>'Revenue matching'!U44</f>
        <v>3.6682304258861356</v>
      </c>
      <c r="V24" s="163">
        <f>'Revenue matching'!V44</f>
        <v>3.6682304258861356</v>
      </c>
      <c r="W24" s="163">
        <f>'Revenue matching'!W44</f>
        <v>2.862433987174307</v>
      </c>
      <c r="X24" s="163">
        <f>'Revenue matching'!X44</f>
        <v>2.862433987174307</v>
      </c>
      <c r="Y24" s="163">
        <f>'Revenue matching'!Y44</f>
        <v>2.862433987174307</v>
      </c>
      <c r="Z24" s="163">
        <f>'Revenue matching'!Z44</f>
        <v>2.862433987174307</v>
      </c>
      <c r="AA24" s="163">
        <f>'Revenue matching'!AA44</f>
        <v>2.862433987174307</v>
      </c>
      <c r="AB24" s="163">
        <f>'Revenue matching'!AB44</f>
        <v>3.3605627625627932</v>
      </c>
      <c r="AC24" s="163">
        <f>'Revenue matching'!AC44</f>
        <v>3.3605627625627932</v>
      </c>
      <c r="AD24" s="163">
        <f>'Revenue matching'!AD44</f>
        <v>3.3605627625627932</v>
      </c>
      <c r="AE24" s="163">
        <f>'Revenue matching'!AE44</f>
        <v>3.3605627625627932</v>
      </c>
      <c r="AF24" s="163">
        <f>'Revenue matching'!AF44</f>
        <v>3.3605627625627932</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160</v>
      </c>
      <c r="G25" t="s">
        <v>270</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3.6682304258861356</v>
      </c>
      <c r="S25" s="163">
        <f>'Revenue matching'!S45</f>
        <v>3.6682304258861356</v>
      </c>
      <c r="T25" s="163">
        <f>'Revenue matching'!T45</f>
        <v>3.6682304258861356</v>
      </c>
      <c r="U25" s="163">
        <f>'Revenue matching'!U45</f>
        <v>3.6682304258861356</v>
      </c>
      <c r="V25" s="163">
        <f>'Revenue matching'!V45</f>
        <v>3.6682304258861356</v>
      </c>
      <c r="W25" s="163">
        <f>'Revenue matching'!W45</f>
        <v>2.862433987174307</v>
      </c>
      <c r="X25" s="163">
        <f>'Revenue matching'!X45</f>
        <v>2.862433987174307</v>
      </c>
      <c r="Y25" s="163">
        <f>'Revenue matching'!Y45</f>
        <v>2.862433987174307</v>
      </c>
      <c r="Z25" s="163">
        <f>'Revenue matching'!Z45</f>
        <v>2.862433987174307</v>
      </c>
      <c r="AA25" s="163">
        <f>'Revenue matching'!AA45</f>
        <v>2.862433987174307</v>
      </c>
      <c r="AB25" s="163">
        <f>'Revenue matching'!AB45</f>
        <v>3.3605627625627932</v>
      </c>
      <c r="AC25" s="163">
        <f>'Revenue matching'!AC45</f>
        <v>3.3605627625627932</v>
      </c>
      <c r="AD25" s="163">
        <f>'Revenue matching'!AD45</f>
        <v>3.3605627625627932</v>
      </c>
      <c r="AE25" s="163">
        <f>'Revenue matching'!AE45</f>
        <v>3.3605627625627932</v>
      </c>
      <c r="AF25" s="163">
        <f>'Revenue matching'!AF45</f>
        <v>3.3605627625627932</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161</v>
      </c>
      <c r="G26" s="91" t="s">
        <v>271</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0.13347738083351493</v>
      </c>
      <c r="S26" s="314">
        <f>'Revenue matching'!S46</f>
        <v>0.13347738083351493</v>
      </c>
      <c r="T26" s="314">
        <f>'Revenue matching'!T46</f>
        <v>0.13347738083351493</v>
      </c>
      <c r="U26" s="314">
        <f>'Revenue matching'!U46</f>
        <v>0.13347738083351493</v>
      </c>
      <c r="V26" s="314">
        <f>'Revenue matching'!V46</f>
        <v>0.13347738083351493</v>
      </c>
      <c r="W26" s="314">
        <f>'Revenue matching'!W46</f>
        <v>7.6325289559681084E-2</v>
      </c>
      <c r="X26" s="314">
        <f>'Revenue matching'!X46</f>
        <v>7.6325289559681084E-2</v>
      </c>
      <c r="Y26" s="314">
        <f>'Revenue matching'!Y46</f>
        <v>7.6325289559681084E-2</v>
      </c>
      <c r="Z26" s="314">
        <f>'Revenue matching'!Z46</f>
        <v>7.6325289559681084E-2</v>
      </c>
      <c r="AA26" s="314">
        <f>'Revenue matching'!AA46</f>
        <v>7.6325289559681084E-2</v>
      </c>
      <c r="AB26" s="314">
        <f>'Revenue matching'!AB46</f>
        <v>4.7259125728394052E-2</v>
      </c>
      <c r="AC26" s="314">
        <f>'Revenue matching'!AC46</f>
        <v>4.7259125728394052E-2</v>
      </c>
      <c r="AD26" s="314">
        <f>'Revenue matching'!AD46</f>
        <v>4.7259125728394052E-2</v>
      </c>
      <c r="AE26" s="314">
        <f>'Revenue matching'!AE46</f>
        <v>4.7259125728394052E-2</v>
      </c>
      <c r="AF26" s="314">
        <f>'Revenue matching'!AF46</f>
        <v>4.7259125728394052E-2</v>
      </c>
      <c r="AG26" s="314">
        <f>'Revenue matching'!AG46</f>
        <v>0</v>
      </c>
      <c r="AH26" s="314">
        <f>'Revenue matching'!AH46</f>
        <v>0</v>
      </c>
      <c r="AI26" s="314">
        <f>'Revenue matching'!AI46</f>
        <v>0</v>
      </c>
      <c r="AJ26" s="314">
        <f>'Revenue matching'!AJ46</f>
        <v>0.10555146965941306</v>
      </c>
      <c r="AK26" s="314">
        <f>'Revenue matching'!AK46</f>
        <v>0</v>
      </c>
      <c r="AL26" s="314">
        <f>'Revenue matching'!AL46</f>
        <v>9.6832806963468576E-2</v>
      </c>
      <c r="AM26" s="314">
        <f>'Revenue matching'!AM46</f>
        <v>0</v>
      </c>
      <c r="AN26" s="314">
        <f>'Revenue matching'!AN46</f>
        <v>8.46405248447962E-2</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1118</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1119</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155</v>
      </c>
      <c r="G32" s="90" t="s">
        <v>268</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0.50597535622816914</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156</v>
      </c>
      <c r="G33" t="s">
        <v>268</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0.50597535622816914</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157</v>
      </c>
      <c r="G34" t="s">
        <v>268</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0.50597535622816914</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158</v>
      </c>
      <c r="G35" t="s">
        <v>269</v>
      </c>
      <c r="H35" s="63"/>
      <c r="J35" s="295">
        <f>'Revenue matching'!J416</f>
        <v>4.0036516612446587</v>
      </c>
      <c r="K35" s="295">
        <f>'Revenue matching'!K416</f>
        <v>0</v>
      </c>
      <c r="L35" s="295">
        <f>'Revenue matching'!L416</f>
        <v>0</v>
      </c>
      <c r="M35" s="295">
        <f>'Revenue matching'!M416</f>
        <v>4.0520708954205142</v>
      </c>
      <c r="N35" s="295">
        <f>'Revenue matching'!N416</f>
        <v>10.345960171857564</v>
      </c>
      <c r="O35" s="295">
        <f>'Revenue matching'!O416</f>
        <v>24.608203131633918</v>
      </c>
      <c r="P35" s="295">
        <f>'Revenue matching'!P416</f>
        <v>65.942537890185747</v>
      </c>
      <c r="Q35" s="295">
        <f>'Revenue matching'!Q416</f>
        <v>0</v>
      </c>
      <c r="R35" s="295">
        <f>'Revenue matching'!R416</f>
        <v>0</v>
      </c>
      <c r="S35" s="295">
        <f>'Revenue matching'!S416</f>
        <v>110.22723632435668</v>
      </c>
      <c r="T35" s="295">
        <f>'Revenue matching'!T416</f>
        <v>214.73767452761626</v>
      </c>
      <c r="U35" s="295">
        <f>'Revenue matching'!U416</f>
        <v>326.6762019816382</v>
      </c>
      <c r="V35" s="295">
        <f>'Revenue matching'!V416</f>
        <v>703.50533986672133</v>
      </c>
      <c r="W35" s="295">
        <f>'Revenue matching'!W416</f>
        <v>0</v>
      </c>
      <c r="X35" s="295">
        <f>'Revenue matching'!X416</f>
        <v>110.22723632435665</v>
      </c>
      <c r="Y35" s="295">
        <f>'Revenue matching'!Y416</f>
        <v>214.73767452761626</v>
      </c>
      <c r="Z35" s="295">
        <f>'Revenue matching'!Z416</f>
        <v>326.67620198163809</v>
      </c>
      <c r="AA35" s="295">
        <f>'Revenue matching'!AA416</f>
        <v>703.50533986672122</v>
      </c>
      <c r="AB35" s="295">
        <f>'Revenue matching'!AB416</f>
        <v>0</v>
      </c>
      <c r="AC35" s="295">
        <f>'Revenue matching'!AC416</f>
        <v>662.46808939617586</v>
      </c>
      <c r="AD35" s="295">
        <f>'Revenue matching'!AD416</f>
        <v>1889.6937173566471</v>
      </c>
      <c r="AE35" s="295">
        <f>'Revenue matching'!AE416</f>
        <v>4095.4363789942677</v>
      </c>
      <c r="AF35" s="295">
        <f>'Revenue matching'!AF416</f>
        <v>9736.1871171228941</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159</v>
      </c>
      <c r="G36" t="s">
        <v>270</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160</v>
      </c>
      <c r="G37" t="s">
        <v>270</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161</v>
      </c>
      <c r="G38" s="91" t="s">
        <v>271</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871</v>
      </c>
    </row>
    <row r="43" spans="3:43" x14ac:dyDescent="0.25">
      <c r="E43" s="71" t="s">
        <v>883</v>
      </c>
    </row>
    <row r="44" spans="3:43" x14ac:dyDescent="0.25">
      <c r="E44" s="100"/>
      <c r="F44" s="90" t="s">
        <v>155</v>
      </c>
      <c r="G44" s="90" t="s">
        <v>268</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156</v>
      </c>
      <c r="G45" t="s">
        <v>268</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157</v>
      </c>
      <c r="G46" t="s">
        <v>268</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158</v>
      </c>
      <c r="G47" t="s">
        <v>269</v>
      </c>
      <c r="H47" s="63"/>
      <c r="J47" s="164">
        <f>'Revenue matching'!J48</f>
        <v>-2.3693159876904436E-3</v>
      </c>
      <c r="K47" s="164">
        <f>'Revenue matching'!K48</f>
        <v>0</v>
      </c>
      <c r="L47" s="164">
        <f>'Revenue matching'!L48</f>
        <v>-2.3693159876904436E-3</v>
      </c>
      <c r="M47" s="164">
        <f>'Revenue matching'!M48</f>
        <v>-2.3693159876904436E-3</v>
      </c>
      <c r="N47" s="164">
        <f>'Revenue matching'!N48</f>
        <v>-2.3693159876904436E-3</v>
      </c>
      <c r="O47" s="164">
        <f>'Revenue matching'!O48</f>
        <v>-2.3693159876904436E-3</v>
      </c>
      <c r="P47" s="164">
        <f>'Revenue matching'!P48</f>
        <v>-2.3693159876904436E-3</v>
      </c>
      <c r="Q47" s="164">
        <f>'Revenue matching'!Q48</f>
        <v>0</v>
      </c>
      <c r="R47" s="164">
        <f>'Revenue matching'!R48</f>
        <v>-2.3693159876904436E-3</v>
      </c>
      <c r="S47" s="164">
        <f>'Revenue matching'!S48</f>
        <v>-2.3693159876904436E-3</v>
      </c>
      <c r="T47" s="164">
        <f>'Revenue matching'!T48</f>
        <v>-2.3693159876904436E-3</v>
      </c>
      <c r="U47" s="164">
        <f>'Revenue matching'!U48</f>
        <v>-2.3693159876904436E-3</v>
      </c>
      <c r="V47" s="164">
        <f>'Revenue matching'!V48</f>
        <v>-2.3693159876904436E-3</v>
      </c>
      <c r="W47" s="164">
        <f>'Revenue matching'!W48</f>
        <v>-2.3693159876904436E-3</v>
      </c>
      <c r="X47" s="164">
        <f>'Revenue matching'!X48</f>
        <v>-2.3693159876904436E-3</v>
      </c>
      <c r="Y47" s="164">
        <f>'Revenue matching'!Y48</f>
        <v>-2.3693159876904436E-3</v>
      </c>
      <c r="Z47" s="164">
        <f>'Revenue matching'!Z48</f>
        <v>-2.3693159876904436E-3</v>
      </c>
      <c r="AA47" s="164">
        <f>'Revenue matching'!AA48</f>
        <v>-2.3693159876904436E-3</v>
      </c>
      <c r="AB47" s="164">
        <f>'Revenue matching'!AB48</f>
        <v>-2.3693159876904436E-3</v>
      </c>
      <c r="AC47" s="164">
        <f>'Revenue matching'!AC48</f>
        <v>-2.3693159876904436E-3</v>
      </c>
      <c r="AD47" s="164">
        <f>'Revenue matching'!AD48</f>
        <v>-2.3693159876904436E-3</v>
      </c>
      <c r="AE47" s="164">
        <f>'Revenue matching'!AE48</f>
        <v>-2.3693159876904436E-3</v>
      </c>
      <c r="AF47" s="164">
        <f>'Revenue matching'!AF48</f>
        <v>-2.3693159876904436E-3</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159</v>
      </c>
      <c r="G48" t="s">
        <v>270</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160</v>
      </c>
      <c r="G49" t="s">
        <v>270</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161</v>
      </c>
      <c r="G50" s="91" t="s">
        <v>271</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995</v>
      </c>
      <c r="G54" s="351" t="s">
        <v>148</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745</v>
      </c>
      <c r="I56" t="s">
        <v>153</v>
      </c>
      <c r="J56" s="312" t="s">
        <v>1158</v>
      </c>
      <c r="K56" s="312" t="s">
        <v>825</v>
      </c>
      <c r="L56" s="312" t="s">
        <v>1159</v>
      </c>
      <c r="M56" s="312" t="s">
        <v>826</v>
      </c>
      <c r="N56" s="312" t="s">
        <v>832</v>
      </c>
      <c r="O56" s="312" t="s">
        <v>833</v>
      </c>
      <c r="P56" s="312" t="s">
        <v>834</v>
      </c>
      <c r="Q56" s="312" t="s">
        <v>835</v>
      </c>
      <c r="R56" s="312" t="s">
        <v>827</v>
      </c>
      <c r="S56" s="312" t="s">
        <v>828</v>
      </c>
      <c r="T56" s="312" t="s">
        <v>829</v>
      </c>
      <c r="U56" s="312" t="s">
        <v>838</v>
      </c>
      <c r="V56" s="312" t="s">
        <v>830</v>
      </c>
      <c r="W56" s="312" t="s">
        <v>837</v>
      </c>
      <c r="X56" s="312" t="s">
        <v>831</v>
      </c>
      <c r="Y56" s="312" t="s">
        <v>836</v>
      </c>
    </row>
    <row r="57" spans="3:43" x14ac:dyDescent="0.25">
      <c r="E57" s="100"/>
      <c r="F57" s="90" t="s">
        <v>155</v>
      </c>
      <c r="G57" s="90" t="s">
        <v>166</v>
      </c>
      <c r="H57" s="236"/>
      <c r="I57" s="90"/>
      <c r="J57" s="202">
        <f>'Volume adjustments'!J315</f>
        <v>0.40611012535926394</v>
      </c>
      <c r="K57" s="202">
        <f>'Volume adjustments'!K315</f>
        <v>0.40611012535926394</v>
      </c>
      <c r="L57" s="202">
        <f>'Volume adjustments'!L315</f>
        <v>0.40611012535926394</v>
      </c>
      <c r="M57" s="202">
        <f>'Volume adjustments'!M315</f>
        <v>0.40611012535926394</v>
      </c>
      <c r="N57" s="202">
        <f>'Volume adjustments'!N315</f>
        <v>0.40611012535926394</v>
      </c>
      <c r="O57" s="202">
        <f>'Volume adjustments'!O315</f>
        <v>0</v>
      </c>
      <c r="P57" s="202">
        <f>'Volume adjustments'!P315</f>
        <v>0</v>
      </c>
      <c r="Q57" s="202">
        <f>'Volume adjustments'!Q315</f>
        <v>0.40611012535926394</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156</v>
      </c>
      <c r="G58" t="s">
        <v>166</v>
      </c>
      <c r="H58" s="63"/>
      <c r="J58" s="203">
        <f>'Volume adjustments'!J316</f>
        <v>0.40611012535926394</v>
      </c>
      <c r="K58" s="203">
        <f>'Volume adjustments'!K316</f>
        <v>0.40611012535926394</v>
      </c>
      <c r="L58" s="203">
        <f>'Volume adjustments'!L316</f>
        <v>0.40611012535926394</v>
      </c>
      <c r="M58" s="203">
        <f>'Volume adjustments'!M316</f>
        <v>0.40611012535926394</v>
      </c>
      <c r="N58" s="203">
        <f>'Volume adjustments'!N316</f>
        <v>0.40611012535926394</v>
      </c>
      <c r="O58" s="203">
        <f>'Volume adjustments'!O316</f>
        <v>0</v>
      </c>
      <c r="P58" s="203">
        <f>'Volume adjustments'!P316</f>
        <v>0</v>
      </c>
      <c r="Q58" s="203">
        <f>'Volume adjustments'!Q316</f>
        <v>0.40611012535926394</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157</v>
      </c>
      <c r="G59" t="s">
        <v>166</v>
      </c>
      <c r="H59" s="63"/>
      <c r="J59" s="203">
        <f>'Volume adjustments'!J317</f>
        <v>0.40611012535926394</v>
      </c>
      <c r="K59" s="203">
        <f>'Volume adjustments'!K317</f>
        <v>0.40611012535926394</v>
      </c>
      <c r="L59" s="203">
        <f>'Volume adjustments'!L317</f>
        <v>0.40611012535926394</v>
      </c>
      <c r="M59" s="203">
        <f>'Volume adjustments'!M317</f>
        <v>0.40611012535926394</v>
      </c>
      <c r="N59" s="203">
        <f>'Volume adjustments'!N317</f>
        <v>0.40611012535926394</v>
      </c>
      <c r="O59" s="203">
        <f>'Volume adjustments'!O317</f>
        <v>0</v>
      </c>
      <c r="P59" s="203">
        <f>'Volume adjustments'!P317</f>
        <v>0</v>
      </c>
      <c r="Q59" s="203">
        <f>'Volume adjustments'!Q317</f>
        <v>0.40611012535926394</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158</v>
      </c>
      <c r="G60" t="s">
        <v>166</v>
      </c>
      <c r="H60" s="63"/>
      <c r="J60" s="203">
        <f>'Volume adjustments'!J318</f>
        <v>0.40611012535926394</v>
      </c>
      <c r="K60" s="203">
        <f>'Volume adjustments'!K318</f>
        <v>0.40611012535926394</v>
      </c>
      <c r="L60" s="203">
        <f>'Volume adjustments'!L318</f>
        <v>0.40611012535926394</v>
      </c>
      <c r="M60" s="203">
        <f>'Volume adjustments'!M318</f>
        <v>0.40611012535926394</v>
      </c>
      <c r="N60" s="203">
        <f>'Volume adjustments'!N318</f>
        <v>0.40611012535926394</v>
      </c>
      <c r="O60" s="203">
        <f>'Volume adjustments'!O318</f>
        <v>0</v>
      </c>
      <c r="P60" s="203">
        <f>'Volume adjustments'!P318</f>
        <v>0</v>
      </c>
      <c r="Q60" s="203">
        <f>'Volume adjustments'!Q318</f>
        <v>0.40611012535926394</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159</v>
      </c>
      <c r="G61" t="s">
        <v>166</v>
      </c>
      <c r="H61" s="63"/>
      <c r="J61" s="203">
        <f>'Volume adjustments'!J319</f>
        <v>0.40611012535926394</v>
      </c>
      <c r="K61" s="203">
        <f>'Volume adjustments'!K319</f>
        <v>0.40611012535926394</v>
      </c>
      <c r="L61" s="203">
        <f>'Volume adjustments'!L319</f>
        <v>0.40611012535926394</v>
      </c>
      <c r="M61" s="203">
        <f>'Volume adjustments'!M319</f>
        <v>0.40611012535926394</v>
      </c>
      <c r="N61" s="203">
        <f>'Volume adjustments'!N319</f>
        <v>0.40611012535926394</v>
      </c>
      <c r="O61" s="203">
        <f>'Volume adjustments'!O319</f>
        <v>0</v>
      </c>
      <c r="P61" s="203">
        <f>'Volume adjustments'!P319</f>
        <v>0</v>
      </c>
      <c r="Q61" s="203">
        <f>'Volume adjustments'!Q319</f>
        <v>0.40611012535926394</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160</v>
      </c>
      <c r="G62" t="s">
        <v>166</v>
      </c>
      <c r="H62" s="63"/>
      <c r="J62" s="203">
        <f>'Volume adjustments'!J320</f>
        <v>0.40611012535926394</v>
      </c>
      <c r="K62" s="203">
        <f>'Volume adjustments'!K320</f>
        <v>0.40611012535926394</v>
      </c>
      <c r="L62" s="203">
        <f>'Volume adjustments'!L320</f>
        <v>0.40611012535926394</v>
      </c>
      <c r="M62" s="203">
        <f>'Volume adjustments'!M320</f>
        <v>0.40611012535926394</v>
      </c>
      <c r="N62" s="203">
        <f>'Volume adjustments'!N320</f>
        <v>0.40611012535926394</v>
      </c>
      <c r="O62" s="203">
        <f>'Volume adjustments'!O320</f>
        <v>0</v>
      </c>
      <c r="P62" s="203">
        <f>'Volume adjustments'!P320</f>
        <v>0</v>
      </c>
      <c r="Q62" s="203">
        <f>'Volume adjustments'!Q320</f>
        <v>0.40611012535926394</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161</v>
      </c>
      <c r="G63" s="91" t="s">
        <v>166</v>
      </c>
      <c r="H63" s="296"/>
      <c r="I63" s="91"/>
      <c r="J63" s="204">
        <f>'Volume adjustments'!J321</f>
        <v>0.40611012535926394</v>
      </c>
      <c r="K63" s="204">
        <f>'Volume adjustments'!K321</f>
        <v>0.40611012535926394</v>
      </c>
      <c r="L63" s="204">
        <f>'Volume adjustments'!L321</f>
        <v>0.40611012535926394</v>
      </c>
      <c r="M63" s="204">
        <f>'Volume adjustments'!M321</f>
        <v>0.40611012535926394</v>
      </c>
      <c r="N63" s="204">
        <f>'Volume adjustments'!N321</f>
        <v>0.40611012535926394</v>
      </c>
      <c r="O63" s="204">
        <f>'Volume adjustments'!O321</f>
        <v>0</v>
      </c>
      <c r="P63" s="204">
        <f>'Volume adjustments'!P321</f>
        <v>0</v>
      </c>
      <c r="Q63" s="204">
        <f>'Volume adjustments'!Q321</f>
        <v>0.40611012535926394</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746</v>
      </c>
      <c r="I65" t="s">
        <v>153</v>
      </c>
      <c r="J65" s="312" t="s">
        <v>1158</v>
      </c>
      <c r="K65" s="312" t="s">
        <v>825</v>
      </c>
      <c r="L65" s="312" t="s">
        <v>1159</v>
      </c>
      <c r="M65" s="312" t="s">
        <v>826</v>
      </c>
      <c r="N65" s="312" t="s">
        <v>832</v>
      </c>
      <c r="O65" s="312" t="s">
        <v>833</v>
      </c>
      <c r="P65" s="312" t="s">
        <v>834</v>
      </c>
      <c r="Q65" s="312" t="s">
        <v>835</v>
      </c>
      <c r="R65" s="312" t="s">
        <v>827</v>
      </c>
      <c r="S65" s="312" t="s">
        <v>828</v>
      </c>
      <c r="T65" s="312" t="s">
        <v>829</v>
      </c>
      <c r="U65" s="312" t="s">
        <v>838</v>
      </c>
      <c r="V65" s="312" t="s">
        <v>830</v>
      </c>
      <c r="W65" s="312" t="s">
        <v>837</v>
      </c>
      <c r="X65" s="312" t="s">
        <v>831</v>
      </c>
      <c r="Y65" s="312" t="s">
        <v>836</v>
      </c>
    </row>
    <row r="66" spans="4:43" x14ac:dyDescent="0.25">
      <c r="E66" s="100"/>
      <c r="F66" s="90" t="s">
        <v>155</v>
      </c>
      <c r="G66" s="90" t="s">
        <v>166</v>
      </c>
      <c r="H66" s="236"/>
      <c r="I66" s="90"/>
      <c r="J66" s="202">
        <f>'Volume adjustments'!J324</f>
        <v>0.58741903403166595</v>
      </c>
      <c r="K66" s="202">
        <f>'Volume adjustments'!K324</f>
        <v>0.58741903403166595</v>
      </c>
      <c r="L66" s="202">
        <f>'Volume adjustments'!L324</f>
        <v>0.58741903403166595</v>
      </c>
      <c r="M66" s="202">
        <f>'Volume adjustments'!M324</f>
        <v>0.58741903403166595</v>
      </c>
      <c r="N66" s="202">
        <f>'Volume adjustments'!N324</f>
        <v>0.58741903403166595</v>
      </c>
      <c r="O66" s="202">
        <f>'Volume adjustments'!O324</f>
        <v>0.30208847695897212</v>
      </c>
      <c r="P66" s="202">
        <f>'Volume adjustments'!P324</f>
        <v>0.12606452222036799</v>
      </c>
      <c r="Q66" s="202">
        <f>'Volume adjustments'!Q324</f>
        <v>0.58741903403166595</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156</v>
      </c>
      <c r="G67" t="s">
        <v>166</v>
      </c>
      <c r="H67" s="63"/>
      <c r="J67" s="203">
        <f>'Volume adjustments'!J325</f>
        <v>0.58741903403166595</v>
      </c>
      <c r="K67" s="203">
        <f>'Volume adjustments'!K325</f>
        <v>0.58741903403166595</v>
      </c>
      <c r="L67" s="203">
        <f>'Volume adjustments'!L325</f>
        <v>0.58741903403166595</v>
      </c>
      <c r="M67" s="203">
        <f>'Volume adjustments'!M325</f>
        <v>0.58741903403166595</v>
      </c>
      <c r="N67" s="203">
        <f>'Volume adjustments'!N325</f>
        <v>0.58741903403166595</v>
      </c>
      <c r="O67" s="203">
        <f>'Volume adjustments'!O325</f>
        <v>0.30208847695897212</v>
      </c>
      <c r="P67" s="203">
        <f>'Volume adjustments'!P325</f>
        <v>0.12606452222036799</v>
      </c>
      <c r="Q67" s="203">
        <f>'Volume adjustments'!Q325</f>
        <v>0.58741903403166595</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157</v>
      </c>
      <c r="G68" t="s">
        <v>166</v>
      </c>
      <c r="H68" s="63"/>
      <c r="J68" s="203">
        <f>'Volume adjustments'!J326</f>
        <v>0.58741903403166595</v>
      </c>
      <c r="K68" s="203">
        <f>'Volume adjustments'!K326</f>
        <v>0.58741903403166595</v>
      </c>
      <c r="L68" s="203">
        <f>'Volume adjustments'!L326</f>
        <v>0.58741903403166595</v>
      </c>
      <c r="M68" s="203">
        <f>'Volume adjustments'!M326</f>
        <v>0.58741903403166595</v>
      </c>
      <c r="N68" s="203">
        <f>'Volume adjustments'!N326</f>
        <v>0.58741903403166595</v>
      </c>
      <c r="O68" s="203">
        <f>'Volume adjustments'!O326</f>
        <v>0.30208847695897212</v>
      </c>
      <c r="P68" s="203">
        <f>'Volume adjustments'!P326</f>
        <v>0.12606452222036799</v>
      </c>
      <c r="Q68" s="203">
        <f>'Volume adjustments'!Q326</f>
        <v>0.58741903403166595</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158</v>
      </c>
      <c r="G69" t="s">
        <v>166</v>
      </c>
      <c r="H69" s="63"/>
      <c r="J69" s="203">
        <f>'Volume adjustments'!J327</f>
        <v>0.58741903403166595</v>
      </c>
      <c r="K69" s="203">
        <f>'Volume adjustments'!K327</f>
        <v>0.58741903403166595</v>
      </c>
      <c r="L69" s="203">
        <f>'Volume adjustments'!L327</f>
        <v>0.58741903403166595</v>
      </c>
      <c r="M69" s="203">
        <f>'Volume adjustments'!M327</f>
        <v>0.58741903403166595</v>
      </c>
      <c r="N69" s="203">
        <f>'Volume adjustments'!N327</f>
        <v>0.58741903403166595</v>
      </c>
      <c r="O69" s="203">
        <f>'Volume adjustments'!O327</f>
        <v>0.30208847695897212</v>
      </c>
      <c r="P69" s="203">
        <f>'Volume adjustments'!P327</f>
        <v>0.12606452222036799</v>
      </c>
      <c r="Q69" s="203">
        <f>'Volume adjustments'!Q327</f>
        <v>0.58741903403166595</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159</v>
      </c>
      <c r="G70" t="s">
        <v>166</v>
      </c>
      <c r="H70" s="63"/>
      <c r="J70" s="203">
        <f>'Volume adjustments'!J328</f>
        <v>0.58741903403166595</v>
      </c>
      <c r="K70" s="203">
        <f>'Volume adjustments'!K328</f>
        <v>0.58741903403166595</v>
      </c>
      <c r="L70" s="203">
        <f>'Volume adjustments'!L328</f>
        <v>0.58741903403166595</v>
      </c>
      <c r="M70" s="203">
        <f>'Volume adjustments'!M328</f>
        <v>0.58741903403166595</v>
      </c>
      <c r="N70" s="203">
        <f>'Volume adjustments'!N328</f>
        <v>0.58741903403166595</v>
      </c>
      <c r="O70" s="203">
        <f>'Volume adjustments'!O328</f>
        <v>0.30208847695897212</v>
      </c>
      <c r="P70" s="203">
        <f>'Volume adjustments'!P328</f>
        <v>0.12606452222036799</v>
      </c>
      <c r="Q70" s="203">
        <f>'Volume adjustments'!Q328</f>
        <v>0.58741903403166595</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160</v>
      </c>
      <c r="G71" t="s">
        <v>166</v>
      </c>
      <c r="H71" s="63"/>
      <c r="J71" s="203">
        <f>'Volume adjustments'!J329</f>
        <v>0.58741903403166595</v>
      </c>
      <c r="K71" s="203">
        <f>'Volume adjustments'!K329</f>
        <v>0.58741903403166595</v>
      </c>
      <c r="L71" s="203">
        <f>'Volume adjustments'!L329</f>
        <v>0.58741903403166595</v>
      </c>
      <c r="M71" s="203">
        <f>'Volume adjustments'!M329</f>
        <v>0.58741903403166595</v>
      </c>
      <c r="N71" s="203">
        <f>'Volume adjustments'!N329</f>
        <v>0.58741903403166595</v>
      </c>
      <c r="O71" s="203">
        <f>'Volume adjustments'!O329</f>
        <v>0.30208847695897212</v>
      </c>
      <c r="P71" s="203">
        <f>'Volume adjustments'!P329</f>
        <v>0.12606452222036799</v>
      </c>
      <c r="Q71" s="203">
        <f>'Volume adjustments'!Q329</f>
        <v>0.58741903403166595</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161</v>
      </c>
      <c r="G72" s="91" t="s">
        <v>166</v>
      </c>
      <c r="H72" s="296"/>
      <c r="I72" s="91"/>
      <c r="J72" s="204">
        <f>'Volume adjustments'!J330</f>
        <v>0.58741903403166595</v>
      </c>
      <c r="K72" s="204">
        <f>'Volume adjustments'!K330</f>
        <v>0.58741903403166595</v>
      </c>
      <c r="L72" s="204">
        <f>'Volume adjustments'!L330</f>
        <v>0.58741903403166595</v>
      </c>
      <c r="M72" s="204">
        <f>'Volume adjustments'!M330</f>
        <v>0.58741903403166595</v>
      </c>
      <c r="N72" s="204">
        <f>'Volume adjustments'!N330</f>
        <v>0.58741903403166595</v>
      </c>
      <c r="O72" s="204">
        <f>'Volume adjustments'!O330</f>
        <v>0.30208847695897212</v>
      </c>
      <c r="P72" s="204">
        <f>'Volume adjustments'!P330</f>
        <v>0.12606452222036799</v>
      </c>
      <c r="Q72" s="204">
        <f>'Volume adjustments'!Q330</f>
        <v>0.58741903403166595</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745</v>
      </c>
      <c r="I74" t="s">
        <v>153</v>
      </c>
      <c r="AQ74" t="s">
        <v>425</v>
      </c>
    </row>
    <row r="75" spans="4:43" x14ac:dyDescent="0.25">
      <c r="D75"/>
      <c r="E75" s="100"/>
      <c r="F75" s="90" t="s">
        <v>155</v>
      </c>
      <c r="G75" s="90" t="s">
        <v>166</v>
      </c>
      <c r="H75" s="236"/>
      <c r="I75" s="90"/>
      <c r="J75" s="196">
        <f>INDEX($J57:$Y57,J$54)</f>
        <v>0.40611012535926394</v>
      </c>
      <c r="K75" s="196">
        <f t="shared" ref="K75:AO75" si="0">INDEX($J57:$Y57,K$54)</f>
        <v>0.40611012535926394</v>
      </c>
      <c r="L75" s="196">
        <f t="shared" si="0"/>
        <v>0.40611012535926394</v>
      </c>
      <c r="M75" s="196">
        <f t="shared" si="0"/>
        <v>0.40611012535926394</v>
      </c>
      <c r="N75" s="196">
        <f t="shared" si="0"/>
        <v>0.40611012535926394</v>
      </c>
      <c r="O75" s="196">
        <f t="shared" si="0"/>
        <v>0.40611012535926394</v>
      </c>
      <c r="P75" s="196">
        <f t="shared" si="0"/>
        <v>0.40611012535926394</v>
      </c>
      <c r="Q75" s="196">
        <f t="shared" si="0"/>
        <v>0.40611012535926394</v>
      </c>
      <c r="R75" s="196">
        <f t="shared" si="0"/>
        <v>0.40611012535926394</v>
      </c>
      <c r="S75" s="196">
        <f t="shared" si="0"/>
        <v>0.40611012535926394</v>
      </c>
      <c r="T75" s="196">
        <f t="shared" si="0"/>
        <v>0.40611012535926394</v>
      </c>
      <c r="U75" s="196">
        <f t="shared" si="0"/>
        <v>0.40611012535926394</v>
      </c>
      <c r="V75" s="196">
        <f t="shared" si="0"/>
        <v>0.40611012535926394</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0.40611012535926394</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156</v>
      </c>
      <c r="G76" t="s">
        <v>166</v>
      </c>
      <c r="H76" s="63"/>
      <c r="J76" s="188">
        <f t="shared" ref="J76:AO76" si="1">INDEX($J58:$Y58,J$54)</f>
        <v>0.40611012535926394</v>
      </c>
      <c r="K76" s="188">
        <f t="shared" si="1"/>
        <v>0.40611012535926394</v>
      </c>
      <c r="L76" s="188">
        <f t="shared" si="1"/>
        <v>0.40611012535926394</v>
      </c>
      <c r="M76" s="188">
        <f t="shared" si="1"/>
        <v>0.40611012535926394</v>
      </c>
      <c r="N76" s="188">
        <f t="shared" si="1"/>
        <v>0.40611012535926394</v>
      </c>
      <c r="O76" s="188">
        <f t="shared" si="1"/>
        <v>0.40611012535926394</v>
      </c>
      <c r="P76" s="188">
        <f t="shared" si="1"/>
        <v>0.40611012535926394</v>
      </c>
      <c r="Q76" s="188">
        <f t="shared" si="1"/>
        <v>0.40611012535926394</v>
      </c>
      <c r="R76" s="188">
        <f t="shared" si="1"/>
        <v>0.40611012535926394</v>
      </c>
      <c r="S76" s="188">
        <f t="shared" si="1"/>
        <v>0.40611012535926394</v>
      </c>
      <c r="T76" s="188">
        <f t="shared" si="1"/>
        <v>0.40611012535926394</v>
      </c>
      <c r="U76" s="188">
        <f t="shared" si="1"/>
        <v>0.40611012535926394</v>
      </c>
      <c r="V76" s="188">
        <f t="shared" si="1"/>
        <v>0.40611012535926394</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0.40611012535926394</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157</v>
      </c>
      <c r="G77" t="s">
        <v>166</v>
      </c>
      <c r="H77" s="63"/>
      <c r="J77" s="188">
        <f t="shared" ref="J77:AO77" si="2">INDEX($J59:$Y59,J$54)</f>
        <v>0.40611012535926394</v>
      </c>
      <c r="K77" s="188">
        <f t="shared" si="2"/>
        <v>0.40611012535926394</v>
      </c>
      <c r="L77" s="188">
        <f t="shared" si="2"/>
        <v>0.40611012535926394</v>
      </c>
      <c r="M77" s="188">
        <f t="shared" si="2"/>
        <v>0.40611012535926394</v>
      </c>
      <c r="N77" s="188">
        <f t="shared" si="2"/>
        <v>0.40611012535926394</v>
      </c>
      <c r="O77" s="188">
        <f t="shared" si="2"/>
        <v>0.40611012535926394</v>
      </c>
      <c r="P77" s="188">
        <f t="shared" si="2"/>
        <v>0.40611012535926394</v>
      </c>
      <c r="Q77" s="188">
        <f t="shared" si="2"/>
        <v>0.40611012535926394</v>
      </c>
      <c r="R77" s="188">
        <f t="shared" si="2"/>
        <v>0.40611012535926394</v>
      </c>
      <c r="S77" s="188">
        <f t="shared" si="2"/>
        <v>0.40611012535926394</v>
      </c>
      <c r="T77" s="188">
        <f t="shared" si="2"/>
        <v>0.40611012535926394</v>
      </c>
      <c r="U77" s="188">
        <f t="shared" si="2"/>
        <v>0.40611012535926394</v>
      </c>
      <c r="V77" s="188">
        <f t="shared" si="2"/>
        <v>0.40611012535926394</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0.40611012535926394</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158</v>
      </c>
      <c r="G78" t="s">
        <v>166</v>
      </c>
      <c r="H78" s="63"/>
      <c r="J78" s="188">
        <f t="shared" ref="J78:AO78" si="3">INDEX($J60:$Y60,J$54)</f>
        <v>0.40611012535926394</v>
      </c>
      <c r="K78" s="188">
        <f t="shared" si="3"/>
        <v>0.40611012535926394</v>
      </c>
      <c r="L78" s="188">
        <f t="shared" si="3"/>
        <v>0.40611012535926394</v>
      </c>
      <c r="M78" s="188">
        <f t="shared" si="3"/>
        <v>0.40611012535926394</v>
      </c>
      <c r="N78" s="188">
        <f t="shared" si="3"/>
        <v>0.40611012535926394</v>
      </c>
      <c r="O78" s="188">
        <f t="shared" si="3"/>
        <v>0.40611012535926394</v>
      </c>
      <c r="P78" s="188">
        <f t="shared" si="3"/>
        <v>0.40611012535926394</v>
      </c>
      <c r="Q78" s="188">
        <f t="shared" si="3"/>
        <v>0.40611012535926394</v>
      </c>
      <c r="R78" s="188">
        <f t="shared" si="3"/>
        <v>0.40611012535926394</v>
      </c>
      <c r="S78" s="188">
        <f t="shared" si="3"/>
        <v>0.40611012535926394</v>
      </c>
      <c r="T78" s="188">
        <f t="shared" si="3"/>
        <v>0.40611012535926394</v>
      </c>
      <c r="U78" s="188">
        <f t="shared" si="3"/>
        <v>0.40611012535926394</v>
      </c>
      <c r="V78" s="188">
        <f t="shared" si="3"/>
        <v>0.40611012535926394</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0.40611012535926394</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159</v>
      </c>
      <c r="G79" t="s">
        <v>166</v>
      </c>
      <c r="H79" s="63"/>
      <c r="J79" s="188">
        <f t="shared" ref="J79:AO79" si="4">INDEX($J61:$Y61,J$54)</f>
        <v>0.40611012535926394</v>
      </c>
      <c r="K79" s="188">
        <f t="shared" si="4"/>
        <v>0.40611012535926394</v>
      </c>
      <c r="L79" s="188">
        <f t="shared" si="4"/>
        <v>0.40611012535926394</v>
      </c>
      <c r="M79" s="188">
        <f t="shared" si="4"/>
        <v>0.40611012535926394</v>
      </c>
      <c r="N79" s="188">
        <f t="shared" si="4"/>
        <v>0.40611012535926394</v>
      </c>
      <c r="O79" s="188">
        <f t="shared" si="4"/>
        <v>0.40611012535926394</v>
      </c>
      <c r="P79" s="188">
        <f t="shared" si="4"/>
        <v>0.40611012535926394</v>
      </c>
      <c r="Q79" s="188">
        <f t="shared" si="4"/>
        <v>0.40611012535926394</v>
      </c>
      <c r="R79" s="188">
        <f t="shared" si="4"/>
        <v>0.40611012535926394</v>
      </c>
      <c r="S79" s="188">
        <f t="shared" si="4"/>
        <v>0.40611012535926394</v>
      </c>
      <c r="T79" s="188">
        <f t="shared" si="4"/>
        <v>0.40611012535926394</v>
      </c>
      <c r="U79" s="188">
        <f t="shared" si="4"/>
        <v>0.40611012535926394</v>
      </c>
      <c r="V79" s="188">
        <f t="shared" si="4"/>
        <v>0.40611012535926394</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0.40611012535926394</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160</v>
      </c>
      <c r="G80" t="s">
        <v>166</v>
      </c>
      <c r="H80" s="63"/>
      <c r="J80" s="188">
        <f t="shared" ref="J80:AO80" si="5">INDEX($J62:$Y62,J$54)</f>
        <v>0.40611012535926394</v>
      </c>
      <c r="K80" s="188">
        <f t="shared" si="5"/>
        <v>0.40611012535926394</v>
      </c>
      <c r="L80" s="188">
        <f t="shared" si="5"/>
        <v>0.40611012535926394</v>
      </c>
      <c r="M80" s="188">
        <f t="shared" si="5"/>
        <v>0.40611012535926394</v>
      </c>
      <c r="N80" s="188">
        <f t="shared" si="5"/>
        <v>0.40611012535926394</v>
      </c>
      <c r="O80" s="188">
        <f t="shared" si="5"/>
        <v>0.40611012535926394</v>
      </c>
      <c r="P80" s="188">
        <f t="shared" si="5"/>
        <v>0.40611012535926394</v>
      </c>
      <c r="Q80" s="188">
        <f t="shared" si="5"/>
        <v>0.40611012535926394</v>
      </c>
      <c r="R80" s="188">
        <f t="shared" si="5"/>
        <v>0.40611012535926394</v>
      </c>
      <c r="S80" s="188">
        <f t="shared" si="5"/>
        <v>0.40611012535926394</v>
      </c>
      <c r="T80" s="188">
        <f t="shared" si="5"/>
        <v>0.40611012535926394</v>
      </c>
      <c r="U80" s="188">
        <f t="shared" si="5"/>
        <v>0.40611012535926394</v>
      </c>
      <c r="V80" s="188">
        <f t="shared" si="5"/>
        <v>0.40611012535926394</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0.40611012535926394</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161</v>
      </c>
      <c r="G81" s="91" t="s">
        <v>166</v>
      </c>
      <c r="H81" s="296"/>
      <c r="I81" s="91"/>
      <c r="J81" s="197">
        <f t="shared" ref="J81:AO81" si="6">INDEX($J63:$Y63,J$54)</f>
        <v>0.40611012535926394</v>
      </c>
      <c r="K81" s="197">
        <f t="shared" si="6"/>
        <v>0.40611012535926394</v>
      </c>
      <c r="L81" s="197">
        <f t="shared" si="6"/>
        <v>0.40611012535926394</v>
      </c>
      <c r="M81" s="197">
        <f t="shared" si="6"/>
        <v>0.40611012535926394</v>
      </c>
      <c r="N81" s="197">
        <f t="shared" si="6"/>
        <v>0.40611012535926394</v>
      </c>
      <c r="O81" s="197">
        <f t="shared" si="6"/>
        <v>0.40611012535926394</v>
      </c>
      <c r="P81" s="197">
        <f t="shared" si="6"/>
        <v>0.40611012535926394</v>
      </c>
      <c r="Q81" s="197">
        <f t="shared" si="6"/>
        <v>0.40611012535926394</v>
      </c>
      <c r="R81" s="197">
        <f t="shared" si="6"/>
        <v>0.40611012535926394</v>
      </c>
      <c r="S81" s="197">
        <f t="shared" si="6"/>
        <v>0.40611012535926394</v>
      </c>
      <c r="T81" s="197">
        <f t="shared" si="6"/>
        <v>0.40611012535926394</v>
      </c>
      <c r="U81" s="197">
        <f t="shared" si="6"/>
        <v>0.40611012535926394</v>
      </c>
      <c r="V81" s="197">
        <f t="shared" si="6"/>
        <v>0.40611012535926394</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0.40611012535926394</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746</v>
      </c>
      <c r="I83" t="s">
        <v>153</v>
      </c>
      <c r="AQ83" t="s">
        <v>425</v>
      </c>
    </row>
    <row r="84" spans="3:43" x14ac:dyDescent="0.25">
      <c r="D84"/>
      <c r="E84" s="100"/>
      <c r="F84" s="90" t="s">
        <v>155</v>
      </c>
      <c r="G84" s="90" t="s">
        <v>166</v>
      </c>
      <c r="H84" s="236"/>
      <c r="I84" s="90"/>
      <c r="J84" s="196">
        <f>INDEX($J66:$Y66,J$54)</f>
        <v>0.58741903403166595</v>
      </c>
      <c r="K84" s="196">
        <f t="shared" ref="K84:AO84" si="7">INDEX($J66:$Y66,K$54)</f>
        <v>0.58741903403166595</v>
      </c>
      <c r="L84" s="196">
        <f t="shared" si="7"/>
        <v>0.58741903403166595</v>
      </c>
      <c r="M84" s="196">
        <f t="shared" si="7"/>
        <v>0.58741903403166595</v>
      </c>
      <c r="N84" s="196">
        <f t="shared" si="7"/>
        <v>0.58741903403166595</v>
      </c>
      <c r="O84" s="196">
        <f t="shared" si="7"/>
        <v>0.58741903403166595</v>
      </c>
      <c r="P84" s="196">
        <f t="shared" si="7"/>
        <v>0.58741903403166595</v>
      </c>
      <c r="Q84" s="196">
        <f t="shared" si="7"/>
        <v>0.58741903403166595</v>
      </c>
      <c r="R84" s="196">
        <f t="shared" si="7"/>
        <v>0.58741903403166595</v>
      </c>
      <c r="S84" s="196">
        <f t="shared" si="7"/>
        <v>0.58741903403166595</v>
      </c>
      <c r="T84" s="196">
        <f t="shared" si="7"/>
        <v>0.58741903403166595</v>
      </c>
      <c r="U84" s="196">
        <f t="shared" si="7"/>
        <v>0.58741903403166595</v>
      </c>
      <c r="V84" s="196">
        <f t="shared" si="7"/>
        <v>0.58741903403166595</v>
      </c>
      <c r="W84" s="196">
        <f t="shared" si="7"/>
        <v>0.30208847695897212</v>
      </c>
      <c r="X84" s="196">
        <f t="shared" si="7"/>
        <v>0.30208847695897212</v>
      </c>
      <c r="Y84" s="196">
        <f t="shared" si="7"/>
        <v>0.30208847695897212</v>
      </c>
      <c r="Z84" s="196">
        <f t="shared" si="7"/>
        <v>0.30208847695897212</v>
      </c>
      <c r="AA84" s="196">
        <f t="shared" si="7"/>
        <v>0.30208847695897212</v>
      </c>
      <c r="AB84" s="196">
        <f t="shared" si="7"/>
        <v>0.12606452222036799</v>
      </c>
      <c r="AC84" s="196">
        <f t="shared" si="7"/>
        <v>0.12606452222036799</v>
      </c>
      <c r="AD84" s="196">
        <f t="shared" si="7"/>
        <v>0.12606452222036799</v>
      </c>
      <c r="AE84" s="196">
        <f t="shared" si="7"/>
        <v>0.12606452222036799</v>
      </c>
      <c r="AF84" s="196">
        <f t="shared" si="7"/>
        <v>0.12606452222036799</v>
      </c>
      <c r="AG84" s="196">
        <f t="shared" si="7"/>
        <v>0.58741903403166595</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156</v>
      </c>
      <c r="G85" t="s">
        <v>166</v>
      </c>
      <c r="H85" s="63"/>
      <c r="J85" s="188">
        <f t="shared" ref="J85:AO85" si="8">INDEX($J67:$Y67,J$54)</f>
        <v>0.58741903403166595</v>
      </c>
      <c r="K85" s="188">
        <f t="shared" si="8"/>
        <v>0.58741903403166595</v>
      </c>
      <c r="L85" s="188">
        <f t="shared" si="8"/>
        <v>0.58741903403166595</v>
      </c>
      <c r="M85" s="188">
        <f t="shared" si="8"/>
        <v>0.58741903403166595</v>
      </c>
      <c r="N85" s="188">
        <f t="shared" si="8"/>
        <v>0.58741903403166595</v>
      </c>
      <c r="O85" s="188">
        <f t="shared" si="8"/>
        <v>0.58741903403166595</v>
      </c>
      <c r="P85" s="188">
        <f t="shared" si="8"/>
        <v>0.58741903403166595</v>
      </c>
      <c r="Q85" s="188">
        <f t="shared" si="8"/>
        <v>0.58741903403166595</v>
      </c>
      <c r="R85" s="188">
        <f t="shared" si="8"/>
        <v>0.58741903403166595</v>
      </c>
      <c r="S85" s="188">
        <f t="shared" si="8"/>
        <v>0.58741903403166595</v>
      </c>
      <c r="T85" s="188">
        <f t="shared" si="8"/>
        <v>0.58741903403166595</v>
      </c>
      <c r="U85" s="188">
        <f t="shared" si="8"/>
        <v>0.58741903403166595</v>
      </c>
      <c r="V85" s="188">
        <f t="shared" si="8"/>
        <v>0.58741903403166595</v>
      </c>
      <c r="W85" s="188">
        <f t="shared" si="8"/>
        <v>0.30208847695897212</v>
      </c>
      <c r="X85" s="188">
        <f t="shared" si="8"/>
        <v>0.30208847695897212</v>
      </c>
      <c r="Y85" s="188">
        <f t="shared" si="8"/>
        <v>0.30208847695897212</v>
      </c>
      <c r="Z85" s="188">
        <f t="shared" si="8"/>
        <v>0.30208847695897212</v>
      </c>
      <c r="AA85" s="188">
        <f t="shared" si="8"/>
        <v>0.30208847695897212</v>
      </c>
      <c r="AB85" s="188">
        <f t="shared" si="8"/>
        <v>0.12606452222036799</v>
      </c>
      <c r="AC85" s="188">
        <f t="shared" si="8"/>
        <v>0.12606452222036799</v>
      </c>
      <c r="AD85" s="188">
        <f t="shared" si="8"/>
        <v>0.12606452222036799</v>
      </c>
      <c r="AE85" s="188">
        <f t="shared" si="8"/>
        <v>0.12606452222036799</v>
      </c>
      <c r="AF85" s="188">
        <f t="shared" si="8"/>
        <v>0.12606452222036799</v>
      </c>
      <c r="AG85" s="188">
        <f t="shared" si="8"/>
        <v>0.58741903403166595</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157</v>
      </c>
      <c r="G86" t="s">
        <v>166</v>
      </c>
      <c r="H86" s="63"/>
      <c r="J86" s="188">
        <f t="shared" ref="J86:AO86" si="9">INDEX($J68:$Y68,J$54)</f>
        <v>0.58741903403166595</v>
      </c>
      <c r="K86" s="188">
        <f t="shared" si="9"/>
        <v>0.58741903403166595</v>
      </c>
      <c r="L86" s="188">
        <f t="shared" si="9"/>
        <v>0.58741903403166595</v>
      </c>
      <c r="M86" s="188">
        <f t="shared" si="9"/>
        <v>0.58741903403166595</v>
      </c>
      <c r="N86" s="188">
        <f t="shared" si="9"/>
        <v>0.58741903403166595</v>
      </c>
      <c r="O86" s="188">
        <f t="shared" si="9"/>
        <v>0.58741903403166595</v>
      </c>
      <c r="P86" s="188">
        <f t="shared" si="9"/>
        <v>0.58741903403166595</v>
      </c>
      <c r="Q86" s="188">
        <f t="shared" si="9"/>
        <v>0.58741903403166595</v>
      </c>
      <c r="R86" s="188">
        <f t="shared" si="9"/>
        <v>0.58741903403166595</v>
      </c>
      <c r="S86" s="188">
        <f t="shared" si="9"/>
        <v>0.58741903403166595</v>
      </c>
      <c r="T86" s="188">
        <f t="shared" si="9"/>
        <v>0.58741903403166595</v>
      </c>
      <c r="U86" s="188">
        <f t="shared" si="9"/>
        <v>0.58741903403166595</v>
      </c>
      <c r="V86" s="188">
        <f t="shared" si="9"/>
        <v>0.58741903403166595</v>
      </c>
      <c r="W86" s="188">
        <f t="shared" si="9"/>
        <v>0.30208847695897212</v>
      </c>
      <c r="X86" s="188">
        <f t="shared" si="9"/>
        <v>0.30208847695897212</v>
      </c>
      <c r="Y86" s="188">
        <f t="shared" si="9"/>
        <v>0.30208847695897212</v>
      </c>
      <c r="Z86" s="188">
        <f t="shared" si="9"/>
        <v>0.30208847695897212</v>
      </c>
      <c r="AA86" s="188">
        <f t="shared" si="9"/>
        <v>0.30208847695897212</v>
      </c>
      <c r="AB86" s="188">
        <f t="shared" si="9"/>
        <v>0.12606452222036799</v>
      </c>
      <c r="AC86" s="188">
        <f t="shared" si="9"/>
        <v>0.12606452222036799</v>
      </c>
      <c r="AD86" s="188">
        <f t="shared" si="9"/>
        <v>0.12606452222036799</v>
      </c>
      <c r="AE86" s="188">
        <f t="shared" si="9"/>
        <v>0.12606452222036799</v>
      </c>
      <c r="AF86" s="188">
        <f t="shared" si="9"/>
        <v>0.12606452222036799</v>
      </c>
      <c r="AG86" s="188">
        <f t="shared" si="9"/>
        <v>0.58741903403166595</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158</v>
      </c>
      <c r="G87" t="s">
        <v>166</v>
      </c>
      <c r="H87" s="63"/>
      <c r="J87" s="188">
        <f t="shared" ref="J87:AO87" si="10">INDEX($J69:$Y69,J$54)</f>
        <v>0.58741903403166595</v>
      </c>
      <c r="K87" s="188">
        <f t="shared" si="10"/>
        <v>0.58741903403166595</v>
      </c>
      <c r="L87" s="188">
        <f t="shared" si="10"/>
        <v>0.58741903403166595</v>
      </c>
      <c r="M87" s="188">
        <f t="shared" si="10"/>
        <v>0.58741903403166595</v>
      </c>
      <c r="N87" s="188">
        <f t="shared" si="10"/>
        <v>0.58741903403166595</v>
      </c>
      <c r="O87" s="188">
        <f t="shared" si="10"/>
        <v>0.58741903403166595</v>
      </c>
      <c r="P87" s="188">
        <f t="shared" si="10"/>
        <v>0.58741903403166595</v>
      </c>
      <c r="Q87" s="188">
        <f t="shared" si="10"/>
        <v>0.58741903403166595</v>
      </c>
      <c r="R87" s="188">
        <f t="shared" si="10"/>
        <v>0.58741903403166595</v>
      </c>
      <c r="S87" s="188">
        <f t="shared" si="10"/>
        <v>0.58741903403166595</v>
      </c>
      <c r="T87" s="188">
        <f t="shared" si="10"/>
        <v>0.58741903403166595</v>
      </c>
      <c r="U87" s="188">
        <f t="shared" si="10"/>
        <v>0.58741903403166595</v>
      </c>
      <c r="V87" s="188">
        <f t="shared" si="10"/>
        <v>0.58741903403166595</v>
      </c>
      <c r="W87" s="188">
        <f t="shared" si="10"/>
        <v>0.30208847695897212</v>
      </c>
      <c r="X87" s="188">
        <f t="shared" si="10"/>
        <v>0.30208847695897212</v>
      </c>
      <c r="Y87" s="188">
        <f t="shared" si="10"/>
        <v>0.30208847695897212</v>
      </c>
      <c r="Z87" s="188">
        <f t="shared" si="10"/>
        <v>0.30208847695897212</v>
      </c>
      <c r="AA87" s="188">
        <f t="shared" si="10"/>
        <v>0.30208847695897212</v>
      </c>
      <c r="AB87" s="188">
        <f t="shared" si="10"/>
        <v>0.12606452222036799</v>
      </c>
      <c r="AC87" s="188">
        <f t="shared" si="10"/>
        <v>0.12606452222036799</v>
      </c>
      <c r="AD87" s="188">
        <f t="shared" si="10"/>
        <v>0.12606452222036799</v>
      </c>
      <c r="AE87" s="188">
        <f t="shared" si="10"/>
        <v>0.12606452222036799</v>
      </c>
      <c r="AF87" s="188">
        <f t="shared" si="10"/>
        <v>0.12606452222036799</v>
      </c>
      <c r="AG87" s="188">
        <f t="shared" si="10"/>
        <v>0.58741903403166595</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159</v>
      </c>
      <c r="G88" t="s">
        <v>166</v>
      </c>
      <c r="H88" s="63"/>
      <c r="J88" s="188">
        <f t="shared" ref="J88:AO88" si="11">INDEX($J70:$Y70,J$54)</f>
        <v>0.58741903403166595</v>
      </c>
      <c r="K88" s="188">
        <f t="shared" si="11"/>
        <v>0.58741903403166595</v>
      </c>
      <c r="L88" s="188">
        <f t="shared" si="11"/>
        <v>0.58741903403166595</v>
      </c>
      <c r="M88" s="188">
        <f t="shared" si="11"/>
        <v>0.58741903403166595</v>
      </c>
      <c r="N88" s="188">
        <f t="shared" si="11"/>
        <v>0.58741903403166595</v>
      </c>
      <c r="O88" s="188">
        <f t="shared" si="11"/>
        <v>0.58741903403166595</v>
      </c>
      <c r="P88" s="188">
        <f t="shared" si="11"/>
        <v>0.58741903403166595</v>
      </c>
      <c r="Q88" s="188">
        <f t="shared" si="11"/>
        <v>0.58741903403166595</v>
      </c>
      <c r="R88" s="188">
        <f t="shared" si="11"/>
        <v>0.58741903403166595</v>
      </c>
      <c r="S88" s="188">
        <f t="shared" si="11"/>
        <v>0.58741903403166595</v>
      </c>
      <c r="T88" s="188">
        <f t="shared" si="11"/>
        <v>0.58741903403166595</v>
      </c>
      <c r="U88" s="188">
        <f t="shared" si="11"/>
        <v>0.58741903403166595</v>
      </c>
      <c r="V88" s="188">
        <f t="shared" si="11"/>
        <v>0.58741903403166595</v>
      </c>
      <c r="W88" s="188">
        <f t="shared" si="11"/>
        <v>0.30208847695897212</v>
      </c>
      <c r="X88" s="188">
        <f t="shared" si="11"/>
        <v>0.30208847695897212</v>
      </c>
      <c r="Y88" s="188">
        <f t="shared" si="11"/>
        <v>0.30208847695897212</v>
      </c>
      <c r="Z88" s="188">
        <f t="shared" si="11"/>
        <v>0.30208847695897212</v>
      </c>
      <c r="AA88" s="188">
        <f t="shared" si="11"/>
        <v>0.30208847695897212</v>
      </c>
      <c r="AB88" s="188">
        <f t="shared" si="11"/>
        <v>0.12606452222036799</v>
      </c>
      <c r="AC88" s="188">
        <f t="shared" si="11"/>
        <v>0.12606452222036799</v>
      </c>
      <c r="AD88" s="188">
        <f t="shared" si="11"/>
        <v>0.12606452222036799</v>
      </c>
      <c r="AE88" s="188">
        <f t="shared" si="11"/>
        <v>0.12606452222036799</v>
      </c>
      <c r="AF88" s="188">
        <f t="shared" si="11"/>
        <v>0.12606452222036799</v>
      </c>
      <c r="AG88" s="188">
        <f t="shared" si="11"/>
        <v>0.58741903403166595</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160</v>
      </c>
      <c r="G89" t="s">
        <v>166</v>
      </c>
      <c r="H89" s="63"/>
      <c r="J89" s="188">
        <f t="shared" ref="J89:AO89" si="12">INDEX($J71:$Y71,J$54)</f>
        <v>0.58741903403166595</v>
      </c>
      <c r="K89" s="188">
        <f t="shared" si="12"/>
        <v>0.58741903403166595</v>
      </c>
      <c r="L89" s="188">
        <f t="shared" si="12"/>
        <v>0.58741903403166595</v>
      </c>
      <c r="M89" s="188">
        <f t="shared" si="12"/>
        <v>0.58741903403166595</v>
      </c>
      <c r="N89" s="188">
        <f t="shared" si="12"/>
        <v>0.58741903403166595</v>
      </c>
      <c r="O89" s="188">
        <f t="shared" si="12"/>
        <v>0.58741903403166595</v>
      </c>
      <c r="P89" s="188">
        <f t="shared" si="12"/>
        <v>0.58741903403166595</v>
      </c>
      <c r="Q89" s="188">
        <f t="shared" si="12"/>
        <v>0.58741903403166595</v>
      </c>
      <c r="R89" s="188">
        <f t="shared" si="12"/>
        <v>0.58741903403166595</v>
      </c>
      <c r="S89" s="188">
        <f t="shared" si="12"/>
        <v>0.58741903403166595</v>
      </c>
      <c r="T89" s="188">
        <f t="shared" si="12"/>
        <v>0.58741903403166595</v>
      </c>
      <c r="U89" s="188">
        <f t="shared" si="12"/>
        <v>0.58741903403166595</v>
      </c>
      <c r="V89" s="188">
        <f t="shared" si="12"/>
        <v>0.58741903403166595</v>
      </c>
      <c r="W89" s="188">
        <f t="shared" si="12"/>
        <v>0.30208847695897212</v>
      </c>
      <c r="X89" s="188">
        <f t="shared" si="12"/>
        <v>0.30208847695897212</v>
      </c>
      <c r="Y89" s="188">
        <f t="shared" si="12"/>
        <v>0.30208847695897212</v>
      </c>
      <c r="Z89" s="188">
        <f t="shared" si="12"/>
        <v>0.30208847695897212</v>
      </c>
      <c r="AA89" s="188">
        <f t="shared" si="12"/>
        <v>0.30208847695897212</v>
      </c>
      <c r="AB89" s="188">
        <f t="shared" si="12"/>
        <v>0.12606452222036799</v>
      </c>
      <c r="AC89" s="188">
        <f t="shared" si="12"/>
        <v>0.12606452222036799</v>
      </c>
      <c r="AD89" s="188">
        <f t="shared" si="12"/>
        <v>0.12606452222036799</v>
      </c>
      <c r="AE89" s="188">
        <f t="shared" si="12"/>
        <v>0.12606452222036799</v>
      </c>
      <c r="AF89" s="188">
        <f t="shared" si="12"/>
        <v>0.12606452222036799</v>
      </c>
      <c r="AG89" s="188">
        <f t="shared" si="12"/>
        <v>0.58741903403166595</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161</v>
      </c>
      <c r="G90" s="91" t="s">
        <v>166</v>
      </c>
      <c r="H90" s="296"/>
      <c r="I90" s="91"/>
      <c r="J90" s="197">
        <f t="shared" ref="J90:AO90" si="13">INDEX($J72:$Y72,J$54)</f>
        <v>0.58741903403166595</v>
      </c>
      <c r="K90" s="197">
        <f t="shared" si="13"/>
        <v>0.58741903403166595</v>
      </c>
      <c r="L90" s="197">
        <f t="shared" si="13"/>
        <v>0.58741903403166595</v>
      </c>
      <c r="M90" s="197">
        <f t="shared" si="13"/>
        <v>0.58741903403166595</v>
      </c>
      <c r="N90" s="197">
        <f t="shared" si="13"/>
        <v>0.58741903403166595</v>
      </c>
      <c r="O90" s="197">
        <f t="shared" si="13"/>
        <v>0.58741903403166595</v>
      </c>
      <c r="P90" s="197">
        <f t="shared" si="13"/>
        <v>0.58741903403166595</v>
      </c>
      <c r="Q90" s="197">
        <f t="shared" si="13"/>
        <v>0.58741903403166595</v>
      </c>
      <c r="R90" s="197">
        <f t="shared" si="13"/>
        <v>0.58741903403166595</v>
      </c>
      <c r="S90" s="197">
        <f t="shared" si="13"/>
        <v>0.58741903403166595</v>
      </c>
      <c r="T90" s="197">
        <f t="shared" si="13"/>
        <v>0.58741903403166595</v>
      </c>
      <c r="U90" s="197">
        <f t="shared" si="13"/>
        <v>0.58741903403166595</v>
      </c>
      <c r="V90" s="197">
        <f t="shared" si="13"/>
        <v>0.58741903403166595</v>
      </c>
      <c r="W90" s="197">
        <f t="shared" si="13"/>
        <v>0.30208847695897212</v>
      </c>
      <c r="X90" s="197">
        <f t="shared" si="13"/>
        <v>0.30208847695897212</v>
      </c>
      <c r="Y90" s="197">
        <f t="shared" si="13"/>
        <v>0.30208847695897212</v>
      </c>
      <c r="Z90" s="197">
        <f t="shared" si="13"/>
        <v>0.30208847695897212</v>
      </c>
      <c r="AA90" s="197">
        <f t="shared" si="13"/>
        <v>0.30208847695897212</v>
      </c>
      <c r="AB90" s="197">
        <f t="shared" si="13"/>
        <v>0.12606452222036799</v>
      </c>
      <c r="AC90" s="197">
        <f t="shared" si="13"/>
        <v>0.12606452222036799</v>
      </c>
      <c r="AD90" s="197">
        <f t="shared" si="13"/>
        <v>0.12606452222036799</v>
      </c>
      <c r="AE90" s="197">
        <f t="shared" si="13"/>
        <v>0.12606452222036799</v>
      </c>
      <c r="AF90" s="197">
        <f t="shared" si="13"/>
        <v>0.12606452222036799</v>
      </c>
      <c r="AG90" s="197">
        <f t="shared" si="13"/>
        <v>0.58741903403166595</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747</v>
      </c>
      <c r="I94" t="s">
        <v>153</v>
      </c>
      <c r="AQ94" t="s">
        <v>154</v>
      </c>
    </row>
    <row r="95" spans="3:43" x14ac:dyDescent="0.25">
      <c r="C95" s="100"/>
      <c r="F95" s="90" t="s">
        <v>155</v>
      </c>
      <c r="G95" s="90" t="s">
        <v>148</v>
      </c>
      <c r="H95" s="236">
        <f>'Fixed inputs'!H25</f>
        <v>3</v>
      </c>
    </row>
    <row r="96" spans="3:43" x14ac:dyDescent="0.25">
      <c r="C96" s="100"/>
      <c r="F96" t="s">
        <v>156</v>
      </c>
      <c r="G96" t="s">
        <v>148</v>
      </c>
      <c r="H96" s="63">
        <f>'Fixed inputs'!H26</f>
        <v>3</v>
      </c>
    </row>
    <row r="97" spans="2:43" x14ac:dyDescent="0.25">
      <c r="C97" s="100"/>
      <c r="F97" t="s">
        <v>157</v>
      </c>
      <c r="G97" t="s">
        <v>148</v>
      </c>
      <c r="H97" s="63">
        <f>'Fixed inputs'!H27</f>
        <v>3</v>
      </c>
    </row>
    <row r="98" spans="2:43" x14ac:dyDescent="0.25">
      <c r="C98" s="100"/>
      <c r="F98" t="s">
        <v>158</v>
      </c>
      <c r="G98" t="s">
        <v>148</v>
      </c>
      <c r="H98" s="63">
        <f>'Fixed inputs'!H28</f>
        <v>2</v>
      </c>
    </row>
    <row r="99" spans="2:43" x14ac:dyDescent="0.25">
      <c r="C99" s="100"/>
      <c r="F99" t="s">
        <v>159</v>
      </c>
      <c r="G99" t="s">
        <v>148</v>
      </c>
      <c r="H99" s="63">
        <f>'Fixed inputs'!H29</f>
        <v>2</v>
      </c>
    </row>
    <row r="100" spans="2:43" x14ac:dyDescent="0.25">
      <c r="C100" s="100"/>
      <c r="F100" t="s">
        <v>160</v>
      </c>
      <c r="G100" t="s">
        <v>148</v>
      </c>
      <c r="H100" s="63">
        <f>'Fixed inputs'!H30</f>
        <v>2</v>
      </c>
    </row>
    <row r="101" spans="2:43" x14ac:dyDescent="0.25">
      <c r="C101" s="100"/>
      <c r="F101" s="91" t="s">
        <v>161</v>
      </c>
      <c r="G101" s="91" t="s">
        <v>148</v>
      </c>
      <c r="H101" s="296">
        <f>'Fixed inputs'!H31</f>
        <v>3</v>
      </c>
    </row>
    <row r="102" spans="2:43" x14ac:dyDescent="0.25">
      <c r="C102" s="100"/>
    </row>
    <row r="103" spans="2:43" x14ac:dyDescent="0.25">
      <c r="B103" s="70" t="s">
        <v>748</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749</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750</v>
      </c>
      <c r="F109" s="60"/>
    </row>
    <row r="110" spans="2:43" x14ac:dyDescent="0.25">
      <c r="D110"/>
      <c r="E110" s="100"/>
      <c r="F110" s="90" t="s">
        <v>155</v>
      </c>
      <c r="G110" s="90" t="s">
        <v>268</v>
      </c>
      <c r="H110" s="276"/>
      <c r="I110" s="264"/>
      <c r="J110" s="281">
        <f xml:space="preserve"> J20 + J32</f>
        <v>5.2938591475870105</v>
      </c>
      <c r="K110" s="281">
        <f t="shared" ref="K110:AO110" si="14" xml:space="preserve"> K20 + K32</f>
        <v>5.2938591475870105</v>
      </c>
      <c r="L110" s="281">
        <f t="shared" si="14"/>
        <v>6.4186667388773344</v>
      </c>
      <c r="M110" s="281">
        <f t="shared" si="14"/>
        <v>6.4186667388773344</v>
      </c>
      <c r="N110" s="281">
        <f t="shared" si="14"/>
        <v>6.4186667388773344</v>
      </c>
      <c r="O110" s="281">
        <f t="shared" si="14"/>
        <v>6.4186667388773344</v>
      </c>
      <c r="P110" s="281">
        <f t="shared" si="14"/>
        <v>6.4186667388773344</v>
      </c>
      <c r="Q110" s="281">
        <f t="shared" si="14"/>
        <v>6.4186667388773344</v>
      </c>
      <c r="R110" s="281">
        <f t="shared" si="14"/>
        <v>4.4997596707397127</v>
      </c>
      <c r="S110" s="281">
        <f t="shared" si="14"/>
        <v>4.4997596707397127</v>
      </c>
      <c r="T110" s="281">
        <f t="shared" si="14"/>
        <v>4.4997596707397127</v>
      </c>
      <c r="U110" s="281">
        <f t="shared" si="14"/>
        <v>4.4997596707397127</v>
      </c>
      <c r="V110" s="281">
        <f t="shared" si="14"/>
        <v>4.4997596707397127</v>
      </c>
      <c r="W110" s="281">
        <f t="shared" si="14"/>
        <v>2.8296793840814214</v>
      </c>
      <c r="X110" s="281">
        <f t="shared" si="14"/>
        <v>2.8296793840814214</v>
      </c>
      <c r="Y110" s="281">
        <f t="shared" si="14"/>
        <v>2.8296793840814214</v>
      </c>
      <c r="Z110" s="281">
        <f t="shared" si="14"/>
        <v>2.8296793840814214</v>
      </c>
      <c r="AA110" s="281">
        <f t="shared" si="14"/>
        <v>2.8296793840814214</v>
      </c>
      <c r="AB110" s="281">
        <f t="shared" si="14"/>
        <v>1.9303039613019599</v>
      </c>
      <c r="AC110" s="281">
        <f t="shared" si="14"/>
        <v>1.9303039613019599</v>
      </c>
      <c r="AD110" s="281">
        <f t="shared" si="14"/>
        <v>1.9303039613019599</v>
      </c>
      <c r="AE110" s="281">
        <f t="shared" si="14"/>
        <v>1.9303039613019599</v>
      </c>
      <c r="AF110" s="281">
        <f t="shared" si="14"/>
        <v>1.9303039613019599</v>
      </c>
      <c r="AG110" s="281">
        <f t="shared" si="14"/>
        <v>15.820158846719314</v>
      </c>
      <c r="AH110" s="281">
        <f t="shared" si="14"/>
        <v>-3.9153163284981733</v>
      </c>
      <c r="AI110" s="281">
        <f t="shared" si="14"/>
        <v>-3.2363520194065214</v>
      </c>
      <c r="AJ110" s="281">
        <f t="shared" si="14"/>
        <v>-3.9153163284981733</v>
      </c>
      <c r="AK110" s="281">
        <f t="shared" si="14"/>
        <v>-3.9153163284981733</v>
      </c>
      <c r="AL110" s="281">
        <f t="shared" si="14"/>
        <v>-3.2363520194065214</v>
      </c>
      <c r="AM110" s="281">
        <f t="shared" si="14"/>
        <v>-3.2363520194065214</v>
      </c>
      <c r="AN110" s="281">
        <f t="shared" si="14"/>
        <v>-2.1978270768307269</v>
      </c>
      <c r="AO110" s="281">
        <f t="shared" si="14"/>
        <v>-2.1978270768307269</v>
      </c>
      <c r="AP110" s="266"/>
      <c r="AQ110" s="266"/>
    </row>
    <row r="111" spans="2:43" x14ac:dyDescent="0.25">
      <c r="D111"/>
      <c r="E111" s="100"/>
      <c r="F111" t="s">
        <v>156</v>
      </c>
      <c r="G111" t="s">
        <v>268</v>
      </c>
      <c r="H111" s="277"/>
      <c r="I111" s="266"/>
      <c r="J111" s="280">
        <f t="shared" ref="J111" si="15" xml:space="preserve"> J21 + J33</f>
        <v>1.7412053834091776</v>
      </c>
      <c r="K111" s="280">
        <f t="shared" ref="K111:AO111" si="16" xml:space="preserve"> K21 + K33</f>
        <v>1.7412053834091776</v>
      </c>
      <c r="L111" s="280">
        <f t="shared" si="16"/>
        <v>2.1111663095790658</v>
      </c>
      <c r="M111" s="280">
        <f t="shared" si="16"/>
        <v>2.1111663095790658</v>
      </c>
      <c r="N111" s="280">
        <f t="shared" si="16"/>
        <v>2.1111663095790658</v>
      </c>
      <c r="O111" s="280">
        <f t="shared" si="16"/>
        <v>2.1111663095790658</v>
      </c>
      <c r="P111" s="280">
        <f t="shared" si="16"/>
        <v>2.1111663095790658</v>
      </c>
      <c r="Q111" s="280">
        <f t="shared" si="16"/>
        <v>2.1111663095790658</v>
      </c>
      <c r="R111" s="280">
        <f t="shared" si="16"/>
        <v>1.4431517765522237</v>
      </c>
      <c r="S111" s="280">
        <f t="shared" si="16"/>
        <v>1.4431517765522237</v>
      </c>
      <c r="T111" s="280">
        <f t="shared" si="16"/>
        <v>1.4431517765522237</v>
      </c>
      <c r="U111" s="280">
        <f t="shared" si="16"/>
        <v>1.4431517765522237</v>
      </c>
      <c r="V111" s="280">
        <f t="shared" si="16"/>
        <v>1.4431517765522237</v>
      </c>
      <c r="W111" s="280">
        <f t="shared" si="16"/>
        <v>0.85352965281035553</v>
      </c>
      <c r="X111" s="280">
        <f t="shared" si="16"/>
        <v>0.85352965281035553</v>
      </c>
      <c r="Y111" s="280">
        <f t="shared" si="16"/>
        <v>0.85352965281035553</v>
      </c>
      <c r="Z111" s="280">
        <f t="shared" si="16"/>
        <v>0.85352965281035553</v>
      </c>
      <c r="AA111" s="280">
        <f t="shared" si="16"/>
        <v>0.85352965281035553</v>
      </c>
      <c r="AB111" s="280">
        <f t="shared" si="16"/>
        <v>0.54619707647398175</v>
      </c>
      <c r="AC111" s="280">
        <f t="shared" si="16"/>
        <v>0.54619707647398175</v>
      </c>
      <c r="AD111" s="280">
        <f t="shared" si="16"/>
        <v>0.54619707647398175</v>
      </c>
      <c r="AE111" s="280">
        <f t="shared" si="16"/>
        <v>0.54619707647398175</v>
      </c>
      <c r="AF111" s="280">
        <f t="shared" si="16"/>
        <v>0.54619707647398175</v>
      </c>
      <c r="AG111" s="280">
        <f t="shared" si="16"/>
        <v>2.1454869911103511</v>
      </c>
      <c r="AH111" s="280">
        <f t="shared" si="16"/>
        <v>-1.287788299399371</v>
      </c>
      <c r="AI111" s="280">
        <f t="shared" si="16"/>
        <v>-1.0485928038384174</v>
      </c>
      <c r="AJ111" s="280">
        <f t="shared" si="16"/>
        <v>-1.287788299399371</v>
      </c>
      <c r="AK111" s="280">
        <f t="shared" si="16"/>
        <v>-1.287788299399371</v>
      </c>
      <c r="AL111" s="280">
        <f t="shared" si="16"/>
        <v>-1.0485928038384174</v>
      </c>
      <c r="AM111" s="280">
        <f t="shared" si="16"/>
        <v>-1.0485928038384174</v>
      </c>
      <c r="AN111" s="280">
        <f t="shared" si="16"/>
        <v>-0.66294103578575292</v>
      </c>
      <c r="AO111" s="280">
        <f t="shared" si="16"/>
        <v>-0.66294103578575292</v>
      </c>
      <c r="AP111" s="266"/>
      <c r="AQ111" s="266"/>
    </row>
    <row r="112" spans="2:43" x14ac:dyDescent="0.25">
      <c r="D112"/>
      <c r="E112" s="100"/>
      <c r="F112" t="s">
        <v>157</v>
      </c>
      <c r="G112" t="s">
        <v>268</v>
      </c>
      <c r="H112" s="277"/>
      <c r="I112" s="266"/>
      <c r="J112" s="280">
        <f t="shared" ref="J112" si="17" xml:space="preserve"> J22 + J34</f>
        <v>0.25725070876601308</v>
      </c>
      <c r="K112" s="280">
        <f t="shared" ref="K112:AO112" si="18" xml:space="preserve"> K22 + K34</f>
        <v>0.25725070876601308</v>
      </c>
      <c r="L112" s="280">
        <f t="shared" si="18"/>
        <v>0.3119098037698384</v>
      </c>
      <c r="M112" s="280">
        <f t="shared" si="18"/>
        <v>0.3119098037698384</v>
      </c>
      <c r="N112" s="280">
        <f t="shared" si="18"/>
        <v>0.3119098037698384</v>
      </c>
      <c r="O112" s="280">
        <f t="shared" si="18"/>
        <v>0.3119098037698384</v>
      </c>
      <c r="P112" s="280">
        <f t="shared" si="18"/>
        <v>0.3119098037698384</v>
      </c>
      <c r="Q112" s="280">
        <f t="shared" si="18"/>
        <v>0.3119098037698384</v>
      </c>
      <c r="R112" s="280">
        <f t="shared" si="18"/>
        <v>0.20756011439443356</v>
      </c>
      <c r="S112" s="280">
        <f t="shared" si="18"/>
        <v>0.20756011439443356</v>
      </c>
      <c r="T112" s="280">
        <f t="shared" si="18"/>
        <v>0.20756011439443356</v>
      </c>
      <c r="U112" s="280">
        <f t="shared" si="18"/>
        <v>0.20756011439443356</v>
      </c>
      <c r="V112" s="280">
        <f t="shared" si="18"/>
        <v>0.20756011439443356</v>
      </c>
      <c r="W112" s="280">
        <f t="shared" si="18"/>
        <v>0.11426321740343361</v>
      </c>
      <c r="X112" s="280">
        <f t="shared" si="18"/>
        <v>0.11426321740343361</v>
      </c>
      <c r="Y112" s="280">
        <f t="shared" si="18"/>
        <v>0.11426321740343361</v>
      </c>
      <c r="Z112" s="280">
        <f t="shared" si="18"/>
        <v>0.11426321740343361</v>
      </c>
      <c r="AA112" s="280">
        <f t="shared" si="18"/>
        <v>0.11426321740343361</v>
      </c>
      <c r="AB112" s="280">
        <f t="shared" si="18"/>
        <v>6.7090042106194347E-2</v>
      </c>
      <c r="AC112" s="280">
        <f t="shared" si="18"/>
        <v>6.7090042106194347E-2</v>
      </c>
      <c r="AD112" s="280">
        <f t="shared" si="18"/>
        <v>6.7090042106194347E-2</v>
      </c>
      <c r="AE112" s="280">
        <f t="shared" si="18"/>
        <v>6.7090042106194347E-2</v>
      </c>
      <c r="AF112" s="280">
        <f t="shared" si="18"/>
        <v>6.7090042106194347E-2</v>
      </c>
      <c r="AG112" s="280">
        <f t="shared" si="18"/>
        <v>0.78456393691528126</v>
      </c>
      <c r="AH112" s="280">
        <f t="shared" si="18"/>
        <v>-0.19026156013395229</v>
      </c>
      <c r="AI112" s="280">
        <f t="shared" si="18"/>
        <v>-0.15248656530221741</v>
      </c>
      <c r="AJ112" s="280">
        <f t="shared" si="18"/>
        <v>-0.19026156013395229</v>
      </c>
      <c r="AK112" s="280">
        <f t="shared" si="18"/>
        <v>-0.19026156013395229</v>
      </c>
      <c r="AL112" s="280">
        <f t="shared" si="18"/>
        <v>-0.15248656530221741</v>
      </c>
      <c r="AM112" s="280">
        <f t="shared" si="18"/>
        <v>-0.15248656530221741</v>
      </c>
      <c r="AN112" s="280">
        <f t="shared" si="18"/>
        <v>-8.874885066761197E-2</v>
      </c>
      <c r="AO112" s="280">
        <f t="shared" si="18"/>
        <v>-8.874885066761197E-2</v>
      </c>
      <c r="AP112" s="266"/>
      <c r="AQ112" s="266"/>
    </row>
    <row r="113" spans="3:43" x14ac:dyDescent="0.25">
      <c r="D113"/>
      <c r="E113" s="100"/>
      <c r="F113" t="s">
        <v>158</v>
      </c>
      <c r="G113" t="s">
        <v>269</v>
      </c>
      <c r="H113" s="63"/>
      <c r="J113" s="141">
        <f t="shared" ref="J113" si="19" xml:space="preserve"> J23 + J35</f>
        <v>16.994249399480449</v>
      </c>
      <c r="K113" s="141">
        <f t="shared" ref="K113:AO113" si="20" xml:space="preserve"> K23 + K35</f>
        <v>0</v>
      </c>
      <c r="L113" s="141">
        <f t="shared" si="20"/>
        <v>12.30635267121273</v>
      </c>
      <c r="M113" s="141">
        <f t="shared" si="20"/>
        <v>16.358423566633245</v>
      </c>
      <c r="N113" s="141">
        <f t="shared" si="20"/>
        <v>22.652312843070295</v>
      </c>
      <c r="O113" s="141">
        <f t="shared" si="20"/>
        <v>36.91455580284665</v>
      </c>
      <c r="P113" s="141">
        <f t="shared" si="20"/>
        <v>78.248890561398483</v>
      </c>
      <c r="Q113" s="141">
        <f t="shared" si="20"/>
        <v>0</v>
      </c>
      <c r="R113" s="141">
        <f t="shared" si="20"/>
        <v>16.484720441239212</v>
      </c>
      <c r="S113" s="141">
        <f t="shared" si="20"/>
        <v>126.71195676559589</v>
      </c>
      <c r="T113" s="141">
        <f t="shared" si="20"/>
        <v>231.22239496885547</v>
      </c>
      <c r="U113" s="141">
        <f t="shared" si="20"/>
        <v>343.16092242287743</v>
      </c>
      <c r="V113" s="141">
        <f t="shared" si="20"/>
        <v>719.99006030796056</v>
      </c>
      <c r="W113" s="141">
        <f t="shared" si="20"/>
        <v>16.484720441239212</v>
      </c>
      <c r="X113" s="141">
        <f t="shared" si="20"/>
        <v>126.71195676559586</v>
      </c>
      <c r="Y113" s="141">
        <f t="shared" si="20"/>
        <v>231.22239496885547</v>
      </c>
      <c r="Z113" s="141">
        <f t="shared" si="20"/>
        <v>343.16092242287732</v>
      </c>
      <c r="AA113" s="141">
        <f t="shared" si="20"/>
        <v>719.99006030796045</v>
      </c>
      <c r="AB113" s="141">
        <f t="shared" si="20"/>
        <v>431.6399417186995</v>
      </c>
      <c r="AC113" s="141">
        <f t="shared" si="20"/>
        <v>1094.1080311148753</v>
      </c>
      <c r="AD113" s="141">
        <f t="shared" si="20"/>
        <v>2321.3336590753465</v>
      </c>
      <c r="AE113" s="141">
        <f t="shared" si="20"/>
        <v>4527.0763207129676</v>
      </c>
      <c r="AF113" s="141">
        <f t="shared" si="20"/>
        <v>10167.827058841594</v>
      </c>
      <c r="AG113" s="141">
        <f t="shared" si="20"/>
        <v>0</v>
      </c>
      <c r="AH113" s="141">
        <f t="shared" si="20"/>
        <v>0</v>
      </c>
      <c r="AI113" s="141">
        <f t="shared" si="20"/>
        <v>0</v>
      </c>
      <c r="AJ113" s="141">
        <f t="shared" si="20"/>
        <v>0</v>
      </c>
      <c r="AK113" s="141">
        <f t="shared" si="20"/>
        <v>0</v>
      </c>
      <c r="AL113" s="141">
        <f t="shared" si="20"/>
        <v>0</v>
      </c>
      <c r="AM113" s="141">
        <f t="shared" si="20"/>
        <v>0</v>
      </c>
      <c r="AN113" s="141">
        <f t="shared" si="20"/>
        <v>95.926460844785012</v>
      </c>
      <c r="AO113" s="141">
        <f t="shared" si="20"/>
        <v>95.926460844785012</v>
      </c>
    </row>
    <row r="114" spans="3:43" x14ac:dyDescent="0.25">
      <c r="D114"/>
      <c r="E114" s="100"/>
      <c r="F114" t="s">
        <v>159</v>
      </c>
      <c r="G114" t="s">
        <v>270</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3.6682304258861356</v>
      </c>
      <c r="S114" s="141">
        <f t="shared" si="22"/>
        <v>3.6682304258861356</v>
      </c>
      <c r="T114" s="141">
        <f t="shared" si="22"/>
        <v>3.6682304258861356</v>
      </c>
      <c r="U114" s="141">
        <f t="shared" si="22"/>
        <v>3.6682304258861356</v>
      </c>
      <c r="V114" s="141">
        <f t="shared" si="22"/>
        <v>3.6682304258861356</v>
      </c>
      <c r="W114" s="141">
        <f t="shared" si="22"/>
        <v>2.862433987174307</v>
      </c>
      <c r="X114" s="141">
        <f t="shared" si="22"/>
        <v>2.862433987174307</v>
      </c>
      <c r="Y114" s="141">
        <f t="shared" si="22"/>
        <v>2.862433987174307</v>
      </c>
      <c r="Z114" s="141">
        <f t="shared" si="22"/>
        <v>2.862433987174307</v>
      </c>
      <c r="AA114" s="141">
        <f t="shared" si="22"/>
        <v>2.862433987174307</v>
      </c>
      <c r="AB114" s="141">
        <f t="shared" si="22"/>
        <v>3.3605627625627932</v>
      </c>
      <c r="AC114" s="141">
        <f t="shared" si="22"/>
        <v>3.3605627625627932</v>
      </c>
      <c r="AD114" s="141">
        <f t="shared" si="22"/>
        <v>3.3605627625627932</v>
      </c>
      <c r="AE114" s="141">
        <f t="shared" si="22"/>
        <v>3.3605627625627932</v>
      </c>
      <c r="AF114" s="141">
        <f t="shared" si="22"/>
        <v>3.3605627625627932</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160</v>
      </c>
      <c r="G115" t="s">
        <v>270</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3.6682304258861356</v>
      </c>
      <c r="S115" s="141">
        <f t="shared" si="24"/>
        <v>3.6682304258861356</v>
      </c>
      <c r="T115" s="141">
        <f t="shared" si="24"/>
        <v>3.6682304258861356</v>
      </c>
      <c r="U115" s="141">
        <f t="shared" si="24"/>
        <v>3.6682304258861356</v>
      </c>
      <c r="V115" s="141">
        <f t="shared" si="24"/>
        <v>3.6682304258861356</v>
      </c>
      <c r="W115" s="141">
        <f t="shared" si="24"/>
        <v>2.862433987174307</v>
      </c>
      <c r="X115" s="141">
        <f t="shared" si="24"/>
        <v>2.862433987174307</v>
      </c>
      <c r="Y115" s="141">
        <f t="shared" si="24"/>
        <v>2.862433987174307</v>
      </c>
      <c r="Z115" s="141">
        <f t="shared" si="24"/>
        <v>2.862433987174307</v>
      </c>
      <c r="AA115" s="141">
        <f t="shared" si="24"/>
        <v>2.862433987174307</v>
      </c>
      <c r="AB115" s="141">
        <f t="shared" si="24"/>
        <v>3.3605627625627932</v>
      </c>
      <c r="AC115" s="141">
        <f t="shared" si="24"/>
        <v>3.3605627625627932</v>
      </c>
      <c r="AD115" s="141">
        <f t="shared" si="24"/>
        <v>3.3605627625627932</v>
      </c>
      <c r="AE115" s="141">
        <f t="shared" si="24"/>
        <v>3.3605627625627932</v>
      </c>
      <c r="AF115" s="141">
        <f t="shared" si="24"/>
        <v>3.3605627625627932</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161</v>
      </c>
      <c r="G116" s="91" t="s">
        <v>271</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0.13347738083351493</v>
      </c>
      <c r="S116" s="352">
        <f t="shared" si="26"/>
        <v>0.13347738083351493</v>
      </c>
      <c r="T116" s="352">
        <f t="shared" si="26"/>
        <v>0.13347738083351493</v>
      </c>
      <c r="U116" s="352">
        <f t="shared" si="26"/>
        <v>0.13347738083351493</v>
      </c>
      <c r="V116" s="352">
        <f t="shared" si="26"/>
        <v>0.13347738083351493</v>
      </c>
      <c r="W116" s="352">
        <f t="shared" si="26"/>
        <v>7.6325289559681084E-2</v>
      </c>
      <c r="X116" s="352">
        <f t="shared" si="26"/>
        <v>7.6325289559681084E-2</v>
      </c>
      <c r="Y116" s="352">
        <f t="shared" si="26"/>
        <v>7.6325289559681084E-2</v>
      </c>
      <c r="Z116" s="352">
        <f t="shared" si="26"/>
        <v>7.6325289559681084E-2</v>
      </c>
      <c r="AA116" s="352">
        <f t="shared" si="26"/>
        <v>7.6325289559681084E-2</v>
      </c>
      <c r="AB116" s="352">
        <f t="shared" si="26"/>
        <v>4.7259125728394052E-2</v>
      </c>
      <c r="AC116" s="352">
        <f t="shared" si="26"/>
        <v>4.7259125728394052E-2</v>
      </c>
      <c r="AD116" s="352">
        <f t="shared" si="26"/>
        <v>4.7259125728394052E-2</v>
      </c>
      <c r="AE116" s="352">
        <f t="shared" si="26"/>
        <v>4.7259125728394052E-2</v>
      </c>
      <c r="AF116" s="352">
        <f t="shared" si="26"/>
        <v>4.7259125728394052E-2</v>
      </c>
      <c r="AG116" s="352">
        <f t="shared" si="26"/>
        <v>0</v>
      </c>
      <c r="AH116" s="352">
        <f t="shared" si="26"/>
        <v>0</v>
      </c>
      <c r="AI116" s="352">
        <f t="shared" si="26"/>
        <v>0</v>
      </c>
      <c r="AJ116" s="352">
        <f t="shared" si="26"/>
        <v>0.10555146965941306</v>
      </c>
      <c r="AK116" s="352">
        <f t="shared" si="26"/>
        <v>0</v>
      </c>
      <c r="AL116" s="352">
        <f t="shared" si="26"/>
        <v>9.6832806963468576E-2</v>
      </c>
      <c r="AM116" s="352">
        <f t="shared" si="26"/>
        <v>0</v>
      </c>
      <c r="AN116" s="352">
        <f t="shared" si="26"/>
        <v>8.46405248447962E-2</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884</v>
      </c>
      <c r="F120" s="60"/>
      <c r="I120" t="s">
        <v>153</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891</v>
      </c>
    </row>
    <row r="121" spans="3:43" x14ac:dyDescent="0.25">
      <c r="E121" s="100"/>
      <c r="F121" s="90" t="s">
        <v>155</v>
      </c>
      <c r="G121" s="90" t="s">
        <v>268</v>
      </c>
      <c r="H121" s="276"/>
      <c r="I121" s="264"/>
      <c r="J121" s="353">
        <f xml:space="preserve"> J110 + J44</f>
        <v>5.2938591475870105</v>
      </c>
      <c r="K121" s="353">
        <f t="shared" ref="K121:AO121" si="27" xml:space="preserve"> K110 + K44</f>
        <v>5.2938591475870105</v>
      </c>
      <c r="L121" s="353">
        <f t="shared" si="27"/>
        <v>6.4186667388773344</v>
      </c>
      <c r="M121" s="353">
        <f t="shared" si="27"/>
        <v>6.4186667388773344</v>
      </c>
      <c r="N121" s="353">
        <f t="shared" si="27"/>
        <v>6.4186667388773344</v>
      </c>
      <c r="O121" s="353">
        <f t="shared" si="27"/>
        <v>6.4186667388773344</v>
      </c>
      <c r="P121" s="353">
        <f t="shared" si="27"/>
        <v>6.4186667388773344</v>
      </c>
      <c r="Q121" s="353">
        <f t="shared" si="27"/>
        <v>6.4186667388773344</v>
      </c>
      <c r="R121" s="353">
        <f t="shared" si="27"/>
        <v>4.4997596707397127</v>
      </c>
      <c r="S121" s="353">
        <f t="shared" si="27"/>
        <v>4.4997596707397127</v>
      </c>
      <c r="T121" s="353">
        <f t="shared" si="27"/>
        <v>4.4997596707397127</v>
      </c>
      <c r="U121" s="353">
        <f t="shared" si="27"/>
        <v>4.4997596707397127</v>
      </c>
      <c r="V121" s="353">
        <f t="shared" si="27"/>
        <v>4.4997596707397127</v>
      </c>
      <c r="W121" s="353">
        <f t="shared" si="27"/>
        <v>2.8296793840814214</v>
      </c>
      <c r="X121" s="353">
        <f t="shared" si="27"/>
        <v>2.8296793840814214</v>
      </c>
      <c r="Y121" s="353">
        <f t="shared" si="27"/>
        <v>2.8296793840814214</v>
      </c>
      <c r="Z121" s="353">
        <f t="shared" si="27"/>
        <v>2.8296793840814214</v>
      </c>
      <c r="AA121" s="353">
        <f t="shared" si="27"/>
        <v>2.8296793840814214</v>
      </c>
      <c r="AB121" s="353">
        <f t="shared" si="27"/>
        <v>1.9303039613019599</v>
      </c>
      <c r="AC121" s="353">
        <f t="shared" si="27"/>
        <v>1.9303039613019599</v>
      </c>
      <c r="AD121" s="353">
        <f t="shared" si="27"/>
        <v>1.9303039613019599</v>
      </c>
      <c r="AE121" s="353">
        <f t="shared" si="27"/>
        <v>1.9303039613019599</v>
      </c>
      <c r="AF121" s="353">
        <f t="shared" si="27"/>
        <v>1.9303039613019599</v>
      </c>
      <c r="AG121" s="353">
        <f t="shared" si="27"/>
        <v>15.820158846719314</v>
      </c>
      <c r="AH121" s="353">
        <f t="shared" si="27"/>
        <v>-3.9153163284981733</v>
      </c>
      <c r="AI121" s="353">
        <f t="shared" si="27"/>
        <v>-3.2363520194065214</v>
      </c>
      <c r="AJ121" s="353">
        <f t="shared" si="27"/>
        <v>-3.9153163284981733</v>
      </c>
      <c r="AK121" s="353">
        <f t="shared" si="27"/>
        <v>-3.9153163284981733</v>
      </c>
      <c r="AL121" s="353">
        <f t="shared" si="27"/>
        <v>-3.2363520194065214</v>
      </c>
      <c r="AM121" s="353">
        <f t="shared" si="27"/>
        <v>-3.2363520194065214</v>
      </c>
      <c r="AN121" s="353">
        <f t="shared" si="27"/>
        <v>-2.1978270768307269</v>
      </c>
      <c r="AO121" s="353">
        <f t="shared" si="27"/>
        <v>-2.1978270768307269</v>
      </c>
      <c r="AP121" s="266"/>
      <c r="AQ121" s="266"/>
    </row>
    <row r="122" spans="3:43" x14ac:dyDescent="0.25">
      <c r="E122" s="100"/>
      <c r="F122" t="s">
        <v>156</v>
      </c>
      <c r="G122" t="s">
        <v>268</v>
      </c>
      <c r="H122" s="277"/>
      <c r="I122" s="266"/>
      <c r="J122" s="354">
        <f t="shared" ref="J122" si="28" xml:space="preserve"> J111 + J45</f>
        <v>1.7412053834091776</v>
      </c>
      <c r="K122" s="354">
        <f t="shared" ref="K122:AO122" si="29" xml:space="preserve"> K111 + K45</f>
        <v>1.7412053834091776</v>
      </c>
      <c r="L122" s="354">
        <f t="shared" si="29"/>
        <v>2.1111663095790658</v>
      </c>
      <c r="M122" s="354">
        <f t="shared" si="29"/>
        <v>2.1111663095790658</v>
      </c>
      <c r="N122" s="354">
        <f t="shared" si="29"/>
        <v>2.1111663095790658</v>
      </c>
      <c r="O122" s="354">
        <f t="shared" si="29"/>
        <v>2.1111663095790658</v>
      </c>
      <c r="P122" s="354">
        <f t="shared" si="29"/>
        <v>2.1111663095790658</v>
      </c>
      <c r="Q122" s="354">
        <f t="shared" si="29"/>
        <v>2.1111663095790658</v>
      </c>
      <c r="R122" s="354">
        <f t="shared" si="29"/>
        <v>1.4431517765522237</v>
      </c>
      <c r="S122" s="354">
        <f t="shared" si="29"/>
        <v>1.4431517765522237</v>
      </c>
      <c r="T122" s="354">
        <f t="shared" si="29"/>
        <v>1.4431517765522237</v>
      </c>
      <c r="U122" s="354">
        <f t="shared" si="29"/>
        <v>1.4431517765522237</v>
      </c>
      <c r="V122" s="354">
        <f t="shared" si="29"/>
        <v>1.4431517765522237</v>
      </c>
      <c r="W122" s="354">
        <f t="shared" si="29"/>
        <v>0.85352965281035553</v>
      </c>
      <c r="X122" s="354">
        <f t="shared" si="29"/>
        <v>0.85352965281035553</v>
      </c>
      <c r="Y122" s="354">
        <f t="shared" si="29"/>
        <v>0.85352965281035553</v>
      </c>
      <c r="Z122" s="354">
        <f t="shared" si="29"/>
        <v>0.85352965281035553</v>
      </c>
      <c r="AA122" s="354">
        <f t="shared" si="29"/>
        <v>0.85352965281035553</v>
      </c>
      <c r="AB122" s="354">
        <f t="shared" si="29"/>
        <v>0.54619707647398175</v>
      </c>
      <c r="AC122" s="354">
        <f t="shared" si="29"/>
        <v>0.54619707647398175</v>
      </c>
      <c r="AD122" s="354">
        <f t="shared" si="29"/>
        <v>0.54619707647398175</v>
      </c>
      <c r="AE122" s="354">
        <f t="shared" si="29"/>
        <v>0.54619707647398175</v>
      </c>
      <c r="AF122" s="354">
        <f t="shared" si="29"/>
        <v>0.54619707647398175</v>
      </c>
      <c r="AG122" s="354">
        <f t="shared" si="29"/>
        <v>2.1454869911103511</v>
      </c>
      <c r="AH122" s="354">
        <f t="shared" si="29"/>
        <v>-1.287788299399371</v>
      </c>
      <c r="AI122" s="354">
        <f t="shared" si="29"/>
        <v>-1.0485928038384174</v>
      </c>
      <c r="AJ122" s="354">
        <f t="shared" si="29"/>
        <v>-1.287788299399371</v>
      </c>
      <c r="AK122" s="354">
        <f t="shared" si="29"/>
        <v>-1.287788299399371</v>
      </c>
      <c r="AL122" s="354">
        <f t="shared" si="29"/>
        <v>-1.0485928038384174</v>
      </c>
      <c r="AM122" s="354">
        <f t="shared" si="29"/>
        <v>-1.0485928038384174</v>
      </c>
      <c r="AN122" s="354">
        <f t="shared" si="29"/>
        <v>-0.66294103578575292</v>
      </c>
      <c r="AO122" s="354">
        <f t="shared" si="29"/>
        <v>-0.66294103578575292</v>
      </c>
      <c r="AP122" s="266"/>
      <c r="AQ122" s="266"/>
    </row>
    <row r="123" spans="3:43" x14ac:dyDescent="0.25">
      <c r="E123" s="100"/>
      <c r="F123" t="s">
        <v>157</v>
      </c>
      <c r="G123" t="s">
        <v>268</v>
      </c>
      <c r="H123" s="277"/>
      <c r="I123" s="266"/>
      <c r="J123" s="354">
        <f t="shared" ref="J123" si="30" xml:space="preserve"> J112 + J46</f>
        <v>0.25725070876601308</v>
      </c>
      <c r="K123" s="354">
        <f t="shared" ref="K123:AO123" si="31" xml:space="preserve"> K112 + K46</f>
        <v>0.25725070876601308</v>
      </c>
      <c r="L123" s="354">
        <f t="shared" si="31"/>
        <v>0.3119098037698384</v>
      </c>
      <c r="M123" s="354">
        <f t="shared" si="31"/>
        <v>0.3119098037698384</v>
      </c>
      <c r="N123" s="354">
        <f t="shared" si="31"/>
        <v>0.3119098037698384</v>
      </c>
      <c r="O123" s="354">
        <f t="shared" si="31"/>
        <v>0.3119098037698384</v>
      </c>
      <c r="P123" s="354">
        <f t="shared" si="31"/>
        <v>0.3119098037698384</v>
      </c>
      <c r="Q123" s="354">
        <f t="shared" si="31"/>
        <v>0.3119098037698384</v>
      </c>
      <c r="R123" s="354">
        <f t="shared" si="31"/>
        <v>0.20756011439443356</v>
      </c>
      <c r="S123" s="354">
        <f t="shared" si="31"/>
        <v>0.20756011439443356</v>
      </c>
      <c r="T123" s="354">
        <f t="shared" si="31"/>
        <v>0.20756011439443356</v>
      </c>
      <c r="U123" s="354">
        <f t="shared" si="31"/>
        <v>0.20756011439443356</v>
      </c>
      <c r="V123" s="354">
        <f t="shared" si="31"/>
        <v>0.20756011439443356</v>
      </c>
      <c r="W123" s="354">
        <f t="shared" si="31"/>
        <v>0.11426321740343361</v>
      </c>
      <c r="X123" s="354">
        <f t="shared" si="31"/>
        <v>0.11426321740343361</v>
      </c>
      <c r="Y123" s="354">
        <f t="shared" si="31"/>
        <v>0.11426321740343361</v>
      </c>
      <c r="Z123" s="354">
        <f t="shared" si="31"/>
        <v>0.11426321740343361</v>
      </c>
      <c r="AA123" s="354">
        <f t="shared" si="31"/>
        <v>0.11426321740343361</v>
      </c>
      <c r="AB123" s="354">
        <f t="shared" si="31"/>
        <v>6.7090042106194347E-2</v>
      </c>
      <c r="AC123" s="354">
        <f t="shared" si="31"/>
        <v>6.7090042106194347E-2</v>
      </c>
      <c r="AD123" s="354">
        <f t="shared" si="31"/>
        <v>6.7090042106194347E-2</v>
      </c>
      <c r="AE123" s="354">
        <f t="shared" si="31"/>
        <v>6.7090042106194347E-2</v>
      </c>
      <c r="AF123" s="354">
        <f t="shared" si="31"/>
        <v>6.7090042106194347E-2</v>
      </c>
      <c r="AG123" s="354">
        <f t="shared" si="31"/>
        <v>0.78456393691528126</v>
      </c>
      <c r="AH123" s="354">
        <f t="shared" si="31"/>
        <v>-0.19026156013395229</v>
      </c>
      <c r="AI123" s="354">
        <f t="shared" si="31"/>
        <v>-0.15248656530221741</v>
      </c>
      <c r="AJ123" s="354">
        <f t="shared" si="31"/>
        <v>-0.19026156013395229</v>
      </c>
      <c r="AK123" s="354">
        <f t="shared" si="31"/>
        <v>-0.19026156013395229</v>
      </c>
      <c r="AL123" s="354">
        <f t="shared" si="31"/>
        <v>-0.15248656530221741</v>
      </c>
      <c r="AM123" s="354">
        <f t="shared" si="31"/>
        <v>-0.15248656530221741</v>
      </c>
      <c r="AN123" s="354">
        <f t="shared" si="31"/>
        <v>-8.874885066761197E-2</v>
      </c>
      <c r="AO123" s="354">
        <f t="shared" si="31"/>
        <v>-8.874885066761197E-2</v>
      </c>
      <c r="AP123" s="266"/>
      <c r="AQ123" s="266"/>
    </row>
    <row r="124" spans="3:43" x14ac:dyDescent="0.25">
      <c r="E124" s="100"/>
      <c r="F124" t="s">
        <v>158</v>
      </c>
      <c r="G124" t="s">
        <v>269</v>
      </c>
      <c r="H124" s="63"/>
      <c r="J124" s="191">
        <f t="shared" ref="J124" si="32" xml:space="preserve"> J113 + J47</f>
        <v>16.991880083492759</v>
      </c>
      <c r="K124" s="191">
        <f t="shared" ref="K124:AO124" si="33" xml:space="preserve"> K113 + K47</f>
        <v>0</v>
      </c>
      <c r="L124" s="191">
        <f t="shared" si="33"/>
        <v>12.303983355225039</v>
      </c>
      <c r="M124" s="191">
        <f t="shared" si="33"/>
        <v>16.356054250645556</v>
      </c>
      <c r="N124" s="191">
        <f t="shared" si="33"/>
        <v>22.649943527082605</v>
      </c>
      <c r="O124" s="191">
        <f t="shared" si="33"/>
        <v>36.912186486858957</v>
      </c>
      <c r="P124" s="191">
        <f t="shared" si="33"/>
        <v>78.24652124541079</v>
      </c>
      <c r="Q124" s="191">
        <f t="shared" si="33"/>
        <v>0</v>
      </c>
      <c r="R124" s="191">
        <f t="shared" si="33"/>
        <v>16.482351125251522</v>
      </c>
      <c r="S124" s="191">
        <f t="shared" si="33"/>
        <v>126.70958744960819</v>
      </c>
      <c r="T124" s="191">
        <f t="shared" si="33"/>
        <v>231.22002565286778</v>
      </c>
      <c r="U124" s="191">
        <f t="shared" si="33"/>
        <v>343.15855310688977</v>
      </c>
      <c r="V124" s="191">
        <f t="shared" si="33"/>
        <v>719.98769099197284</v>
      </c>
      <c r="W124" s="191">
        <f t="shared" si="33"/>
        <v>16.482351125251522</v>
      </c>
      <c r="X124" s="191">
        <f t="shared" si="33"/>
        <v>126.70958744960816</v>
      </c>
      <c r="Y124" s="191">
        <f t="shared" si="33"/>
        <v>231.22002565286778</v>
      </c>
      <c r="Z124" s="191">
        <f t="shared" si="33"/>
        <v>343.15855310688966</v>
      </c>
      <c r="AA124" s="191">
        <f t="shared" si="33"/>
        <v>719.98769099197273</v>
      </c>
      <c r="AB124" s="191">
        <f t="shared" si="33"/>
        <v>431.63757240271184</v>
      </c>
      <c r="AC124" s="191">
        <f t="shared" si="33"/>
        <v>1094.1056617988877</v>
      </c>
      <c r="AD124" s="191">
        <f t="shared" si="33"/>
        <v>2321.3312897593587</v>
      </c>
      <c r="AE124" s="191">
        <f t="shared" si="33"/>
        <v>4527.0739513969802</v>
      </c>
      <c r="AF124" s="191">
        <f t="shared" si="33"/>
        <v>10167.824689525607</v>
      </c>
      <c r="AG124" s="191">
        <f t="shared" si="33"/>
        <v>0</v>
      </c>
      <c r="AH124" s="191">
        <f t="shared" si="33"/>
        <v>0</v>
      </c>
      <c r="AI124" s="191">
        <f t="shared" si="33"/>
        <v>0</v>
      </c>
      <c r="AJ124" s="191">
        <f t="shared" si="33"/>
        <v>0</v>
      </c>
      <c r="AK124" s="191">
        <f t="shared" si="33"/>
        <v>0</v>
      </c>
      <c r="AL124" s="191">
        <f t="shared" si="33"/>
        <v>0</v>
      </c>
      <c r="AM124" s="191">
        <f t="shared" si="33"/>
        <v>0</v>
      </c>
      <c r="AN124" s="191">
        <f t="shared" si="33"/>
        <v>95.926460844785012</v>
      </c>
      <c r="AO124" s="191">
        <f t="shared" si="33"/>
        <v>95.926460844785012</v>
      </c>
    </row>
    <row r="125" spans="3:43" x14ac:dyDescent="0.25">
      <c r="E125" s="100"/>
      <c r="F125" t="s">
        <v>159</v>
      </c>
      <c r="G125" t="s">
        <v>270</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3.6682304258861356</v>
      </c>
      <c r="S125" s="191">
        <f t="shared" si="35"/>
        <v>3.6682304258861356</v>
      </c>
      <c r="T125" s="191">
        <f t="shared" si="35"/>
        <v>3.6682304258861356</v>
      </c>
      <c r="U125" s="191">
        <f t="shared" si="35"/>
        <v>3.6682304258861356</v>
      </c>
      <c r="V125" s="191">
        <f t="shared" si="35"/>
        <v>3.6682304258861356</v>
      </c>
      <c r="W125" s="191">
        <f t="shared" si="35"/>
        <v>2.862433987174307</v>
      </c>
      <c r="X125" s="191">
        <f t="shared" si="35"/>
        <v>2.862433987174307</v>
      </c>
      <c r="Y125" s="191">
        <f t="shared" si="35"/>
        <v>2.862433987174307</v>
      </c>
      <c r="Z125" s="191">
        <f t="shared" si="35"/>
        <v>2.862433987174307</v>
      </c>
      <c r="AA125" s="191">
        <f t="shared" si="35"/>
        <v>2.862433987174307</v>
      </c>
      <c r="AB125" s="191">
        <f t="shared" si="35"/>
        <v>3.3605627625627932</v>
      </c>
      <c r="AC125" s="191">
        <f t="shared" si="35"/>
        <v>3.3605627625627932</v>
      </c>
      <c r="AD125" s="191">
        <f t="shared" si="35"/>
        <v>3.3605627625627932</v>
      </c>
      <c r="AE125" s="191">
        <f t="shared" si="35"/>
        <v>3.3605627625627932</v>
      </c>
      <c r="AF125" s="191">
        <f t="shared" si="35"/>
        <v>3.3605627625627932</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160</v>
      </c>
      <c r="G126" t="s">
        <v>270</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3.6682304258861356</v>
      </c>
      <c r="S126" s="191">
        <f t="shared" si="37"/>
        <v>3.6682304258861356</v>
      </c>
      <c r="T126" s="191">
        <f t="shared" si="37"/>
        <v>3.6682304258861356</v>
      </c>
      <c r="U126" s="191">
        <f t="shared" si="37"/>
        <v>3.6682304258861356</v>
      </c>
      <c r="V126" s="191">
        <f t="shared" si="37"/>
        <v>3.6682304258861356</v>
      </c>
      <c r="W126" s="191">
        <f t="shared" si="37"/>
        <v>2.862433987174307</v>
      </c>
      <c r="X126" s="191">
        <f t="shared" si="37"/>
        <v>2.862433987174307</v>
      </c>
      <c r="Y126" s="191">
        <f t="shared" si="37"/>
        <v>2.862433987174307</v>
      </c>
      <c r="Z126" s="191">
        <f t="shared" si="37"/>
        <v>2.862433987174307</v>
      </c>
      <c r="AA126" s="191">
        <f t="shared" si="37"/>
        <v>2.862433987174307</v>
      </c>
      <c r="AB126" s="191">
        <f t="shared" si="37"/>
        <v>3.3605627625627932</v>
      </c>
      <c r="AC126" s="191">
        <f t="shared" si="37"/>
        <v>3.3605627625627932</v>
      </c>
      <c r="AD126" s="191">
        <f t="shared" si="37"/>
        <v>3.3605627625627932</v>
      </c>
      <c r="AE126" s="191">
        <f t="shared" si="37"/>
        <v>3.3605627625627932</v>
      </c>
      <c r="AF126" s="191">
        <f t="shared" si="37"/>
        <v>3.3605627625627932</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161</v>
      </c>
      <c r="G127" s="91" t="s">
        <v>271</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0.13347738083351493</v>
      </c>
      <c r="S127" s="352">
        <f t="shared" si="39"/>
        <v>0.13347738083351493</v>
      </c>
      <c r="T127" s="352">
        <f t="shared" si="39"/>
        <v>0.13347738083351493</v>
      </c>
      <c r="U127" s="352">
        <f t="shared" si="39"/>
        <v>0.13347738083351493</v>
      </c>
      <c r="V127" s="352">
        <f t="shared" si="39"/>
        <v>0.13347738083351493</v>
      </c>
      <c r="W127" s="352">
        <f t="shared" si="39"/>
        <v>7.6325289559681084E-2</v>
      </c>
      <c r="X127" s="352">
        <f t="shared" si="39"/>
        <v>7.6325289559681084E-2</v>
      </c>
      <c r="Y127" s="352">
        <f t="shared" si="39"/>
        <v>7.6325289559681084E-2</v>
      </c>
      <c r="Z127" s="352">
        <f t="shared" si="39"/>
        <v>7.6325289559681084E-2</v>
      </c>
      <c r="AA127" s="352">
        <f t="shared" si="39"/>
        <v>7.6325289559681084E-2</v>
      </c>
      <c r="AB127" s="352">
        <f t="shared" si="39"/>
        <v>4.7259125728394052E-2</v>
      </c>
      <c r="AC127" s="352">
        <f t="shared" si="39"/>
        <v>4.7259125728394052E-2</v>
      </c>
      <c r="AD127" s="352">
        <f t="shared" si="39"/>
        <v>4.7259125728394052E-2</v>
      </c>
      <c r="AE127" s="352">
        <f t="shared" si="39"/>
        <v>4.7259125728394052E-2</v>
      </c>
      <c r="AF127" s="352">
        <f t="shared" si="39"/>
        <v>4.7259125728394052E-2</v>
      </c>
      <c r="AG127" s="352">
        <f t="shared" si="39"/>
        <v>0</v>
      </c>
      <c r="AH127" s="352">
        <f t="shared" si="39"/>
        <v>0</v>
      </c>
      <c r="AI127" s="352">
        <f t="shared" si="39"/>
        <v>0</v>
      </c>
      <c r="AJ127" s="352">
        <f t="shared" si="39"/>
        <v>0.10555146965941306</v>
      </c>
      <c r="AK127" s="352">
        <f t="shared" si="39"/>
        <v>0</v>
      </c>
      <c r="AL127" s="352">
        <f t="shared" si="39"/>
        <v>9.6832806963468576E-2</v>
      </c>
      <c r="AM127" s="352">
        <f t="shared" si="39"/>
        <v>0</v>
      </c>
      <c r="AN127" s="352">
        <f t="shared" si="39"/>
        <v>8.46405248447962E-2</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885</v>
      </c>
      <c r="I129" t="s">
        <v>153</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891</v>
      </c>
    </row>
    <row r="130" spans="3:43" x14ac:dyDescent="0.25">
      <c r="E130" s="100"/>
      <c r="F130" s="90" t="s">
        <v>155</v>
      </c>
      <c r="G130" s="90" t="s">
        <v>268</v>
      </c>
      <c r="H130" s="276"/>
      <c r="I130" s="264"/>
      <c r="J130" s="281">
        <f t="shared" ref="J130:J136" si="40" xml:space="preserve"> J110 * (1 - J75) + J44</f>
        <v>3.1439693455261635</v>
      </c>
      <c r="K130" s="281">
        <f t="shared" ref="K130:AJ130" si="41" xml:space="preserve"> K110 * (1 - K75) + K44</f>
        <v>3.1439693455261635</v>
      </c>
      <c r="L130" s="281">
        <f t="shared" si="41"/>
        <v>3.8119811849125225</v>
      </c>
      <c r="M130" s="281">
        <f t="shared" si="41"/>
        <v>3.8119811849125225</v>
      </c>
      <c r="N130" s="281">
        <f t="shared" si="41"/>
        <v>3.8119811849125225</v>
      </c>
      <c r="O130" s="281">
        <f t="shared" si="41"/>
        <v>3.8119811849125225</v>
      </c>
      <c r="P130" s="281">
        <f t="shared" si="41"/>
        <v>3.8119811849125225</v>
      </c>
      <c r="Q130" s="281">
        <f t="shared" si="41"/>
        <v>3.8119811849125225</v>
      </c>
      <c r="R130" s="281">
        <f t="shared" si="41"/>
        <v>2.6723617067690477</v>
      </c>
      <c r="S130" s="281">
        <f t="shared" si="41"/>
        <v>2.6723617067690477</v>
      </c>
      <c r="T130" s="281">
        <f t="shared" si="41"/>
        <v>2.6723617067690477</v>
      </c>
      <c r="U130" s="281">
        <f t="shared" si="41"/>
        <v>2.6723617067690477</v>
      </c>
      <c r="V130" s="281">
        <f t="shared" si="41"/>
        <v>2.6723617067690477</v>
      </c>
      <c r="W130" s="278"/>
      <c r="X130" s="278"/>
      <c r="Y130" s="278"/>
      <c r="Z130" s="278"/>
      <c r="AA130" s="278"/>
      <c r="AB130" s="278"/>
      <c r="AC130" s="278"/>
      <c r="AD130" s="278"/>
      <c r="AE130" s="278"/>
      <c r="AF130" s="278"/>
      <c r="AG130" s="281">
        <f t="shared" si="41"/>
        <v>9.3954321542746655</v>
      </c>
      <c r="AH130" s="281">
        <f t="shared" si="41"/>
        <v>-3.9153163284981733</v>
      </c>
      <c r="AI130" s="278"/>
      <c r="AJ130" s="281">
        <f t="shared" si="41"/>
        <v>-3.9153163284981733</v>
      </c>
      <c r="AK130" s="278"/>
      <c r="AL130" s="278"/>
      <c r="AM130" s="278"/>
      <c r="AN130" s="278"/>
      <c r="AO130" s="278"/>
      <c r="AP130" s="266"/>
      <c r="AQ130" s="266"/>
    </row>
    <row r="131" spans="3:43" x14ac:dyDescent="0.25">
      <c r="E131" s="100"/>
      <c r="F131" t="s">
        <v>156</v>
      </c>
      <c r="G131" t="s">
        <v>268</v>
      </c>
      <c r="H131" s="277"/>
      <c r="I131" s="266"/>
      <c r="J131" s="354">
        <f t="shared" si="40"/>
        <v>1.0340842468766513</v>
      </c>
      <c r="K131" s="354">
        <f t="shared" ref="K131:AJ131" si="42" xml:space="preserve"> K111 * (1 - K76) + K45</f>
        <v>1.0340842468766513</v>
      </c>
      <c r="L131" s="354">
        <f t="shared" si="42"/>
        <v>1.2538002949416567</v>
      </c>
      <c r="M131" s="354">
        <f t="shared" si="42"/>
        <v>1.2538002949416567</v>
      </c>
      <c r="N131" s="354">
        <f t="shared" si="42"/>
        <v>1.2538002949416567</v>
      </c>
      <c r="O131" s="354">
        <f t="shared" si="42"/>
        <v>1.2538002949416567</v>
      </c>
      <c r="P131" s="354">
        <f t="shared" si="42"/>
        <v>1.2538002949416567</v>
      </c>
      <c r="Q131" s="354">
        <f t="shared" si="42"/>
        <v>1.2538002949416567</v>
      </c>
      <c r="R131" s="354">
        <f t="shared" si="42"/>
        <v>0.85707322766415572</v>
      </c>
      <c r="S131" s="354">
        <f t="shared" si="42"/>
        <v>0.85707322766415572</v>
      </c>
      <c r="T131" s="354">
        <f t="shared" si="42"/>
        <v>0.85707322766415572</v>
      </c>
      <c r="U131" s="354">
        <f t="shared" si="42"/>
        <v>0.85707322766415572</v>
      </c>
      <c r="V131" s="354">
        <f t="shared" si="42"/>
        <v>0.85707322766415572</v>
      </c>
      <c r="W131" s="292"/>
      <c r="X131" s="292"/>
      <c r="Y131" s="292"/>
      <c r="Z131" s="292"/>
      <c r="AA131" s="292"/>
      <c r="AB131" s="292"/>
      <c r="AC131" s="292"/>
      <c r="AD131" s="292"/>
      <c r="AE131" s="292"/>
      <c r="AF131" s="292"/>
      <c r="AG131" s="354">
        <f t="shared" si="42"/>
        <v>1.2741830001938563</v>
      </c>
      <c r="AH131" s="354">
        <f t="shared" si="42"/>
        <v>-1.287788299399371</v>
      </c>
      <c r="AI131" s="292"/>
      <c r="AJ131" s="354">
        <f t="shared" si="42"/>
        <v>-1.287788299399371</v>
      </c>
      <c r="AK131" s="292"/>
      <c r="AL131" s="292"/>
      <c r="AM131" s="292"/>
      <c r="AN131" s="292"/>
      <c r="AO131" s="292"/>
      <c r="AP131" s="266"/>
      <c r="AQ131" s="266"/>
    </row>
    <row r="132" spans="3:43" x14ac:dyDescent="0.25">
      <c r="E132" s="100"/>
      <c r="F132" t="s">
        <v>157</v>
      </c>
      <c r="G132" t="s">
        <v>268</v>
      </c>
      <c r="H132" s="277"/>
      <c r="I132" s="266"/>
      <c r="J132" s="354">
        <f t="shared" si="40"/>
        <v>0.152778591180288</v>
      </c>
      <c r="K132" s="354">
        <f t="shared" ref="K132:AJ132" si="43" xml:space="preserve"> K112 * (1 - K77) + K46</f>
        <v>0.152778591180288</v>
      </c>
      <c r="L132" s="354">
        <f t="shared" si="43"/>
        <v>0.1852400742600859</v>
      </c>
      <c r="M132" s="354">
        <f t="shared" si="43"/>
        <v>0.1852400742600859</v>
      </c>
      <c r="N132" s="354">
        <f t="shared" si="43"/>
        <v>0.1852400742600859</v>
      </c>
      <c r="O132" s="354">
        <f t="shared" si="43"/>
        <v>0.1852400742600859</v>
      </c>
      <c r="P132" s="354">
        <f t="shared" si="43"/>
        <v>0.1852400742600859</v>
      </c>
      <c r="Q132" s="354">
        <f t="shared" si="43"/>
        <v>0.1852400742600859</v>
      </c>
      <c r="R132" s="354">
        <f t="shared" si="43"/>
        <v>0.12326785031812698</v>
      </c>
      <c r="S132" s="354">
        <f t="shared" si="43"/>
        <v>0.12326785031812698</v>
      </c>
      <c r="T132" s="354">
        <f t="shared" si="43"/>
        <v>0.12326785031812698</v>
      </c>
      <c r="U132" s="354">
        <f t="shared" si="43"/>
        <v>0.12326785031812698</v>
      </c>
      <c r="V132" s="354">
        <f t="shared" si="43"/>
        <v>0.12326785031812698</v>
      </c>
      <c r="W132" s="292"/>
      <c r="X132" s="292"/>
      <c r="Y132" s="292"/>
      <c r="Z132" s="292"/>
      <c r="AA132" s="292"/>
      <c r="AB132" s="292"/>
      <c r="AC132" s="292"/>
      <c r="AD132" s="292"/>
      <c r="AE132" s="292"/>
      <c r="AF132" s="292"/>
      <c r="AG132" s="354">
        <f t="shared" si="43"/>
        <v>0.46594457814225876</v>
      </c>
      <c r="AH132" s="354">
        <f t="shared" si="43"/>
        <v>-0.19026156013395229</v>
      </c>
      <c r="AI132" s="292"/>
      <c r="AJ132" s="354">
        <f t="shared" si="43"/>
        <v>-0.19026156013395229</v>
      </c>
      <c r="AK132" s="292"/>
      <c r="AL132" s="292"/>
      <c r="AM132" s="292"/>
      <c r="AN132" s="292"/>
      <c r="AO132" s="292"/>
      <c r="AP132" s="266"/>
      <c r="AQ132" s="266"/>
    </row>
    <row r="133" spans="3:43" x14ac:dyDescent="0.25">
      <c r="E133" s="100"/>
      <c r="F133" t="s">
        <v>158</v>
      </c>
      <c r="G133" t="s">
        <v>269</v>
      </c>
      <c r="H133" s="63"/>
      <c r="J133" s="191">
        <f t="shared" si="40"/>
        <v>10.090343329483156</v>
      </c>
      <c r="K133" s="191">
        <f t="shared" ref="K133:AJ133" si="44" xml:space="preserve"> K113 * (1 - K78) + K47</f>
        <v>0</v>
      </c>
      <c r="L133" s="191">
        <f t="shared" si="44"/>
        <v>7.3062489292035258</v>
      </c>
      <c r="M133" s="191">
        <f t="shared" si="44"/>
        <v>9.71273280532019</v>
      </c>
      <c r="N133" s="191">
        <f t="shared" si="44"/>
        <v>13.450609918706062</v>
      </c>
      <c r="O133" s="191">
        <f t="shared" si="44"/>
        <v>21.920811602183363</v>
      </c>
      <c r="P133" s="191">
        <f t="shared" si="44"/>
        <v>46.468854490297929</v>
      </c>
      <c r="Q133" s="191">
        <f t="shared" si="44"/>
        <v>0</v>
      </c>
      <c r="R133" s="191">
        <f t="shared" si="44"/>
        <v>9.7877392403474435</v>
      </c>
      <c r="S133" s="191">
        <f t="shared" si="44"/>
        <v>75.25057880301442</v>
      </c>
      <c r="T133" s="191">
        <f t="shared" si="44"/>
        <v>137.31826984619664</v>
      </c>
      <c r="U133" s="191">
        <f t="shared" si="44"/>
        <v>203.79742788333434</v>
      </c>
      <c r="V133" s="191">
        <f t="shared" si="44"/>
        <v>427.59243734288304</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159</v>
      </c>
      <c r="G134" t="s">
        <v>270</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2.178524907782851</v>
      </c>
      <c r="S134" s="191">
        <f t="shared" si="45"/>
        <v>2.178524907782851</v>
      </c>
      <c r="T134" s="191">
        <f t="shared" si="45"/>
        <v>2.178524907782851</v>
      </c>
      <c r="U134" s="191">
        <f t="shared" si="45"/>
        <v>2.178524907782851</v>
      </c>
      <c r="V134" s="191">
        <f t="shared" si="45"/>
        <v>2.178524907782851</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160</v>
      </c>
      <c r="G135" t="s">
        <v>270</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2.178524907782851</v>
      </c>
      <c r="S135" s="191">
        <f t="shared" si="46"/>
        <v>2.178524907782851</v>
      </c>
      <c r="T135" s="191">
        <f t="shared" si="46"/>
        <v>2.178524907782851</v>
      </c>
      <c r="U135" s="191">
        <f t="shared" si="46"/>
        <v>2.178524907782851</v>
      </c>
      <c r="V135" s="191">
        <f t="shared" si="46"/>
        <v>2.178524907782851</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161</v>
      </c>
      <c r="G136" s="91" t="s">
        <v>271</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7.9270864970589966E-2</v>
      </c>
      <c r="S136" s="352">
        <f t="shared" si="47"/>
        <v>7.9270864970589966E-2</v>
      </c>
      <c r="T136" s="352">
        <f t="shared" si="47"/>
        <v>7.9270864970589966E-2</v>
      </c>
      <c r="U136" s="352">
        <f t="shared" si="47"/>
        <v>7.9270864970589966E-2</v>
      </c>
      <c r="V136" s="352">
        <f t="shared" si="47"/>
        <v>7.9270864970589966E-2</v>
      </c>
      <c r="W136" s="274"/>
      <c r="X136" s="274"/>
      <c r="Y136" s="274"/>
      <c r="Z136" s="274"/>
      <c r="AA136" s="274"/>
      <c r="AB136" s="274"/>
      <c r="AC136" s="274"/>
      <c r="AD136" s="274"/>
      <c r="AE136" s="274"/>
      <c r="AF136" s="274"/>
      <c r="AG136" s="352">
        <f t="shared" si="47"/>
        <v>0</v>
      </c>
      <c r="AH136" s="352">
        <f t="shared" si="47"/>
        <v>0</v>
      </c>
      <c r="AI136" s="274"/>
      <c r="AJ136" s="352">
        <f t="shared" si="47"/>
        <v>0.10555146965941306</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886</v>
      </c>
      <c r="I138" t="s">
        <v>153</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891</v>
      </c>
    </row>
    <row r="139" spans="3:43" x14ac:dyDescent="0.25">
      <c r="C139" s="100"/>
      <c r="F139" s="90" t="s">
        <v>155</v>
      </c>
      <c r="G139" s="90" t="s">
        <v>268</v>
      </c>
      <c r="H139" s="276"/>
      <c r="I139" s="264"/>
      <c r="J139" s="281">
        <f t="shared" ref="J139:J145" si="48">J110 * (1 - J84) + J44</f>
        <v>2.1841455208117502</v>
      </c>
      <c r="K139" s="281">
        <f t="shared" ref="K139:AN139" si="49">K110 * (1 - K84) + K44</f>
        <v>2.1841455208117502</v>
      </c>
      <c r="L139" s="281">
        <f t="shared" si="49"/>
        <v>2.6482197233548272</v>
      </c>
      <c r="M139" s="281">
        <f t="shared" si="49"/>
        <v>2.6482197233548272</v>
      </c>
      <c r="N139" s="281">
        <f t="shared" si="49"/>
        <v>2.6482197233548272</v>
      </c>
      <c r="O139" s="281">
        <f t="shared" si="49"/>
        <v>2.6482197233548272</v>
      </c>
      <c r="P139" s="281">
        <f t="shared" si="49"/>
        <v>2.6482197233548272</v>
      </c>
      <c r="Q139" s="281">
        <f t="shared" si="49"/>
        <v>2.6482197233548272</v>
      </c>
      <c r="R139" s="281">
        <f t="shared" si="49"/>
        <v>1.8565151915791434</v>
      </c>
      <c r="S139" s="281">
        <f t="shared" si="49"/>
        <v>1.8565151915791434</v>
      </c>
      <c r="T139" s="281">
        <f t="shared" si="49"/>
        <v>1.8565151915791434</v>
      </c>
      <c r="U139" s="281">
        <f t="shared" si="49"/>
        <v>1.8565151915791434</v>
      </c>
      <c r="V139" s="281">
        <f t="shared" si="49"/>
        <v>1.8565151915791434</v>
      </c>
      <c r="W139" s="281">
        <f t="shared" si="49"/>
        <v>1.9748658486620625</v>
      </c>
      <c r="X139" s="281">
        <f t="shared" si="49"/>
        <v>1.9748658486620625</v>
      </c>
      <c r="Y139" s="281">
        <f t="shared" si="49"/>
        <v>1.9748658486620625</v>
      </c>
      <c r="Z139" s="281">
        <f t="shared" si="49"/>
        <v>1.9748658486620625</v>
      </c>
      <c r="AA139" s="281">
        <f t="shared" si="49"/>
        <v>1.9748658486620625</v>
      </c>
      <c r="AB139" s="281">
        <f t="shared" si="49"/>
        <v>1.6869611146803445</v>
      </c>
      <c r="AC139" s="281">
        <f t="shared" si="49"/>
        <v>1.6869611146803445</v>
      </c>
      <c r="AD139" s="281">
        <f t="shared" si="49"/>
        <v>1.6869611146803445</v>
      </c>
      <c r="AE139" s="281">
        <f t="shared" si="49"/>
        <v>1.6869611146803445</v>
      </c>
      <c r="AF139" s="281">
        <f t="shared" si="49"/>
        <v>1.6869611146803445</v>
      </c>
      <c r="AG139" s="281">
        <f t="shared" si="49"/>
        <v>6.52709641875194</v>
      </c>
      <c r="AH139" s="281">
        <f t="shared" si="49"/>
        <v>-3.9153163284981733</v>
      </c>
      <c r="AI139" s="281">
        <f t="shared" si="49"/>
        <v>-3.2363520194065214</v>
      </c>
      <c r="AJ139" s="281">
        <f t="shared" si="49"/>
        <v>-3.9153163284981733</v>
      </c>
      <c r="AK139" s="278"/>
      <c r="AL139" s="281">
        <f t="shared" si="49"/>
        <v>-3.2363520194065214</v>
      </c>
      <c r="AM139" s="278"/>
      <c r="AN139" s="281">
        <f t="shared" si="49"/>
        <v>-2.1978270768307269</v>
      </c>
      <c r="AO139" s="278"/>
      <c r="AP139" s="266"/>
      <c r="AQ139" s="266"/>
    </row>
    <row r="140" spans="3:43" x14ac:dyDescent="0.25">
      <c r="C140" s="100"/>
      <c r="F140" t="s">
        <v>156</v>
      </c>
      <c r="G140" t="s">
        <v>268</v>
      </c>
      <c r="H140" s="277"/>
      <c r="I140" s="266"/>
      <c r="J140" s="354">
        <f t="shared" si="48"/>
        <v>0.71838819903622197</v>
      </c>
      <c r="K140" s="354">
        <f t="shared" ref="K140:AN140" si="50">K111 * (1 - K85) + K45</f>
        <v>0.71838819903622197</v>
      </c>
      <c r="L140" s="354">
        <f t="shared" si="50"/>
        <v>0.87102703532593395</v>
      </c>
      <c r="M140" s="354">
        <f t="shared" si="50"/>
        <v>0.87102703532593395</v>
      </c>
      <c r="N140" s="354">
        <f t="shared" si="50"/>
        <v>0.87102703532593395</v>
      </c>
      <c r="O140" s="354">
        <f t="shared" si="50"/>
        <v>0.87102703532593395</v>
      </c>
      <c r="P140" s="354">
        <f t="shared" si="50"/>
        <v>0.87102703532593395</v>
      </c>
      <c r="Q140" s="354">
        <f t="shared" si="50"/>
        <v>0.87102703532593395</v>
      </c>
      <c r="R140" s="354">
        <f t="shared" si="50"/>
        <v>0.59541695400883388</v>
      </c>
      <c r="S140" s="354">
        <f t="shared" si="50"/>
        <v>0.59541695400883388</v>
      </c>
      <c r="T140" s="354">
        <f t="shared" si="50"/>
        <v>0.59541695400883388</v>
      </c>
      <c r="U140" s="354">
        <f t="shared" si="50"/>
        <v>0.59541695400883388</v>
      </c>
      <c r="V140" s="354">
        <f t="shared" si="50"/>
        <v>0.59541695400883388</v>
      </c>
      <c r="W140" s="354">
        <f t="shared" si="50"/>
        <v>0.59568817995355494</v>
      </c>
      <c r="X140" s="354">
        <f t="shared" si="50"/>
        <v>0.59568817995355494</v>
      </c>
      <c r="Y140" s="354">
        <f t="shared" si="50"/>
        <v>0.59568817995355494</v>
      </c>
      <c r="Z140" s="354">
        <f t="shared" si="50"/>
        <v>0.59568817995355494</v>
      </c>
      <c r="AA140" s="354">
        <f t="shared" si="50"/>
        <v>0.59568817995355494</v>
      </c>
      <c r="AB140" s="354">
        <f t="shared" si="50"/>
        <v>0.47734100299012744</v>
      </c>
      <c r="AC140" s="354">
        <f t="shared" si="50"/>
        <v>0.47734100299012744</v>
      </c>
      <c r="AD140" s="354">
        <f t="shared" si="50"/>
        <v>0.47734100299012744</v>
      </c>
      <c r="AE140" s="354">
        <f t="shared" si="50"/>
        <v>0.47734100299012744</v>
      </c>
      <c r="AF140" s="354">
        <f t="shared" si="50"/>
        <v>0.47734100299012744</v>
      </c>
      <c r="AG140" s="354">
        <f t="shared" si="50"/>
        <v>0.88518709526480321</v>
      </c>
      <c r="AH140" s="354">
        <f t="shared" si="50"/>
        <v>-1.287788299399371</v>
      </c>
      <c r="AI140" s="354">
        <f t="shared" si="50"/>
        <v>-1.0485928038384174</v>
      </c>
      <c r="AJ140" s="354">
        <f t="shared" si="50"/>
        <v>-1.287788299399371</v>
      </c>
      <c r="AK140" s="292"/>
      <c r="AL140" s="354">
        <f t="shared" si="50"/>
        <v>-1.0485928038384174</v>
      </c>
      <c r="AM140" s="292"/>
      <c r="AN140" s="354">
        <f t="shared" si="50"/>
        <v>-0.66294103578575292</v>
      </c>
      <c r="AO140" s="292"/>
      <c r="AP140" s="266"/>
      <c r="AQ140" s="266"/>
    </row>
    <row r="141" spans="3:43" x14ac:dyDescent="0.25">
      <c r="C141" s="100"/>
      <c r="F141" t="s">
        <v>157</v>
      </c>
      <c r="G141" t="s">
        <v>268</v>
      </c>
      <c r="H141" s="277"/>
      <c r="I141" s="266"/>
      <c r="J141" s="354">
        <f t="shared" si="48"/>
        <v>0.10613674591872026</v>
      </c>
      <c r="K141" s="354">
        <f t="shared" ref="K141:AN141" si="51">K112 * (1 - K86) + K46</f>
        <v>0.10613674591872026</v>
      </c>
      <c r="L141" s="354">
        <f t="shared" si="51"/>
        <v>0.12868804813435344</v>
      </c>
      <c r="M141" s="354">
        <f t="shared" si="51"/>
        <v>0.12868804813435344</v>
      </c>
      <c r="N141" s="354">
        <f t="shared" si="51"/>
        <v>0.12868804813435344</v>
      </c>
      <c r="O141" s="354">
        <f t="shared" si="51"/>
        <v>0.12868804813435344</v>
      </c>
      <c r="P141" s="354">
        <f t="shared" si="51"/>
        <v>0.12868804813435344</v>
      </c>
      <c r="Q141" s="354">
        <f t="shared" si="51"/>
        <v>0.12868804813435344</v>
      </c>
      <c r="R141" s="354">
        <f t="shared" si="51"/>
        <v>8.5635352493353314E-2</v>
      </c>
      <c r="S141" s="354">
        <f t="shared" si="51"/>
        <v>8.5635352493353314E-2</v>
      </c>
      <c r="T141" s="354">
        <f t="shared" si="51"/>
        <v>8.5635352493353314E-2</v>
      </c>
      <c r="U141" s="354">
        <f t="shared" si="51"/>
        <v>8.5635352493353314E-2</v>
      </c>
      <c r="V141" s="354">
        <f t="shared" si="51"/>
        <v>8.5635352493353314E-2</v>
      </c>
      <c r="W141" s="354">
        <f t="shared" si="51"/>
        <v>7.9745616085598436E-2</v>
      </c>
      <c r="X141" s="354">
        <f t="shared" si="51"/>
        <v>7.9745616085598436E-2</v>
      </c>
      <c r="Y141" s="354">
        <f t="shared" si="51"/>
        <v>7.9745616085598436E-2</v>
      </c>
      <c r="Z141" s="354">
        <f t="shared" si="51"/>
        <v>7.9745616085598436E-2</v>
      </c>
      <c r="AA141" s="354">
        <f t="shared" si="51"/>
        <v>7.9745616085598436E-2</v>
      </c>
      <c r="AB141" s="354">
        <f t="shared" si="51"/>
        <v>5.8632368002332583E-2</v>
      </c>
      <c r="AC141" s="354">
        <f t="shared" si="51"/>
        <v>5.8632368002332583E-2</v>
      </c>
      <c r="AD141" s="354">
        <f t="shared" si="51"/>
        <v>5.8632368002332583E-2</v>
      </c>
      <c r="AE141" s="354">
        <f t="shared" si="51"/>
        <v>5.8632368002332583E-2</v>
      </c>
      <c r="AF141" s="354">
        <f t="shared" si="51"/>
        <v>5.8632368002332583E-2</v>
      </c>
      <c r="AG141" s="354">
        <f t="shared" si="51"/>
        <v>0.32369614695642585</v>
      </c>
      <c r="AH141" s="354">
        <f t="shared" si="51"/>
        <v>-0.19026156013395229</v>
      </c>
      <c r="AI141" s="354">
        <f t="shared" si="51"/>
        <v>-0.15248656530221741</v>
      </c>
      <c r="AJ141" s="354">
        <f t="shared" si="51"/>
        <v>-0.19026156013395229</v>
      </c>
      <c r="AK141" s="292"/>
      <c r="AL141" s="354">
        <f t="shared" si="51"/>
        <v>-0.15248656530221741</v>
      </c>
      <c r="AM141" s="292"/>
      <c r="AN141" s="354">
        <f t="shared" si="51"/>
        <v>-8.874885066761197E-2</v>
      </c>
      <c r="AO141" s="292"/>
      <c r="AP141" s="266"/>
      <c r="AQ141" s="266"/>
    </row>
    <row r="142" spans="3:43" x14ac:dyDescent="0.25">
      <c r="C142" s="100"/>
      <c r="F142" t="s">
        <v>158</v>
      </c>
      <c r="G142" t="s">
        <v>269</v>
      </c>
      <c r="H142" s="63"/>
      <c r="J142" s="191">
        <f t="shared" si="48"/>
        <v>7.0091345171567339</v>
      </c>
      <c r="K142" s="191">
        <f t="shared" ref="K142:AN142" si="52">K113 * (1 - K87) + K47</f>
        <v>0</v>
      </c>
      <c r="L142" s="191">
        <f t="shared" si="52"/>
        <v>5.0749975566482464</v>
      </c>
      <c r="M142" s="191">
        <f t="shared" si="52"/>
        <v>6.7468048808530146</v>
      </c>
      <c r="N142" s="191">
        <f t="shared" si="52"/>
        <v>9.3435437982231502</v>
      </c>
      <c r="O142" s="191">
        <f t="shared" si="52"/>
        <v>15.227873775442751</v>
      </c>
      <c r="P142" s="191">
        <f t="shared" si="52"/>
        <v>32.28163353778455</v>
      </c>
      <c r="Q142" s="191">
        <f t="shared" si="52"/>
        <v>0</v>
      </c>
      <c r="R142" s="191">
        <f t="shared" si="52"/>
        <v>6.7989125673767257</v>
      </c>
      <c r="S142" s="191">
        <f t="shared" si="52"/>
        <v>52.276572206099637</v>
      </c>
      <c r="T142" s="191">
        <f t="shared" si="52"/>
        <v>95.39558975377436</v>
      </c>
      <c r="U142" s="191">
        <f t="shared" si="52"/>
        <v>141.57929553982763</v>
      </c>
      <c r="V142" s="191">
        <f t="shared" si="52"/>
        <v>297.05182525346981</v>
      </c>
      <c r="W142" s="191">
        <f t="shared" si="52"/>
        <v>11.502507034063132</v>
      </c>
      <c r="X142" s="191">
        <f t="shared" si="52"/>
        <v>88.43136541779819</v>
      </c>
      <c r="Y142" s="191">
        <f t="shared" si="52"/>
        <v>161.37040451792032</v>
      </c>
      <c r="Z142" s="191">
        <f t="shared" si="52"/>
        <v>239.49359270032664</v>
      </c>
      <c r="AA142" s="191">
        <f t="shared" si="52"/>
        <v>502.48699024794251</v>
      </c>
      <c r="AB142" s="191">
        <f t="shared" si="52"/>
        <v>377.22308937871651</v>
      </c>
      <c r="AC142" s="191">
        <f t="shared" si="52"/>
        <v>956.1774555989233</v>
      </c>
      <c r="AD142" s="191">
        <f t="shared" si="52"/>
        <v>2028.6934711139668</v>
      </c>
      <c r="AE142" s="191">
        <f t="shared" si="52"/>
        <v>3956.3702379711581</v>
      </c>
      <c r="AF142" s="191">
        <f t="shared" si="52"/>
        <v>8886.0224293334122</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159</v>
      </c>
      <c r="G143" t="s">
        <v>270</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1.5134420525065353</v>
      </c>
      <c r="S143" s="191">
        <f t="shared" si="53"/>
        <v>1.5134420525065353</v>
      </c>
      <c r="T143" s="191">
        <f t="shared" si="53"/>
        <v>1.5134420525065353</v>
      </c>
      <c r="U143" s="191">
        <f t="shared" si="53"/>
        <v>1.5134420525065353</v>
      </c>
      <c r="V143" s="191">
        <f t="shared" si="53"/>
        <v>1.5134420525065353</v>
      </c>
      <c r="W143" s="191">
        <f t="shared" si="53"/>
        <v>1.9977256635932226</v>
      </c>
      <c r="X143" s="191">
        <f t="shared" si="53"/>
        <v>1.9977256635932226</v>
      </c>
      <c r="Y143" s="191">
        <f t="shared" si="53"/>
        <v>1.9977256635932226</v>
      </c>
      <c r="Z143" s="191">
        <f t="shared" si="53"/>
        <v>1.9977256635932226</v>
      </c>
      <c r="AA143" s="191">
        <f t="shared" si="53"/>
        <v>1.9977256635932226</v>
      </c>
      <c r="AB143" s="191">
        <f t="shared" si="53"/>
        <v>2.9369150235087544</v>
      </c>
      <c r="AC143" s="191">
        <f t="shared" si="53"/>
        <v>2.9369150235087544</v>
      </c>
      <c r="AD143" s="191">
        <f t="shared" si="53"/>
        <v>2.9369150235087544</v>
      </c>
      <c r="AE143" s="191">
        <f t="shared" si="53"/>
        <v>2.9369150235087544</v>
      </c>
      <c r="AF143" s="191">
        <f t="shared" si="53"/>
        <v>2.9369150235087544</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160</v>
      </c>
      <c r="G144" t="s">
        <v>270</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1.5134420525065353</v>
      </c>
      <c r="S144" s="191">
        <f t="shared" si="54"/>
        <v>1.5134420525065353</v>
      </c>
      <c r="T144" s="191">
        <f t="shared" si="54"/>
        <v>1.5134420525065353</v>
      </c>
      <c r="U144" s="191">
        <f t="shared" si="54"/>
        <v>1.5134420525065353</v>
      </c>
      <c r="V144" s="191">
        <f t="shared" si="54"/>
        <v>1.5134420525065353</v>
      </c>
      <c r="W144" s="191">
        <f t="shared" si="54"/>
        <v>1.9977256635932226</v>
      </c>
      <c r="X144" s="191">
        <f t="shared" si="54"/>
        <v>1.9977256635932226</v>
      </c>
      <c r="Y144" s="191">
        <f t="shared" si="54"/>
        <v>1.9977256635932226</v>
      </c>
      <c r="Z144" s="191">
        <f t="shared" si="54"/>
        <v>1.9977256635932226</v>
      </c>
      <c r="AA144" s="191">
        <f t="shared" si="54"/>
        <v>1.9977256635932226</v>
      </c>
      <c r="AB144" s="191">
        <f t="shared" si="54"/>
        <v>2.9369150235087544</v>
      </c>
      <c r="AC144" s="191">
        <f t="shared" si="54"/>
        <v>2.9369150235087544</v>
      </c>
      <c r="AD144" s="191">
        <f t="shared" si="54"/>
        <v>2.9369150235087544</v>
      </c>
      <c r="AE144" s="191">
        <f t="shared" si="54"/>
        <v>2.9369150235087544</v>
      </c>
      <c r="AF144" s="191">
        <f t="shared" si="54"/>
        <v>2.9369150235087544</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161</v>
      </c>
      <c r="G145" s="91" t="s">
        <v>271</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5.5070226719214785E-2</v>
      </c>
      <c r="S145" s="352">
        <f t="shared" si="55"/>
        <v>5.5070226719214785E-2</v>
      </c>
      <c r="T145" s="352">
        <f t="shared" si="55"/>
        <v>5.5070226719214785E-2</v>
      </c>
      <c r="U145" s="352">
        <f t="shared" si="55"/>
        <v>5.5070226719214785E-2</v>
      </c>
      <c r="V145" s="352">
        <f t="shared" si="55"/>
        <v>5.5070226719214785E-2</v>
      </c>
      <c r="W145" s="352">
        <f t="shared" si="55"/>
        <v>5.3268299083144489E-2</v>
      </c>
      <c r="X145" s="352">
        <f t="shared" si="55"/>
        <v>5.3268299083144489E-2</v>
      </c>
      <c r="Y145" s="352">
        <f t="shared" si="55"/>
        <v>5.3268299083144489E-2</v>
      </c>
      <c r="Z145" s="352">
        <f t="shared" si="55"/>
        <v>5.3268299083144489E-2</v>
      </c>
      <c r="AA145" s="352">
        <f t="shared" si="55"/>
        <v>5.3268299083144489E-2</v>
      </c>
      <c r="AB145" s="352">
        <f t="shared" si="55"/>
        <v>4.1301426622891754E-2</v>
      </c>
      <c r="AC145" s="352">
        <f t="shared" si="55"/>
        <v>4.1301426622891754E-2</v>
      </c>
      <c r="AD145" s="352">
        <f t="shared" si="55"/>
        <v>4.1301426622891754E-2</v>
      </c>
      <c r="AE145" s="352">
        <f t="shared" si="55"/>
        <v>4.1301426622891754E-2</v>
      </c>
      <c r="AF145" s="352">
        <f t="shared" si="55"/>
        <v>4.1301426622891754E-2</v>
      </c>
      <c r="AG145" s="352">
        <f t="shared" si="55"/>
        <v>0</v>
      </c>
      <c r="AH145" s="352">
        <f t="shared" si="55"/>
        <v>0</v>
      </c>
      <c r="AI145" s="352">
        <f t="shared" si="55"/>
        <v>0</v>
      </c>
      <c r="AJ145" s="352">
        <f t="shared" si="55"/>
        <v>0.10555146965941306</v>
      </c>
      <c r="AK145" s="274"/>
      <c r="AL145" s="352">
        <f t="shared" si="55"/>
        <v>9.6832806963468576E-2</v>
      </c>
      <c r="AM145" s="274"/>
      <c r="AN145" s="352">
        <f t="shared" si="55"/>
        <v>8.46405248447962E-2</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751</v>
      </c>
      <c r="F149" s="60"/>
      <c r="I149" t="s">
        <v>153</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154</v>
      </c>
    </row>
    <row r="150" spans="1:43" x14ac:dyDescent="0.25">
      <c r="E150" s="100"/>
      <c r="F150" s="90" t="s">
        <v>155</v>
      </c>
      <c r="G150" s="90" t="s">
        <v>268</v>
      </c>
      <c r="H150" s="276"/>
      <c r="I150" s="264"/>
      <c r="J150" s="350">
        <f t="shared" ref="J150" si="56">ROUND(J121, $H95)</f>
        <v>5.2939999999999996</v>
      </c>
      <c r="K150" s="350">
        <f t="shared" ref="K150:AO150" si="57">ROUND(K121, $H95)</f>
        <v>5.2939999999999996</v>
      </c>
      <c r="L150" s="350">
        <f t="shared" si="57"/>
        <v>6.4189999999999996</v>
      </c>
      <c r="M150" s="350">
        <f t="shared" si="57"/>
        <v>6.4189999999999996</v>
      </c>
      <c r="N150" s="350">
        <f t="shared" si="57"/>
        <v>6.4189999999999996</v>
      </c>
      <c r="O150" s="350">
        <f t="shared" si="57"/>
        <v>6.4189999999999996</v>
      </c>
      <c r="P150" s="350">
        <f t="shared" si="57"/>
        <v>6.4189999999999996</v>
      </c>
      <c r="Q150" s="350">
        <f t="shared" si="57"/>
        <v>6.4189999999999996</v>
      </c>
      <c r="R150" s="350">
        <f t="shared" si="57"/>
        <v>4.5</v>
      </c>
      <c r="S150" s="350">
        <f t="shared" si="57"/>
        <v>4.5</v>
      </c>
      <c r="T150" s="350">
        <f t="shared" si="57"/>
        <v>4.5</v>
      </c>
      <c r="U150" s="350">
        <f t="shared" si="57"/>
        <v>4.5</v>
      </c>
      <c r="V150" s="350">
        <f t="shared" si="57"/>
        <v>4.5</v>
      </c>
      <c r="W150" s="350">
        <f t="shared" si="57"/>
        <v>2.83</v>
      </c>
      <c r="X150" s="350">
        <f t="shared" si="57"/>
        <v>2.83</v>
      </c>
      <c r="Y150" s="350">
        <f t="shared" si="57"/>
        <v>2.83</v>
      </c>
      <c r="Z150" s="350">
        <f t="shared" si="57"/>
        <v>2.83</v>
      </c>
      <c r="AA150" s="350">
        <f t="shared" si="57"/>
        <v>2.83</v>
      </c>
      <c r="AB150" s="350">
        <f t="shared" si="57"/>
        <v>1.93</v>
      </c>
      <c r="AC150" s="350">
        <f t="shared" si="57"/>
        <v>1.93</v>
      </c>
      <c r="AD150" s="350">
        <f t="shared" si="57"/>
        <v>1.93</v>
      </c>
      <c r="AE150" s="350">
        <f t="shared" si="57"/>
        <v>1.93</v>
      </c>
      <c r="AF150" s="350">
        <f t="shared" si="57"/>
        <v>1.93</v>
      </c>
      <c r="AG150" s="350">
        <f t="shared" si="57"/>
        <v>15.82</v>
      </c>
      <c r="AH150" s="350">
        <f t="shared" si="57"/>
        <v>-3.915</v>
      </c>
      <c r="AI150" s="350">
        <f t="shared" si="57"/>
        <v>-3.2360000000000002</v>
      </c>
      <c r="AJ150" s="350">
        <f t="shared" si="57"/>
        <v>-3.915</v>
      </c>
      <c r="AK150" s="350">
        <f t="shared" si="57"/>
        <v>-3.915</v>
      </c>
      <c r="AL150" s="350">
        <f t="shared" si="57"/>
        <v>-3.2360000000000002</v>
      </c>
      <c r="AM150" s="350">
        <f t="shared" si="57"/>
        <v>-3.2360000000000002</v>
      </c>
      <c r="AN150" s="350">
        <f t="shared" si="57"/>
        <v>-2.198</v>
      </c>
      <c r="AO150" s="350">
        <f t="shared" si="57"/>
        <v>-2.198</v>
      </c>
      <c r="AP150" s="266"/>
      <c r="AQ150" s="266"/>
    </row>
    <row r="151" spans="1:43" x14ac:dyDescent="0.25">
      <c r="E151" s="100"/>
      <c r="F151" t="s">
        <v>156</v>
      </c>
      <c r="G151" t="s">
        <v>268</v>
      </c>
      <c r="H151" s="277"/>
      <c r="I151" s="266"/>
      <c r="J151" s="295">
        <f t="shared" ref="J151:J156" si="58">ROUND(J122, $H96)</f>
        <v>1.7410000000000001</v>
      </c>
      <c r="K151" s="295">
        <f t="shared" ref="K151:AO151" si="59">ROUND(K122, $H96)</f>
        <v>1.7410000000000001</v>
      </c>
      <c r="L151" s="295">
        <f t="shared" si="59"/>
        <v>2.1110000000000002</v>
      </c>
      <c r="M151" s="295">
        <f t="shared" si="59"/>
        <v>2.1110000000000002</v>
      </c>
      <c r="N151" s="295">
        <f t="shared" si="59"/>
        <v>2.1110000000000002</v>
      </c>
      <c r="O151" s="295">
        <f t="shared" si="59"/>
        <v>2.1110000000000002</v>
      </c>
      <c r="P151" s="295">
        <f t="shared" si="59"/>
        <v>2.1110000000000002</v>
      </c>
      <c r="Q151" s="295">
        <f t="shared" si="59"/>
        <v>2.1110000000000002</v>
      </c>
      <c r="R151" s="295">
        <f t="shared" si="59"/>
        <v>1.4430000000000001</v>
      </c>
      <c r="S151" s="295">
        <f t="shared" si="59"/>
        <v>1.4430000000000001</v>
      </c>
      <c r="T151" s="295">
        <f t="shared" si="59"/>
        <v>1.4430000000000001</v>
      </c>
      <c r="U151" s="295">
        <f t="shared" si="59"/>
        <v>1.4430000000000001</v>
      </c>
      <c r="V151" s="295">
        <f t="shared" si="59"/>
        <v>1.4430000000000001</v>
      </c>
      <c r="W151" s="295">
        <f t="shared" si="59"/>
        <v>0.85399999999999998</v>
      </c>
      <c r="X151" s="295">
        <f t="shared" si="59"/>
        <v>0.85399999999999998</v>
      </c>
      <c r="Y151" s="295">
        <f t="shared" si="59"/>
        <v>0.85399999999999998</v>
      </c>
      <c r="Z151" s="295">
        <f t="shared" si="59"/>
        <v>0.85399999999999998</v>
      </c>
      <c r="AA151" s="295">
        <f t="shared" si="59"/>
        <v>0.85399999999999998</v>
      </c>
      <c r="AB151" s="295">
        <f t="shared" si="59"/>
        <v>0.54600000000000004</v>
      </c>
      <c r="AC151" s="295">
        <f t="shared" si="59"/>
        <v>0.54600000000000004</v>
      </c>
      <c r="AD151" s="295">
        <f t="shared" si="59"/>
        <v>0.54600000000000004</v>
      </c>
      <c r="AE151" s="295">
        <f t="shared" si="59"/>
        <v>0.54600000000000004</v>
      </c>
      <c r="AF151" s="295">
        <f t="shared" si="59"/>
        <v>0.54600000000000004</v>
      </c>
      <c r="AG151" s="295">
        <f t="shared" si="59"/>
        <v>2.145</v>
      </c>
      <c r="AH151" s="295">
        <f t="shared" si="59"/>
        <v>-1.288</v>
      </c>
      <c r="AI151" s="295">
        <f t="shared" si="59"/>
        <v>-1.0489999999999999</v>
      </c>
      <c r="AJ151" s="295">
        <f t="shared" si="59"/>
        <v>-1.288</v>
      </c>
      <c r="AK151" s="295">
        <f t="shared" si="59"/>
        <v>-1.288</v>
      </c>
      <c r="AL151" s="295">
        <f t="shared" si="59"/>
        <v>-1.0489999999999999</v>
      </c>
      <c r="AM151" s="295">
        <f t="shared" si="59"/>
        <v>-1.0489999999999999</v>
      </c>
      <c r="AN151" s="295">
        <f t="shared" si="59"/>
        <v>-0.66300000000000003</v>
      </c>
      <c r="AO151" s="295">
        <f t="shared" si="59"/>
        <v>-0.66300000000000003</v>
      </c>
      <c r="AP151" s="266"/>
      <c r="AQ151" s="266"/>
    </row>
    <row r="152" spans="1:43" x14ac:dyDescent="0.25">
      <c r="E152" s="100"/>
      <c r="F152" t="s">
        <v>157</v>
      </c>
      <c r="G152" t="s">
        <v>268</v>
      </c>
      <c r="H152" s="277"/>
      <c r="I152" s="266"/>
      <c r="J152" s="295">
        <f t="shared" si="58"/>
        <v>0.25700000000000001</v>
      </c>
      <c r="K152" s="295">
        <f t="shared" ref="K152:AO152" si="60">ROUND(K123, $H97)</f>
        <v>0.25700000000000001</v>
      </c>
      <c r="L152" s="295">
        <f t="shared" si="60"/>
        <v>0.312</v>
      </c>
      <c r="M152" s="295">
        <f t="shared" si="60"/>
        <v>0.312</v>
      </c>
      <c r="N152" s="295">
        <f t="shared" si="60"/>
        <v>0.312</v>
      </c>
      <c r="O152" s="295">
        <f t="shared" si="60"/>
        <v>0.312</v>
      </c>
      <c r="P152" s="295">
        <f t="shared" si="60"/>
        <v>0.312</v>
      </c>
      <c r="Q152" s="295">
        <f t="shared" si="60"/>
        <v>0.312</v>
      </c>
      <c r="R152" s="295">
        <f t="shared" si="60"/>
        <v>0.20799999999999999</v>
      </c>
      <c r="S152" s="295">
        <f t="shared" si="60"/>
        <v>0.20799999999999999</v>
      </c>
      <c r="T152" s="295">
        <f t="shared" si="60"/>
        <v>0.20799999999999999</v>
      </c>
      <c r="U152" s="295">
        <f t="shared" si="60"/>
        <v>0.20799999999999999</v>
      </c>
      <c r="V152" s="295">
        <f t="shared" si="60"/>
        <v>0.20799999999999999</v>
      </c>
      <c r="W152" s="295">
        <f t="shared" si="60"/>
        <v>0.114</v>
      </c>
      <c r="X152" s="295">
        <f t="shared" si="60"/>
        <v>0.114</v>
      </c>
      <c r="Y152" s="295">
        <f t="shared" si="60"/>
        <v>0.114</v>
      </c>
      <c r="Z152" s="295">
        <f t="shared" si="60"/>
        <v>0.114</v>
      </c>
      <c r="AA152" s="295">
        <f t="shared" si="60"/>
        <v>0.114</v>
      </c>
      <c r="AB152" s="295">
        <f t="shared" si="60"/>
        <v>6.7000000000000004E-2</v>
      </c>
      <c r="AC152" s="295">
        <f t="shared" si="60"/>
        <v>6.7000000000000004E-2</v>
      </c>
      <c r="AD152" s="295">
        <f t="shared" si="60"/>
        <v>6.7000000000000004E-2</v>
      </c>
      <c r="AE152" s="295">
        <f t="shared" si="60"/>
        <v>6.7000000000000004E-2</v>
      </c>
      <c r="AF152" s="295">
        <f t="shared" si="60"/>
        <v>6.7000000000000004E-2</v>
      </c>
      <c r="AG152" s="295">
        <f t="shared" si="60"/>
        <v>0.78500000000000003</v>
      </c>
      <c r="AH152" s="295">
        <f t="shared" si="60"/>
        <v>-0.19</v>
      </c>
      <c r="AI152" s="295">
        <f t="shared" si="60"/>
        <v>-0.152</v>
      </c>
      <c r="AJ152" s="295">
        <f t="shared" si="60"/>
        <v>-0.19</v>
      </c>
      <c r="AK152" s="295">
        <f t="shared" si="60"/>
        <v>-0.19</v>
      </c>
      <c r="AL152" s="295">
        <f t="shared" si="60"/>
        <v>-0.152</v>
      </c>
      <c r="AM152" s="295">
        <f t="shared" si="60"/>
        <v>-0.152</v>
      </c>
      <c r="AN152" s="295">
        <f t="shared" si="60"/>
        <v>-8.8999999999999996E-2</v>
      </c>
      <c r="AO152" s="295">
        <f t="shared" si="60"/>
        <v>-8.8999999999999996E-2</v>
      </c>
      <c r="AP152" s="266"/>
      <c r="AQ152" s="266"/>
    </row>
    <row r="153" spans="1:43" x14ac:dyDescent="0.25">
      <c r="E153" s="100"/>
      <c r="F153" t="s">
        <v>158</v>
      </c>
      <c r="G153" t="s">
        <v>269</v>
      </c>
      <c r="H153" s="63"/>
      <c r="J153" s="164">
        <f t="shared" si="58"/>
        <v>16.989999999999998</v>
      </c>
      <c r="K153" s="164">
        <f t="shared" ref="K153:AO153" si="61">ROUND(K124, $H98)</f>
        <v>0</v>
      </c>
      <c r="L153" s="164">
        <f t="shared" si="61"/>
        <v>12.3</v>
      </c>
      <c r="M153" s="164">
        <f t="shared" si="61"/>
        <v>16.36</v>
      </c>
      <c r="N153" s="164">
        <f t="shared" si="61"/>
        <v>22.65</v>
      </c>
      <c r="O153" s="164">
        <f t="shared" si="61"/>
        <v>36.909999999999997</v>
      </c>
      <c r="P153" s="164">
        <f t="shared" si="61"/>
        <v>78.25</v>
      </c>
      <c r="Q153" s="164">
        <f t="shared" si="61"/>
        <v>0</v>
      </c>
      <c r="R153" s="164">
        <f t="shared" si="61"/>
        <v>16.48</v>
      </c>
      <c r="S153" s="164">
        <f t="shared" si="61"/>
        <v>126.71</v>
      </c>
      <c r="T153" s="164">
        <f t="shared" si="61"/>
        <v>231.22</v>
      </c>
      <c r="U153" s="164">
        <f t="shared" si="61"/>
        <v>343.16</v>
      </c>
      <c r="V153" s="164">
        <f t="shared" si="61"/>
        <v>719.99</v>
      </c>
      <c r="W153" s="164">
        <f t="shared" si="61"/>
        <v>16.48</v>
      </c>
      <c r="X153" s="164">
        <f t="shared" si="61"/>
        <v>126.71</v>
      </c>
      <c r="Y153" s="164">
        <f t="shared" si="61"/>
        <v>231.22</v>
      </c>
      <c r="Z153" s="164">
        <f t="shared" si="61"/>
        <v>343.16</v>
      </c>
      <c r="AA153" s="164">
        <f t="shared" si="61"/>
        <v>719.99</v>
      </c>
      <c r="AB153" s="164">
        <f t="shared" si="61"/>
        <v>431.64</v>
      </c>
      <c r="AC153" s="164">
        <f t="shared" si="61"/>
        <v>1094.1099999999999</v>
      </c>
      <c r="AD153" s="164">
        <f t="shared" si="61"/>
        <v>2321.33</v>
      </c>
      <c r="AE153" s="164">
        <f t="shared" si="61"/>
        <v>4527.07</v>
      </c>
      <c r="AF153" s="164">
        <f t="shared" si="61"/>
        <v>10167.82</v>
      </c>
      <c r="AG153" s="164">
        <f t="shared" si="61"/>
        <v>0</v>
      </c>
      <c r="AH153" s="164">
        <f t="shared" si="61"/>
        <v>0</v>
      </c>
      <c r="AI153" s="164">
        <f t="shared" si="61"/>
        <v>0</v>
      </c>
      <c r="AJ153" s="164">
        <f t="shared" si="61"/>
        <v>0</v>
      </c>
      <c r="AK153" s="164">
        <f t="shared" si="61"/>
        <v>0</v>
      </c>
      <c r="AL153" s="164">
        <f t="shared" si="61"/>
        <v>0</v>
      </c>
      <c r="AM153" s="164">
        <f t="shared" si="61"/>
        <v>0</v>
      </c>
      <c r="AN153" s="164">
        <f t="shared" si="61"/>
        <v>95.93</v>
      </c>
      <c r="AO153" s="164">
        <f t="shared" si="61"/>
        <v>95.93</v>
      </c>
    </row>
    <row r="154" spans="1:43" x14ac:dyDescent="0.25">
      <c r="E154" s="100"/>
      <c r="F154" t="s">
        <v>159</v>
      </c>
      <c r="G154" t="s">
        <v>270</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3.67</v>
      </c>
      <c r="S154" s="164">
        <f t="shared" si="62"/>
        <v>3.67</v>
      </c>
      <c r="T154" s="164">
        <f t="shared" si="62"/>
        <v>3.67</v>
      </c>
      <c r="U154" s="164">
        <f t="shared" si="62"/>
        <v>3.67</v>
      </c>
      <c r="V154" s="164">
        <f t="shared" si="62"/>
        <v>3.67</v>
      </c>
      <c r="W154" s="164">
        <f t="shared" si="62"/>
        <v>2.86</v>
      </c>
      <c r="X154" s="164">
        <f t="shared" si="62"/>
        <v>2.86</v>
      </c>
      <c r="Y154" s="164">
        <f t="shared" si="62"/>
        <v>2.86</v>
      </c>
      <c r="Z154" s="164">
        <f t="shared" si="62"/>
        <v>2.86</v>
      </c>
      <c r="AA154" s="164">
        <f t="shared" si="62"/>
        <v>2.86</v>
      </c>
      <c r="AB154" s="164">
        <f t="shared" si="62"/>
        <v>3.36</v>
      </c>
      <c r="AC154" s="164">
        <f t="shared" si="62"/>
        <v>3.36</v>
      </c>
      <c r="AD154" s="164">
        <f t="shared" si="62"/>
        <v>3.36</v>
      </c>
      <c r="AE154" s="164">
        <f t="shared" si="62"/>
        <v>3.36</v>
      </c>
      <c r="AF154" s="164">
        <f t="shared" si="62"/>
        <v>3.36</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160</v>
      </c>
      <c r="G155" t="s">
        <v>270</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3.67</v>
      </c>
      <c r="S155" s="164">
        <f t="shared" si="63"/>
        <v>3.67</v>
      </c>
      <c r="T155" s="164">
        <f t="shared" si="63"/>
        <v>3.67</v>
      </c>
      <c r="U155" s="164">
        <f t="shared" si="63"/>
        <v>3.67</v>
      </c>
      <c r="V155" s="164">
        <f t="shared" si="63"/>
        <v>3.67</v>
      </c>
      <c r="W155" s="164">
        <f t="shared" si="63"/>
        <v>2.86</v>
      </c>
      <c r="X155" s="164">
        <f t="shared" si="63"/>
        <v>2.86</v>
      </c>
      <c r="Y155" s="164">
        <f t="shared" si="63"/>
        <v>2.86</v>
      </c>
      <c r="Z155" s="164">
        <f t="shared" si="63"/>
        <v>2.86</v>
      </c>
      <c r="AA155" s="164">
        <f t="shared" si="63"/>
        <v>2.86</v>
      </c>
      <c r="AB155" s="164">
        <f t="shared" si="63"/>
        <v>3.36</v>
      </c>
      <c r="AC155" s="164">
        <f t="shared" si="63"/>
        <v>3.36</v>
      </c>
      <c r="AD155" s="164">
        <f t="shared" si="63"/>
        <v>3.36</v>
      </c>
      <c r="AE155" s="164">
        <f t="shared" si="63"/>
        <v>3.36</v>
      </c>
      <c r="AF155" s="164">
        <f t="shared" si="63"/>
        <v>3.36</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161</v>
      </c>
      <c r="G156" s="91" t="s">
        <v>271</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0.13300000000000001</v>
      </c>
      <c r="S156" s="283">
        <f t="shared" si="64"/>
        <v>0.13300000000000001</v>
      </c>
      <c r="T156" s="283">
        <f t="shared" si="64"/>
        <v>0.13300000000000001</v>
      </c>
      <c r="U156" s="283">
        <f t="shared" si="64"/>
        <v>0.13300000000000001</v>
      </c>
      <c r="V156" s="283">
        <f t="shared" si="64"/>
        <v>0.13300000000000001</v>
      </c>
      <c r="W156" s="283">
        <f t="shared" si="64"/>
        <v>7.5999999999999998E-2</v>
      </c>
      <c r="X156" s="283">
        <f t="shared" si="64"/>
        <v>7.5999999999999998E-2</v>
      </c>
      <c r="Y156" s="283">
        <f t="shared" si="64"/>
        <v>7.5999999999999998E-2</v>
      </c>
      <c r="Z156" s="283">
        <f t="shared" si="64"/>
        <v>7.5999999999999998E-2</v>
      </c>
      <c r="AA156" s="283">
        <f t="shared" si="64"/>
        <v>7.5999999999999998E-2</v>
      </c>
      <c r="AB156" s="283">
        <f t="shared" si="64"/>
        <v>4.7E-2</v>
      </c>
      <c r="AC156" s="283">
        <f t="shared" si="64"/>
        <v>4.7E-2</v>
      </c>
      <c r="AD156" s="283">
        <f t="shared" si="64"/>
        <v>4.7E-2</v>
      </c>
      <c r="AE156" s="283">
        <f t="shared" si="64"/>
        <v>4.7E-2</v>
      </c>
      <c r="AF156" s="283">
        <f t="shared" si="64"/>
        <v>4.7E-2</v>
      </c>
      <c r="AG156" s="283">
        <f t="shared" si="64"/>
        <v>0</v>
      </c>
      <c r="AH156" s="283">
        <f t="shared" si="64"/>
        <v>0</v>
      </c>
      <c r="AI156" s="283">
        <f t="shared" si="64"/>
        <v>0</v>
      </c>
      <c r="AJ156" s="283">
        <f t="shared" si="64"/>
        <v>0.106</v>
      </c>
      <c r="AK156" s="283">
        <f t="shared" si="64"/>
        <v>0</v>
      </c>
      <c r="AL156" s="283">
        <f t="shared" si="64"/>
        <v>9.7000000000000003E-2</v>
      </c>
      <c r="AM156" s="283">
        <f t="shared" si="64"/>
        <v>0</v>
      </c>
      <c r="AN156" s="283">
        <f t="shared" si="64"/>
        <v>8.5000000000000006E-2</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752</v>
      </c>
      <c r="I158" t="s">
        <v>153</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154</v>
      </c>
    </row>
    <row r="159" spans="1:43" x14ac:dyDescent="0.25">
      <c r="E159" s="100"/>
      <c r="F159" s="90" t="s">
        <v>155</v>
      </c>
      <c r="G159" s="90" t="s">
        <v>268</v>
      </c>
      <c r="H159" s="276"/>
      <c r="I159" s="264"/>
      <c r="J159" s="350">
        <f>ROUND(J130, $H95)</f>
        <v>3.1440000000000001</v>
      </c>
      <c r="K159" s="350">
        <f t="shared" ref="K159:AO159" si="65">ROUND(K130, $H95)</f>
        <v>3.1440000000000001</v>
      </c>
      <c r="L159" s="350">
        <f t="shared" si="65"/>
        <v>3.8119999999999998</v>
      </c>
      <c r="M159" s="350">
        <f t="shared" si="65"/>
        <v>3.8119999999999998</v>
      </c>
      <c r="N159" s="350">
        <f t="shared" si="65"/>
        <v>3.8119999999999998</v>
      </c>
      <c r="O159" s="350">
        <f t="shared" si="65"/>
        <v>3.8119999999999998</v>
      </c>
      <c r="P159" s="350">
        <f t="shared" si="65"/>
        <v>3.8119999999999998</v>
      </c>
      <c r="Q159" s="350">
        <f t="shared" si="65"/>
        <v>3.8119999999999998</v>
      </c>
      <c r="R159" s="350">
        <f t="shared" si="65"/>
        <v>2.6720000000000002</v>
      </c>
      <c r="S159" s="350">
        <f t="shared" si="65"/>
        <v>2.6720000000000002</v>
      </c>
      <c r="T159" s="350">
        <f t="shared" si="65"/>
        <v>2.6720000000000002</v>
      </c>
      <c r="U159" s="350">
        <f t="shared" si="65"/>
        <v>2.6720000000000002</v>
      </c>
      <c r="V159" s="350">
        <f t="shared" si="65"/>
        <v>2.6720000000000002</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9.3949999999999996</v>
      </c>
      <c r="AH159" s="350">
        <f t="shared" si="65"/>
        <v>-3.915</v>
      </c>
      <c r="AI159" s="278">
        <f t="shared" si="65"/>
        <v>0</v>
      </c>
      <c r="AJ159" s="350">
        <f t="shared" si="65"/>
        <v>-3.915</v>
      </c>
      <c r="AK159" s="278">
        <f t="shared" si="65"/>
        <v>0</v>
      </c>
      <c r="AL159" s="278">
        <f t="shared" si="65"/>
        <v>0</v>
      </c>
      <c r="AM159" s="278">
        <f t="shared" si="65"/>
        <v>0</v>
      </c>
      <c r="AN159" s="278">
        <f t="shared" si="65"/>
        <v>0</v>
      </c>
      <c r="AO159" s="278">
        <f t="shared" si="65"/>
        <v>0</v>
      </c>
      <c r="AP159" s="266"/>
      <c r="AQ159" s="266"/>
    </row>
    <row r="160" spans="1:43" x14ac:dyDescent="0.25">
      <c r="E160" s="100"/>
      <c r="F160" t="s">
        <v>156</v>
      </c>
      <c r="G160" t="s">
        <v>268</v>
      </c>
      <c r="H160" s="277"/>
      <c r="I160" s="266"/>
      <c r="J160" s="295">
        <f t="shared" ref="J160:J165" si="66">ROUND(J131, $H96)</f>
        <v>1.034</v>
      </c>
      <c r="K160" s="295">
        <f t="shared" ref="K160:AO160" si="67">ROUND(K131, $H96)</f>
        <v>1.034</v>
      </c>
      <c r="L160" s="295">
        <f t="shared" si="67"/>
        <v>1.254</v>
      </c>
      <c r="M160" s="295">
        <f t="shared" si="67"/>
        <v>1.254</v>
      </c>
      <c r="N160" s="295">
        <f t="shared" si="67"/>
        <v>1.254</v>
      </c>
      <c r="O160" s="295">
        <f t="shared" si="67"/>
        <v>1.254</v>
      </c>
      <c r="P160" s="295">
        <f t="shared" si="67"/>
        <v>1.254</v>
      </c>
      <c r="Q160" s="295">
        <f t="shared" si="67"/>
        <v>1.254</v>
      </c>
      <c r="R160" s="295">
        <f t="shared" si="67"/>
        <v>0.85699999999999998</v>
      </c>
      <c r="S160" s="295">
        <f t="shared" si="67"/>
        <v>0.85699999999999998</v>
      </c>
      <c r="T160" s="295">
        <f t="shared" si="67"/>
        <v>0.85699999999999998</v>
      </c>
      <c r="U160" s="295">
        <f t="shared" si="67"/>
        <v>0.85699999999999998</v>
      </c>
      <c r="V160" s="295">
        <f t="shared" si="67"/>
        <v>0.85699999999999998</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1.274</v>
      </c>
      <c r="AH160" s="295">
        <f t="shared" si="67"/>
        <v>-1.288</v>
      </c>
      <c r="AI160" s="292">
        <f t="shared" si="67"/>
        <v>0</v>
      </c>
      <c r="AJ160" s="295">
        <f t="shared" si="67"/>
        <v>-1.288</v>
      </c>
      <c r="AK160" s="292">
        <f t="shared" si="67"/>
        <v>0</v>
      </c>
      <c r="AL160" s="292">
        <f t="shared" si="67"/>
        <v>0</v>
      </c>
      <c r="AM160" s="292">
        <f t="shared" si="67"/>
        <v>0</v>
      </c>
      <c r="AN160" s="292">
        <f t="shared" si="67"/>
        <v>0</v>
      </c>
      <c r="AO160" s="292">
        <f t="shared" si="67"/>
        <v>0</v>
      </c>
      <c r="AP160" s="266"/>
      <c r="AQ160" s="266"/>
    </row>
    <row r="161" spans="2:43" x14ac:dyDescent="0.25">
      <c r="E161" s="100"/>
      <c r="F161" t="s">
        <v>157</v>
      </c>
      <c r="G161" t="s">
        <v>268</v>
      </c>
      <c r="H161" s="277"/>
      <c r="I161" s="266"/>
      <c r="J161" s="295">
        <f t="shared" si="66"/>
        <v>0.153</v>
      </c>
      <c r="K161" s="295">
        <f t="shared" ref="K161:AO161" si="68">ROUND(K132, $H97)</f>
        <v>0.153</v>
      </c>
      <c r="L161" s="295">
        <f t="shared" si="68"/>
        <v>0.185</v>
      </c>
      <c r="M161" s="295">
        <f t="shared" si="68"/>
        <v>0.185</v>
      </c>
      <c r="N161" s="295">
        <f t="shared" si="68"/>
        <v>0.185</v>
      </c>
      <c r="O161" s="295">
        <f t="shared" si="68"/>
        <v>0.185</v>
      </c>
      <c r="P161" s="295">
        <f t="shared" si="68"/>
        <v>0.185</v>
      </c>
      <c r="Q161" s="295">
        <f t="shared" si="68"/>
        <v>0.185</v>
      </c>
      <c r="R161" s="295">
        <f t="shared" si="68"/>
        <v>0.123</v>
      </c>
      <c r="S161" s="295">
        <f t="shared" si="68"/>
        <v>0.123</v>
      </c>
      <c r="T161" s="295">
        <f t="shared" si="68"/>
        <v>0.123</v>
      </c>
      <c r="U161" s="295">
        <f t="shared" si="68"/>
        <v>0.123</v>
      </c>
      <c r="V161" s="295">
        <f t="shared" si="68"/>
        <v>0.123</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0.46600000000000003</v>
      </c>
      <c r="AH161" s="295">
        <f t="shared" si="68"/>
        <v>-0.19</v>
      </c>
      <c r="AI161" s="292">
        <f t="shared" si="68"/>
        <v>0</v>
      </c>
      <c r="AJ161" s="295">
        <f t="shared" si="68"/>
        <v>-0.19</v>
      </c>
      <c r="AK161" s="292">
        <f t="shared" si="68"/>
        <v>0</v>
      </c>
      <c r="AL161" s="292">
        <f t="shared" si="68"/>
        <v>0</v>
      </c>
      <c r="AM161" s="292">
        <f t="shared" si="68"/>
        <v>0</v>
      </c>
      <c r="AN161" s="292">
        <f t="shared" si="68"/>
        <v>0</v>
      </c>
      <c r="AO161" s="292">
        <f t="shared" si="68"/>
        <v>0</v>
      </c>
      <c r="AP161" s="266"/>
      <c r="AQ161" s="266"/>
    </row>
    <row r="162" spans="2:43" x14ac:dyDescent="0.25">
      <c r="E162" s="100"/>
      <c r="F162" t="s">
        <v>158</v>
      </c>
      <c r="G162" t="s">
        <v>269</v>
      </c>
      <c r="H162" s="63"/>
      <c r="J162" s="164">
        <f t="shared" si="66"/>
        <v>10.09</v>
      </c>
      <c r="K162" s="164">
        <f t="shared" ref="K162:AO162" si="69">ROUND(K133, $H98)</f>
        <v>0</v>
      </c>
      <c r="L162" s="164">
        <f t="shared" si="69"/>
        <v>7.31</v>
      </c>
      <c r="M162" s="164">
        <f t="shared" si="69"/>
        <v>9.7100000000000009</v>
      </c>
      <c r="N162" s="164">
        <f t="shared" si="69"/>
        <v>13.45</v>
      </c>
      <c r="O162" s="164">
        <f t="shared" si="69"/>
        <v>21.92</v>
      </c>
      <c r="P162" s="164">
        <f t="shared" si="69"/>
        <v>46.47</v>
      </c>
      <c r="Q162" s="164">
        <f t="shared" si="69"/>
        <v>0</v>
      </c>
      <c r="R162" s="164">
        <f t="shared" si="69"/>
        <v>9.7899999999999991</v>
      </c>
      <c r="S162" s="164">
        <f t="shared" si="69"/>
        <v>75.25</v>
      </c>
      <c r="T162" s="164">
        <f t="shared" si="69"/>
        <v>137.32</v>
      </c>
      <c r="U162" s="164">
        <f t="shared" si="69"/>
        <v>203.8</v>
      </c>
      <c r="V162" s="164">
        <f t="shared" si="69"/>
        <v>427.59</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159</v>
      </c>
      <c r="G163" t="s">
        <v>270</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2.1800000000000002</v>
      </c>
      <c r="S163" s="164">
        <f t="shared" si="70"/>
        <v>2.1800000000000002</v>
      </c>
      <c r="T163" s="164">
        <f t="shared" si="70"/>
        <v>2.1800000000000002</v>
      </c>
      <c r="U163" s="164">
        <f t="shared" si="70"/>
        <v>2.1800000000000002</v>
      </c>
      <c r="V163" s="164">
        <f t="shared" si="70"/>
        <v>2.1800000000000002</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160</v>
      </c>
      <c r="G164" t="s">
        <v>270</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2.1800000000000002</v>
      </c>
      <c r="S164" s="164">
        <f t="shared" si="71"/>
        <v>2.1800000000000002</v>
      </c>
      <c r="T164" s="164">
        <f t="shared" si="71"/>
        <v>2.1800000000000002</v>
      </c>
      <c r="U164" s="164">
        <f t="shared" si="71"/>
        <v>2.1800000000000002</v>
      </c>
      <c r="V164" s="164">
        <f t="shared" si="71"/>
        <v>2.1800000000000002</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161</v>
      </c>
      <c r="G165" s="91" t="s">
        <v>271</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7.9000000000000001E-2</v>
      </c>
      <c r="S165" s="283">
        <f t="shared" si="72"/>
        <v>7.9000000000000001E-2</v>
      </c>
      <c r="T165" s="283">
        <f t="shared" si="72"/>
        <v>7.9000000000000001E-2</v>
      </c>
      <c r="U165" s="283">
        <f t="shared" si="72"/>
        <v>7.9000000000000001E-2</v>
      </c>
      <c r="V165" s="283">
        <f t="shared" si="72"/>
        <v>7.9000000000000001E-2</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0.106</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753</v>
      </c>
      <c r="I167" t="s">
        <v>153</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154</v>
      </c>
    </row>
    <row r="168" spans="2:43" x14ac:dyDescent="0.25">
      <c r="C168" s="100"/>
      <c r="F168" s="90" t="s">
        <v>155</v>
      </c>
      <c r="G168" s="90" t="s">
        <v>268</v>
      </c>
      <c r="H168" s="276"/>
      <c r="I168" s="264"/>
      <c r="J168" s="350">
        <f t="shared" ref="J168" si="73">ROUND( J139, $H95)</f>
        <v>2.1840000000000002</v>
      </c>
      <c r="K168" s="350">
        <f t="shared" ref="K168:AO168" si="74">ROUND( K139, $H95)</f>
        <v>2.1840000000000002</v>
      </c>
      <c r="L168" s="350">
        <f t="shared" si="74"/>
        <v>2.6480000000000001</v>
      </c>
      <c r="M168" s="350">
        <f t="shared" si="74"/>
        <v>2.6480000000000001</v>
      </c>
      <c r="N168" s="350">
        <f t="shared" si="74"/>
        <v>2.6480000000000001</v>
      </c>
      <c r="O168" s="350">
        <f t="shared" si="74"/>
        <v>2.6480000000000001</v>
      </c>
      <c r="P168" s="350">
        <f t="shared" si="74"/>
        <v>2.6480000000000001</v>
      </c>
      <c r="Q168" s="350">
        <f t="shared" si="74"/>
        <v>2.6480000000000001</v>
      </c>
      <c r="R168" s="350">
        <f t="shared" si="74"/>
        <v>1.857</v>
      </c>
      <c r="S168" s="350">
        <f t="shared" si="74"/>
        <v>1.857</v>
      </c>
      <c r="T168" s="350">
        <f t="shared" si="74"/>
        <v>1.857</v>
      </c>
      <c r="U168" s="350">
        <f t="shared" si="74"/>
        <v>1.857</v>
      </c>
      <c r="V168" s="350">
        <f t="shared" si="74"/>
        <v>1.857</v>
      </c>
      <c r="W168" s="350">
        <f t="shared" si="74"/>
        <v>1.9750000000000001</v>
      </c>
      <c r="X168" s="350">
        <f t="shared" si="74"/>
        <v>1.9750000000000001</v>
      </c>
      <c r="Y168" s="350">
        <f t="shared" si="74"/>
        <v>1.9750000000000001</v>
      </c>
      <c r="Z168" s="350">
        <f t="shared" si="74"/>
        <v>1.9750000000000001</v>
      </c>
      <c r="AA168" s="350">
        <f t="shared" si="74"/>
        <v>1.9750000000000001</v>
      </c>
      <c r="AB168" s="350">
        <f t="shared" si="74"/>
        <v>1.6870000000000001</v>
      </c>
      <c r="AC168" s="350">
        <f t="shared" si="74"/>
        <v>1.6870000000000001</v>
      </c>
      <c r="AD168" s="350">
        <f t="shared" si="74"/>
        <v>1.6870000000000001</v>
      </c>
      <c r="AE168" s="350">
        <f t="shared" si="74"/>
        <v>1.6870000000000001</v>
      </c>
      <c r="AF168" s="350">
        <f t="shared" si="74"/>
        <v>1.6870000000000001</v>
      </c>
      <c r="AG168" s="350">
        <f t="shared" si="74"/>
        <v>6.5270000000000001</v>
      </c>
      <c r="AH168" s="350">
        <f t="shared" si="74"/>
        <v>-3.915</v>
      </c>
      <c r="AI168" s="350">
        <f t="shared" si="74"/>
        <v>-3.2360000000000002</v>
      </c>
      <c r="AJ168" s="350">
        <f t="shared" si="74"/>
        <v>-3.915</v>
      </c>
      <c r="AK168" s="278">
        <f t="shared" si="74"/>
        <v>0</v>
      </c>
      <c r="AL168" s="350">
        <f t="shared" si="74"/>
        <v>-3.2360000000000002</v>
      </c>
      <c r="AM168" s="278">
        <f t="shared" si="74"/>
        <v>0</v>
      </c>
      <c r="AN168" s="350">
        <f t="shared" si="74"/>
        <v>-2.198</v>
      </c>
      <c r="AO168" s="278">
        <f t="shared" si="74"/>
        <v>0</v>
      </c>
      <c r="AP168" s="266"/>
      <c r="AQ168" s="266"/>
    </row>
    <row r="169" spans="2:43" x14ac:dyDescent="0.25">
      <c r="C169" s="100"/>
      <c r="F169" t="s">
        <v>156</v>
      </c>
      <c r="G169" t="s">
        <v>268</v>
      </c>
      <c r="H169" s="277"/>
      <c r="I169" s="266"/>
      <c r="J169" s="295">
        <f t="shared" ref="J169:J174" si="75">ROUND( J140, $H96)</f>
        <v>0.71799999999999997</v>
      </c>
      <c r="K169" s="295">
        <f t="shared" ref="K169:AO169" si="76">ROUND( K140, $H96)</f>
        <v>0.71799999999999997</v>
      </c>
      <c r="L169" s="295">
        <f t="shared" si="76"/>
        <v>0.871</v>
      </c>
      <c r="M169" s="295">
        <f t="shared" si="76"/>
        <v>0.871</v>
      </c>
      <c r="N169" s="295">
        <f t="shared" si="76"/>
        <v>0.871</v>
      </c>
      <c r="O169" s="295">
        <f t="shared" si="76"/>
        <v>0.871</v>
      </c>
      <c r="P169" s="295">
        <f t="shared" si="76"/>
        <v>0.871</v>
      </c>
      <c r="Q169" s="295">
        <f t="shared" si="76"/>
        <v>0.871</v>
      </c>
      <c r="R169" s="295">
        <f t="shared" si="76"/>
        <v>0.59499999999999997</v>
      </c>
      <c r="S169" s="295">
        <f t="shared" si="76"/>
        <v>0.59499999999999997</v>
      </c>
      <c r="T169" s="295">
        <f t="shared" si="76"/>
        <v>0.59499999999999997</v>
      </c>
      <c r="U169" s="295">
        <f t="shared" si="76"/>
        <v>0.59499999999999997</v>
      </c>
      <c r="V169" s="295">
        <f t="shared" si="76"/>
        <v>0.59499999999999997</v>
      </c>
      <c r="W169" s="295">
        <f t="shared" si="76"/>
        <v>0.59599999999999997</v>
      </c>
      <c r="X169" s="295">
        <f t="shared" si="76"/>
        <v>0.59599999999999997</v>
      </c>
      <c r="Y169" s="295">
        <f t="shared" si="76"/>
        <v>0.59599999999999997</v>
      </c>
      <c r="Z169" s="295">
        <f t="shared" si="76"/>
        <v>0.59599999999999997</v>
      </c>
      <c r="AA169" s="295">
        <f t="shared" si="76"/>
        <v>0.59599999999999997</v>
      </c>
      <c r="AB169" s="295">
        <f t="shared" si="76"/>
        <v>0.47699999999999998</v>
      </c>
      <c r="AC169" s="295">
        <f t="shared" si="76"/>
        <v>0.47699999999999998</v>
      </c>
      <c r="AD169" s="295">
        <f t="shared" si="76"/>
        <v>0.47699999999999998</v>
      </c>
      <c r="AE169" s="295">
        <f t="shared" si="76"/>
        <v>0.47699999999999998</v>
      </c>
      <c r="AF169" s="295">
        <f t="shared" si="76"/>
        <v>0.47699999999999998</v>
      </c>
      <c r="AG169" s="295">
        <f t="shared" si="76"/>
        <v>0.88500000000000001</v>
      </c>
      <c r="AH169" s="295">
        <f t="shared" si="76"/>
        <v>-1.288</v>
      </c>
      <c r="AI169" s="295">
        <f t="shared" si="76"/>
        <v>-1.0489999999999999</v>
      </c>
      <c r="AJ169" s="295">
        <f t="shared" si="76"/>
        <v>-1.288</v>
      </c>
      <c r="AK169" s="292">
        <f t="shared" si="76"/>
        <v>0</v>
      </c>
      <c r="AL169" s="295">
        <f t="shared" si="76"/>
        <v>-1.0489999999999999</v>
      </c>
      <c r="AM169" s="292">
        <f t="shared" si="76"/>
        <v>0</v>
      </c>
      <c r="AN169" s="295">
        <f t="shared" si="76"/>
        <v>-0.66300000000000003</v>
      </c>
      <c r="AO169" s="292">
        <f t="shared" si="76"/>
        <v>0</v>
      </c>
      <c r="AP169" s="266"/>
      <c r="AQ169" s="266"/>
    </row>
    <row r="170" spans="2:43" x14ac:dyDescent="0.25">
      <c r="C170" s="100"/>
      <c r="F170" t="s">
        <v>157</v>
      </c>
      <c r="G170" t="s">
        <v>268</v>
      </c>
      <c r="H170" s="277"/>
      <c r="I170" s="266"/>
      <c r="J170" s="295">
        <f t="shared" si="75"/>
        <v>0.106</v>
      </c>
      <c r="K170" s="295">
        <f t="shared" ref="K170:AO170" si="77">ROUND( K141, $H97)</f>
        <v>0.106</v>
      </c>
      <c r="L170" s="295">
        <f t="shared" si="77"/>
        <v>0.129</v>
      </c>
      <c r="M170" s="295">
        <f t="shared" si="77"/>
        <v>0.129</v>
      </c>
      <c r="N170" s="295">
        <f t="shared" si="77"/>
        <v>0.129</v>
      </c>
      <c r="O170" s="295">
        <f t="shared" si="77"/>
        <v>0.129</v>
      </c>
      <c r="P170" s="295">
        <f t="shared" si="77"/>
        <v>0.129</v>
      </c>
      <c r="Q170" s="295">
        <f t="shared" si="77"/>
        <v>0.129</v>
      </c>
      <c r="R170" s="295">
        <f t="shared" si="77"/>
        <v>8.5999999999999993E-2</v>
      </c>
      <c r="S170" s="295">
        <f t="shared" si="77"/>
        <v>8.5999999999999993E-2</v>
      </c>
      <c r="T170" s="295">
        <f t="shared" si="77"/>
        <v>8.5999999999999993E-2</v>
      </c>
      <c r="U170" s="295">
        <f t="shared" si="77"/>
        <v>8.5999999999999993E-2</v>
      </c>
      <c r="V170" s="295">
        <f t="shared" si="77"/>
        <v>8.5999999999999993E-2</v>
      </c>
      <c r="W170" s="295">
        <f t="shared" si="77"/>
        <v>0.08</v>
      </c>
      <c r="X170" s="295">
        <f t="shared" si="77"/>
        <v>0.08</v>
      </c>
      <c r="Y170" s="295">
        <f t="shared" si="77"/>
        <v>0.08</v>
      </c>
      <c r="Z170" s="295">
        <f t="shared" si="77"/>
        <v>0.08</v>
      </c>
      <c r="AA170" s="295">
        <f t="shared" si="77"/>
        <v>0.08</v>
      </c>
      <c r="AB170" s="295">
        <f t="shared" si="77"/>
        <v>5.8999999999999997E-2</v>
      </c>
      <c r="AC170" s="295">
        <f t="shared" si="77"/>
        <v>5.8999999999999997E-2</v>
      </c>
      <c r="AD170" s="295">
        <f t="shared" si="77"/>
        <v>5.8999999999999997E-2</v>
      </c>
      <c r="AE170" s="295">
        <f t="shared" si="77"/>
        <v>5.8999999999999997E-2</v>
      </c>
      <c r="AF170" s="295">
        <f t="shared" si="77"/>
        <v>5.8999999999999997E-2</v>
      </c>
      <c r="AG170" s="295">
        <f t="shared" si="77"/>
        <v>0.32400000000000001</v>
      </c>
      <c r="AH170" s="295">
        <f t="shared" si="77"/>
        <v>-0.19</v>
      </c>
      <c r="AI170" s="295">
        <f t="shared" si="77"/>
        <v>-0.152</v>
      </c>
      <c r="AJ170" s="295">
        <f t="shared" si="77"/>
        <v>-0.19</v>
      </c>
      <c r="AK170" s="292">
        <f t="shared" si="77"/>
        <v>0</v>
      </c>
      <c r="AL170" s="295">
        <f t="shared" si="77"/>
        <v>-0.152</v>
      </c>
      <c r="AM170" s="292">
        <f t="shared" si="77"/>
        <v>0</v>
      </c>
      <c r="AN170" s="295">
        <f t="shared" si="77"/>
        <v>-8.8999999999999996E-2</v>
      </c>
      <c r="AO170" s="292">
        <f t="shared" si="77"/>
        <v>0</v>
      </c>
      <c r="AP170" s="266"/>
      <c r="AQ170" s="266"/>
    </row>
    <row r="171" spans="2:43" x14ac:dyDescent="0.25">
      <c r="C171" s="100"/>
      <c r="F171" t="s">
        <v>158</v>
      </c>
      <c r="G171" t="s">
        <v>269</v>
      </c>
      <c r="H171" s="63"/>
      <c r="J171" s="164">
        <f t="shared" si="75"/>
        <v>7.01</v>
      </c>
      <c r="K171" s="164">
        <f t="shared" ref="K171:AO171" si="78">ROUND( K142, $H98)</f>
        <v>0</v>
      </c>
      <c r="L171" s="164">
        <f t="shared" si="78"/>
        <v>5.07</v>
      </c>
      <c r="M171" s="164">
        <f t="shared" si="78"/>
        <v>6.75</v>
      </c>
      <c r="N171" s="164">
        <f t="shared" si="78"/>
        <v>9.34</v>
      </c>
      <c r="O171" s="164">
        <f t="shared" si="78"/>
        <v>15.23</v>
      </c>
      <c r="P171" s="164">
        <f t="shared" si="78"/>
        <v>32.28</v>
      </c>
      <c r="Q171" s="164">
        <f t="shared" si="78"/>
        <v>0</v>
      </c>
      <c r="R171" s="164">
        <f t="shared" si="78"/>
        <v>6.8</v>
      </c>
      <c r="S171" s="164">
        <f t="shared" si="78"/>
        <v>52.28</v>
      </c>
      <c r="T171" s="164">
        <f t="shared" si="78"/>
        <v>95.4</v>
      </c>
      <c r="U171" s="164">
        <f t="shared" si="78"/>
        <v>141.58000000000001</v>
      </c>
      <c r="V171" s="164">
        <f t="shared" si="78"/>
        <v>297.05</v>
      </c>
      <c r="W171" s="164">
        <f t="shared" si="78"/>
        <v>11.5</v>
      </c>
      <c r="X171" s="164">
        <f t="shared" si="78"/>
        <v>88.43</v>
      </c>
      <c r="Y171" s="164">
        <f t="shared" si="78"/>
        <v>161.37</v>
      </c>
      <c r="Z171" s="164">
        <f t="shared" si="78"/>
        <v>239.49</v>
      </c>
      <c r="AA171" s="164">
        <f t="shared" si="78"/>
        <v>502.49</v>
      </c>
      <c r="AB171" s="164">
        <f t="shared" si="78"/>
        <v>377.22</v>
      </c>
      <c r="AC171" s="164">
        <f t="shared" si="78"/>
        <v>956.18</v>
      </c>
      <c r="AD171" s="164">
        <f t="shared" si="78"/>
        <v>2028.69</v>
      </c>
      <c r="AE171" s="164">
        <f t="shared" si="78"/>
        <v>3956.37</v>
      </c>
      <c r="AF171" s="164">
        <f t="shared" si="78"/>
        <v>8886.02</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159</v>
      </c>
      <c r="G172" t="s">
        <v>270</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1.51</v>
      </c>
      <c r="S172" s="164">
        <f t="shared" si="79"/>
        <v>1.51</v>
      </c>
      <c r="T172" s="164">
        <f t="shared" si="79"/>
        <v>1.51</v>
      </c>
      <c r="U172" s="164">
        <f t="shared" si="79"/>
        <v>1.51</v>
      </c>
      <c r="V172" s="164">
        <f t="shared" si="79"/>
        <v>1.51</v>
      </c>
      <c r="W172" s="164">
        <f t="shared" si="79"/>
        <v>2</v>
      </c>
      <c r="X172" s="164">
        <f t="shared" si="79"/>
        <v>2</v>
      </c>
      <c r="Y172" s="164">
        <f t="shared" si="79"/>
        <v>2</v>
      </c>
      <c r="Z172" s="164">
        <f t="shared" si="79"/>
        <v>2</v>
      </c>
      <c r="AA172" s="164">
        <f t="shared" si="79"/>
        <v>2</v>
      </c>
      <c r="AB172" s="164">
        <f t="shared" si="79"/>
        <v>2.94</v>
      </c>
      <c r="AC172" s="164">
        <f t="shared" si="79"/>
        <v>2.94</v>
      </c>
      <c r="AD172" s="164">
        <f t="shared" si="79"/>
        <v>2.94</v>
      </c>
      <c r="AE172" s="164">
        <f t="shared" si="79"/>
        <v>2.94</v>
      </c>
      <c r="AF172" s="164">
        <f t="shared" si="79"/>
        <v>2.94</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160</v>
      </c>
      <c r="G173" t="s">
        <v>270</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1.51</v>
      </c>
      <c r="S173" s="164">
        <f t="shared" si="80"/>
        <v>1.51</v>
      </c>
      <c r="T173" s="164">
        <f t="shared" si="80"/>
        <v>1.51</v>
      </c>
      <c r="U173" s="164">
        <f t="shared" si="80"/>
        <v>1.51</v>
      </c>
      <c r="V173" s="164">
        <f t="shared" si="80"/>
        <v>1.51</v>
      </c>
      <c r="W173" s="164">
        <f t="shared" si="80"/>
        <v>2</v>
      </c>
      <c r="X173" s="164">
        <f t="shared" si="80"/>
        <v>2</v>
      </c>
      <c r="Y173" s="164">
        <f t="shared" si="80"/>
        <v>2</v>
      </c>
      <c r="Z173" s="164">
        <f t="shared" si="80"/>
        <v>2</v>
      </c>
      <c r="AA173" s="164">
        <f t="shared" si="80"/>
        <v>2</v>
      </c>
      <c r="AB173" s="164">
        <f t="shared" si="80"/>
        <v>2.94</v>
      </c>
      <c r="AC173" s="164">
        <f t="shared" si="80"/>
        <v>2.94</v>
      </c>
      <c r="AD173" s="164">
        <f t="shared" si="80"/>
        <v>2.94</v>
      </c>
      <c r="AE173" s="164">
        <f t="shared" si="80"/>
        <v>2.94</v>
      </c>
      <c r="AF173" s="164">
        <f t="shared" si="80"/>
        <v>2.94</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161</v>
      </c>
      <c r="G174" s="91" t="s">
        <v>271</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5.5E-2</v>
      </c>
      <c r="S174" s="283">
        <f t="shared" si="81"/>
        <v>5.5E-2</v>
      </c>
      <c r="T174" s="283">
        <f t="shared" si="81"/>
        <v>5.5E-2</v>
      </c>
      <c r="U174" s="283">
        <f t="shared" si="81"/>
        <v>5.5E-2</v>
      </c>
      <c r="V174" s="283">
        <f t="shared" si="81"/>
        <v>5.5E-2</v>
      </c>
      <c r="W174" s="283">
        <f t="shared" si="81"/>
        <v>5.2999999999999999E-2</v>
      </c>
      <c r="X174" s="283">
        <f t="shared" si="81"/>
        <v>5.2999999999999999E-2</v>
      </c>
      <c r="Y174" s="283">
        <f t="shared" si="81"/>
        <v>5.2999999999999999E-2</v>
      </c>
      <c r="Z174" s="283">
        <f t="shared" si="81"/>
        <v>5.2999999999999999E-2</v>
      </c>
      <c r="AA174" s="283">
        <f t="shared" si="81"/>
        <v>5.2999999999999999E-2</v>
      </c>
      <c r="AB174" s="283">
        <f t="shared" si="81"/>
        <v>4.1000000000000002E-2</v>
      </c>
      <c r="AC174" s="283">
        <f t="shared" si="81"/>
        <v>4.1000000000000002E-2</v>
      </c>
      <c r="AD174" s="283">
        <f t="shared" si="81"/>
        <v>4.1000000000000002E-2</v>
      </c>
      <c r="AE174" s="283">
        <f t="shared" si="81"/>
        <v>4.1000000000000002E-2</v>
      </c>
      <c r="AF174" s="283">
        <f t="shared" si="81"/>
        <v>4.1000000000000002E-2</v>
      </c>
      <c r="AG174" s="283">
        <f t="shared" si="81"/>
        <v>0</v>
      </c>
      <c r="AH174" s="283">
        <f t="shared" si="81"/>
        <v>0</v>
      </c>
      <c r="AI174" s="283">
        <f t="shared" si="81"/>
        <v>0</v>
      </c>
      <c r="AJ174" s="283">
        <f t="shared" si="81"/>
        <v>0.106</v>
      </c>
      <c r="AK174" s="274">
        <f t="shared" si="81"/>
        <v>0</v>
      </c>
      <c r="AL174" s="283">
        <f t="shared" si="81"/>
        <v>9.7000000000000003E-2</v>
      </c>
      <c r="AM174" s="274">
        <f t="shared" si="81"/>
        <v>0</v>
      </c>
      <c r="AN174" s="283">
        <f t="shared" si="81"/>
        <v>8.5000000000000006E-2</v>
      </c>
      <c r="AO174" s="274">
        <f t="shared" si="81"/>
        <v>0</v>
      </c>
      <c r="AP174" s="266"/>
      <c r="AQ174" s="266"/>
    </row>
    <row r="175" spans="2:43" x14ac:dyDescent="0.25">
      <c r="C175" s="100"/>
    </row>
    <row r="176" spans="2:43" x14ac:dyDescent="0.25">
      <c r="B176" s="70" t="s">
        <v>230</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231</v>
      </c>
      <c r="G178" s="6" t="s">
        <v>54</v>
      </c>
      <c r="H178" s="108">
        <f t="array" ref="H178">SUM(IF(ISERROR(H20:AO174), 1))</f>
        <v>0</v>
      </c>
    </row>
    <row r="180" spans="2:43" x14ac:dyDescent="0.25">
      <c r="B180" s="70" t="s">
        <v>105</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754</v>
      </c>
    </row>
    <row r="10" spans="1:43" x14ac:dyDescent="0.25">
      <c r="C10" s="89"/>
    </row>
    <row r="11" spans="1:43" x14ac:dyDescent="0.25">
      <c r="B11" s="70" t="s">
        <v>755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995</v>
      </c>
      <c r="G15" s="351" t="s">
        <v>148</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929</v>
      </c>
      <c r="G17" s="351" t="s">
        <v>148</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244</v>
      </c>
      <c r="I19" t="s">
        <v>153</v>
      </c>
      <c r="AQ19" t="s">
        <v>245</v>
      </c>
    </row>
    <row r="20" spans="3:43" x14ac:dyDescent="0.25">
      <c r="E20" s="60"/>
      <c r="F20" s="71" t="s">
        <v>1024</v>
      </c>
    </row>
    <row r="21" spans="3:43" x14ac:dyDescent="0.25">
      <c r="E21" s="60"/>
      <c r="F21" s="71" t="s">
        <v>1020</v>
      </c>
    </row>
    <row r="22" spans="3:43" x14ac:dyDescent="0.25">
      <c r="F22" s="111" t="s">
        <v>246</v>
      </c>
      <c r="G22" s="111" t="s">
        <v>206</v>
      </c>
      <c r="H22" s="8">
        <v>0</v>
      </c>
      <c r="I22" s="90"/>
      <c r="J22" s="258">
        <f>INDEX('Volume adjustments'!$J$527:$Y$567,J$17 + 1 + $H22*$H$28, J$15)</f>
        <v>891975.83915223007</v>
      </c>
      <c r="K22" s="258">
        <f>INDEX('Volume adjustments'!$J$527:$Y$567,K$17 + 1 + $H22*$H$28, K$15)</f>
        <v>267.59944132442337</v>
      </c>
      <c r="L22" s="258">
        <f>INDEX('Volume adjustments'!$J$527:$Y$567,L$17 + 1 + $H22*$H$28, L$15)</f>
        <v>23.8864359599051</v>
      </c>
      <c r="M22" s="258">
        <f>INDEX('Volume adjustments'!$J$527:$Y$567,M$17 + 1 + $H22*$H$28, M$15)</f>
        <v>16552.532223543443</v>
      </c>
      <c r="N22" s="258">
        <f>INDEX('Volume adjustments'!$J$527:$Y$567,N$17 + 1 + $H22*$H$28, N$15)</f>
        <v>40532.6087360288</v>
      </c>
      <c r="O22" s="258">
        <f>INDEX('Volume adjustments'!$J$527:$Y$567,O$17 + 1 + $H22*$H$28, O$15)</f>
        <v>45281.293220552077</v>
      </c>
      <c r="P22" s="258">
        <f>INDEX('Volume adjustments'!$J$527:$Y$567,P$17 + 1 + $H22*$H$28, P$15)</f>
        <v>131298.93050379492</v>
      </c>
      <c r="Q22" s="258">
        <f>INDEX('Volume adjustments'!$J$527:$Y$567,Q$17 + 1 + $H22*$H$28, Q$15)</f>
        <v>522.25619825826141</v>
      </c>
      <c r="R22" s="258">
        <f>INDEX('Volume adjustments'!$J$527:$Y$567,R$17 + 1 + $H22*$H$28, R$15)</f>
        <v>3.2128723712107869</v>
      </c>
      <c r="S22" s="258">
        <f>INDEX('Volume adjustments'!$J$527:$Y$567,S$17 + 1 + $H22*$H$28, S$15)</f>
        <v>62873.674907171699</v>
      </c>
      <c r="T22" s="258">
        <f>INDEX('Volume adjustments'!$J$527:$Y$567,T$17 + 1 + $H22*$H$28, T$15)</f>
        <v>85362.412065266122</v>
      </c>
      <c r="U22" s="258">
        <f>INDEX('Volume adjustments'!$J$527:$Y$567,U$17 + 1 + $H22*$H$28, U$15)</f>
        <v>53107.35116186065</v>
      </c>
      <c r="V22" s="258">
        <f>INDEX('Volume adjustments'!$J$527:$Y$567,V$17 + 1 + $H22*$H$28, V$15)</f>
        <v>85535.392546985327</v>
      </c>
      <c r="W22" s="258">
        <f>INDEX('Volume adjustments'!$J$527:$Y$567,W$17 + 1 + $H22*$H$28, W$15)</f>
        <v>8.8172625295477786E-2</v>
      </c>
      <c r="X22" s="258">
        <f>INDEX('Volume adjustments'!$J$527:$Y$567,X$17 + 1 + $H22*$H$28, X$15)</f>
        <v>834.88459673391424</v>
      </c>
      <c r="Y22" s="258">
        <f>INDEX('Volume adjustments'!$J$527:$Y$567,Y$17 + 1 + $H22*$H$28, Y$15)</f>
        <v>1260.6540644547413</v>
      </c>
      <c r="Z22" s="258">
        <f>INDEX('Volume adjustments'!$J$527:$Y$567,Z$17 + 1 + $H22*$H$28, Z$15)</f>
        <v>2854.5255833190145</v>
      </c>
      <c r="AA22" s="258">
        <f>INDEX('Volume adjustments'!$J$527:$Y$567,AA$17 + 1 + $H22*$H$28, AA$15)</f>
        <v>47376.215525796506</v>
      </c>
      <c r="AB22" s="258">
        <f>INDEX('Volume adjustments'!$J$527:$Y$567,AB$17 + 1 + $H22*$H$28, AB$15)</f>
        <v>541.96235961505158</v>
      </c>
      <c r="AC22" s="258">
        <f>INDEX('Volume adjustments'!$J$527:$Y$567,AC$17 + 1 + $H22*$H$28, AC$15)</f>
        <v>31874.674246611579</v>
      </c>
      <c r="AD22" s="258">
        <f>INDEX('Volume adjustments'!$J$527:$Y$567,AD$17 + 1 + $H22*$H$28, AD$15)</f>
        <v>107443.06941902314</v>
      </c>
      <c r="AE22" s="258">
        <f>INDEX('Volume adjustments'!$J$527:$Y$567,AE$17 + 1 + $H22*$H$28, AE$15)</f>
        <v>98514.766092263526</v>
      </c>
      <c r="AF22" s="258">
        <f>INDEX('Volume adjustments'!$J$527:$Y$567,AF$17 + 1 + $H22*$H$28, AF$15)</f>
        <v>248773.27096185446</v>
      </c>
      <c r="AG22" s="258">
        <f>INDEX('Volume adjustments'!$J$527:$Y$567,AG$17 + 1 + $H22*$H$28, AG$15)</f>
        <v>7374.2403851888157</v>
      </c>
      <c r="AH22" s="258">
        <f>INDEX('Volume adjustments'!$J$527:$Y$567,AH$17 + 1 + $H22*$H$28, AH$15)</f>
        <v>19571.925278374503</v>
      </c>
      <c r="AI22" s="258">
        <f>INDEX('Volume adjustments'!$J$527:$Y$567,AI$17 + 1 + $H22*$H$28, AI$15)</f>
        <v>0</v>
      </c>
      <c r="AJ22" s="258">
        <f>INDEX('Volume adjustments'!$J$527:$Y$567,AJ$17 + 1 + $H22*$H$28, AJ$15)</f>
        <v>5902.4038</v>
      </c>
      <c r="AK22" s="258">
        <f>INDEX('Volume adjustments'!$J$527:$Y$567,AK$17 + 1 + $H22*$H$28, AK$15)</f>
        <v>0</v>
      </c>
      <c r="AL22" s="258">
        <f>INDEX('Volume adjustments'!$J$527:$Y$567,AL$17 + 1 + $H22*$H$28, AL$15)</f>
        <v>1013.0288999999998</v>
      </c>
      <c r="AM22" s="258">
        <f>INDEX('Volume adjustments'!$J$527:$Y$567,AM$17 + 1 + $H22*$H$28, AM$15)</f>
        <v>0</v>
      </c>
      <c r="AN22" s="258">
        <f>INDEX('Volume adjustments'!$J$527:$Y$567,AN$17 + 1 + $H22*$H$28, AN$15)</f>
        <v>115980.32519999999</v>
      </c>
      <c r="AO22" s="258">
        <f>INDEX('Volume adjustments'!$J$527:$Y$567,AO$17 + 1 + $H22*$H$28, AO$15)</f>
        <v>0</v>
      </c>
    </row>
    <row r="23" spans="3:43" x14ac:dyDescent="0.25">
      <c r="E23" s="89"/>
      <c r="F23" s="113" t="s">
        <v>247</v>
      </c>
      <c r="G23" s="113" t="s">
        <v>206</v>
      </c>
      <c r="H23" s="7">
        <v>1</v>
      </c>
      <c r="J23" s="315">
        <f>INDEX('Volume adjustments'!$J$527:$Y$567,J$17 + 1 + $H23*$H$28, J$15)</f>
        <v>2153149.2392095304</v>
      </c>
      <c r="K23" s="315">
        <f>INDEX('Volume adjustments'!$J$527:$Y$567,K$17 + 1 + $H23*$H$28, K$15)</f>
        <v>3009.1632577465161</v>
      </c>
      <c r="L23" s="315">
        <f>INDEX('Volume adjustments'!$J$527:$Y$567,L$17 + 1 + $H23*$H$28, L$15)</f>
        <v>84.429234480720567</v>
      </c>
      <c r="M23" s="315">
        <f>INDEX('Volume adjustments'!$J$527:$Y$567,M$17 + 1 + $H23*$H$28, M$15)</f>
        <v>59675.192160152277</v>
      </c>
      <c r="N23" s="315">
        <f>INDEX('Volume adjustments'!$J$527:$Y$567,N$17 + 1 + $H23*$H$28, N$15)</f>
        <v>146302.79963081883</v>
      </c>
      <c r="O23" s="315">
        <f>INDEX('Volume adjustments'!$J$527:$Y$567,O$17 + 1 + $H23*$H$28, O$15)</f>
        <v>163574.20762390032</v>
      </c>
      <c r="P23" s="315">
        <f>INDEX('Volume adjustments'!$J$527:$Y$567,P$17 + 1 + $H23*$H$28, P$15)</f>
        <v>469656.2843104786</v>
      </c>
      <c r="Q23" s="315">
        <f>INDEX('Volume adjustments'!$J$527:$Y$567,Q$17 + 1 + $H23*$H$28, Q$15)</f>
        <v>2991.7411850243693</v>
      </c>
      <c r="R23" s="315">
        <f>INDEX('Volume adjustments'!$J$527:$Y$567,R$17 + 1 + $H23*$H$28, R$15)</f>
        <v>11.018313324190808</v>
      </c>
      <c r="S23" s="315">
        <f>INDEX('Volume adjustments'!$J$527:$Y$567,S$17 + 1 + $H23*$H$28, S$15)</f>
        <v>225338.3561774627</v>
      </c>
      <c r="T23" s="315">
        <f>INDEX('Volume adjustments'!$J$527:$Y$567,T$17 + 1 + $H23*$H$28, T$15)</f>
        <v>294459.9077535813</v>
      </c>
      <c r="U23" s="315">
        <f>INDEX('Volume adjustments'!$J$527:$Y$567,U$17 + 1 + $H23*$H$28, U$15)</f>
        <v>191191.78141982338</v>
      </c>
      <c r="V23" s="315">
        <f>INDEX('Volume adjustments'!$J$527:$Y$567,V$17 + 1 + $H23*$H$28, V$15)</f>
        <v>317993.11282686668</v>
      </c>
      <c r="W23" s="315">
        <f>INDEX('Volume adjustments'!$J$527:$Y$567,W$17 + 1 + $H23*$H$28, W$15)</f>
        <v>0.44361509342263367</v>
      </c>
      <c r="X23" s="315">
        <f>INDEX('Volume adjustments'!$J$527:$Y$567,X$17 + 1 + $H23*$H$28, X$15)</f>
        <v>2865.1248760627245</v>
      </c>
      <c r="Y23" s="315">
        <f>INDEX('Volume adjustments'!$J$527:$Y$567,Y$17 + 1 + $H23*$H$28, Y$15)</f>
        <v>4162.5130790372414</v>
      </c>
      <c r="Z23" s="315">
        <f>INDEX('Volume adjustments'!$J$527:$Y$567,Z$17 + 1 + $H23*$H$28, Z$15)</f>
        <v>9681.6025949161158</v>
      </c>
      <c r="AA23" s="315">
        <f>INDEX('Volume adjustments'!$J$527:$Y$567,AA$17 + 1 + $H23*$H$28, AA$15)</f>
        <v>168335.14810756053</v>
      </c>
      <c r="AB23" s="315">
        <f>INDEX('Volume adjustments'!$J$527:$Y$567,AB$17 + 1 + $H23*$H$28, AB$15)</f>
        <v>1787.6325942714436</v>
      </c>
      <c r="AC23" s="315">
        <f>INDEX('Volume adjustments'!$J$527:$Y$567,AC$17 + 1 + $H23*$H$28, AC$15)</f>
        <v>115743.40860330635</v>
      </c>
      <c r="AD23" s="315">
        <f>INDEX('Volume adjustments'!$J$527:$Y$567,AD$17 + 1 + $H23*$H$28, AD$15)</f>
        <v>369000.85991966072</v>
      </c>
      <c r="AE23" s="315">
        <f>INDEX('Volume adjustments'!$J$527:$Y$567,AE$17 + 1 + $H23*$H$28, AE$15)</f>
        <v>323014.47390604595</v>
      </c>
      <c r="AF23" s="315">
        <f>INDEX('Volume adjustments'!$J$527:$Y$567,AF$17 + 1 + $H23*$H$28, AF$15)</f>
        <v>806470.6791899926</v>
      </c>
      <c r="AG23" s="315">
        <f>INDEX('Volume adjustments'!$J$527:$Y$567,AG$17 + 1 + $H23*$H$28, AG$15)</f>
        <v>29876.813151146878</v>
      </c>
      <c r="AH23" s="315">
        <f>INDEX('Volume adjustments'!$J$527:$Y$567,AH$17 + 1 + $H23*$H$28, AH$15)</f>
        <v>95791.600508721793</v>
      </c>
      <c r="AI23" s="315">
        <f>INDEX('Volume adjustments'!$J$527:$Y$567,AI$17 + 1 + $H23*$H$28, AI$15)</f>
        <v>0</v>
      </c>
      <c r="AJ23" s="315">
        <f>INDEX('Volume adjustments'!$J$527:$Y$567,AJ$17 + 1 + $H23*$H$28, AJ$15)</f>
        <v>23799.629700000005</v>
      </c>
      <c r="AK23" s="315">
        <f>INDEX('Volume adjustments'!$J$527:$Y$567,AK$17 + 1 + $H23*$H$28, AK$15)</f>
        <v>0</v>
      </c>
      <c r="AL23" s="315">
        <f>INDEX('Volume adjustments'!$J$527:$Y$567,AL$17 + 1 + $H23*$H$28, AL$15)</f>
        <v>3224.2487000000001</v>
      </c>
      <c r="AM23" s="315">
        <f>INDEX('Volume adjustments'!$J$527:$Y$567,AM$17 + 1 + $H23*$H$28, AM$15)</f>
        <v>0</v>
      </c>
      <c r="AN23" s="315">
        <f>INDEX('Volume adjustments'!$J$527:$Y$567,AN$17 + 1 + $H23*$H$28, AN$15)</f>
        <v>309200.76439999999</v>
      </c>
      <c r="AO23" s="315">
        <f>INDEX('Volume adjustments'!$J$527:$Y$567,AO$17 + 1 + $H23*$H$28, AO$15)</f>
        <v>0</v>
      </c>
    </row>
    <row r="24" spans="3:43" x14ac:dyDescent="0.25">
      <c r="E24" s="89"/>
      <c r="F24" s="113" t="s">
        <v>248</v>
      </c>
      <c r="G24" s="113" t="s">
        <v>206</v>
      </c>
      <c r="H24" s="7">
        <v>2</v>
      </c>
      <c r="J24" s="315">
        <f>INDEX('Volume adjustments'!$J$527:$Y$567,J$17 + 1 + $H24*$H$28, J$15)</f>
        <v>3181300.0383317643</v>
      </c>
      <c r="K24" s="315">
        <f>INDEX('Volume adjustments'!$J$527:$Y$567,K$17 + 1 + $H24*$H$28, K$15)</f>
        <v>7951.9525613351861</v>
      </c>
      <c r="L24" s="315">
        <f>INDEX('Volume adjustments'!$J$527:$Y$567,L$17 + 1 + $H24*$H$28, L$15)</f>
        <v>84.08467623411623</v>
      </c>
      <c r="M24" s="315">
        <f>INDEX('Volume adjustments'!$J$527:$Y$567,M$17 + 1 + $H24*$H$28, M$15)</f>
        <v>63556.03002782695</v>
      </c>
      <c r="N24" s="315">
        <f>INDEX('Volume adjustments'!$J$527:$Y$567,N$17 + 1 + $H24*$H$28, N$15)</f>
        <v>156706.73379057075</v>
      </c>
      <c r="O24" s="315">
        <f>INDEX('Volume adjustments'!$J$527:$Y$567,O$17 + 1 + $H24*$H$28, O$15)</f>
        <v>180765.34521693317</v>
      </c>
      <c r="P24" s="315">
        <f>INDEX('Volume adjustments'!$J$527:$Y$567,P$17 + 1 + $H24*$H$28, P$15)</f>
        <v>550277.63718993054</v>
      </c>
      <c r="Q24" s="315">
        <f>INDEX('Volume adjustments'!$J$527:$Y$567,Q$17 + 1 + $H24*$H$28, Q$15)</f>
        <v>8895.6207003617601</v>
      </c>
      <c r="R24" s="315">
        <f>INDEX('Volume adjustments'!$J$527:$Y$567,R$17 + 1 + $H24*$H$28, R$15)</f>
        <v>19.264918608979336</v>
      </c>
      <c r="S24" s="315">
        <f>INDEX('Volume adjustments'!$J$527:$Y$567,S$17 + 1 + $H24*$H$28, S$15)</f>
        <v>245264.57747899127</v>
      </c>
      <c r="T24" s="315">
        <f>INDEX('Volume adjustments'!$J$527:$Y$567,T$17 + 1 + $H24*$H$28, T$15)</f>
        <v>326381.09230257245</v>
      </c>
      <c r="U24" s="315">
        <f>INDEX('Volume adjustments'!$J$527:$Y$567,U$17 + 1 + $H24*$H$28, U$15)</f>
        <v>209786.49692852865</v>
      </c>
      <c r="V24" s="315">
        <f>INDEX('Volume adjustments'!$J$527:$Y$567,V$17 + 1 + $H24*$H$28, V$15)</f>
        <v>339571.8091207039</v>
      </c>
      <c r="W24" s="315">
        <f>INDEX('Volume adjustments'!$J$527:$Y$567,W$17 + 1 + $H24*$H$28, W$15)</f>
        <v>0.50314829432551389</v>
      </c>
      <c r="X24" s="315">
        <f>INDEX('Volume adjustments'!$J$527:$Y$567,X$17 + 1 + $H24*$H$28, X$15)</f>
        <v>3492.6774058827486</v>
      </c>
      <c r="Y24" s="315">
        <f>INDEX('Volume adjustments'!$J$527:$Y$567,Y$17 + 1 + $H24*$H$28, Y$15)</f>
        <v>4899.9296028810568</v>
      </c>
      <c r="Z24" s="315">
        <f>INDEX('Volume adjustments'!$J$527:$Y$567,Z$17 + 1 + $H24*$H$28, Z$15)</f>
        <v>11398.433603884556</v>
      </c>
      <c r="AA24" s="315">
        <f>INDEX('Volume adjustments'!$J$527:$Y$567,AA$17 + 1 + $H24*$H$28, AA$15)</f>
        <v>202194.67214787006</v>
      </c>
      <c r="AB24" s="315">
        <f>INDEX('Volume adjustments'!$J$527:$Y$567,AB$17 + 1 + $H24*$H$28, AB$15)</f>
        <v>3484.4255497876861</v>
      </c>
      <c r="AC24" s="315">
        <f>INDEX('Volume adjustments'!$J$527:$Y$567,AC$17 + 1 + $H24*$H$28, AC$15)</f>
        <v>138938.77516997</v>
      </c>
      <c r="AD24" s="315">
        <f>INDEX('Volume adjustments'!$J$527:$Y$567,AD$17 + 1 + $H24*$H$28, AD$15)</f>
        <v>467257.86981950596</v>
      </c>
      <c r="AE24" s="315">
        <f>INDEX('Volume adjustments'!$J$527:$Y$567,AE$17 + 1 + $H24*$H$28, AE$15)</f>
        <v>441807.65508207423</v>
      </c>
      <c r="AF24" s="315">
        <f>INDEX('Volume adjustments'!$J$527:$Y$567,AF$17 + 1 + $H24*$H$28, AF$15)</f>
        <v>1211196.6972275905</v>
      </c>
      <c r="AG24" s="315">
        <f>INDEX('Volume adjustments'!$J$527:$Y$567,AG$17 + 1 + $H24*$H$28, AG$15)</f>
        <v>99538.398472304776</v>
      </c>
      <c r="AH24" s="315">
        <f>INDEX('Volume adjustments'!$J$527:$Y$567,AH$17 + 1 + $H24*$H$28, AH$15)</f>
        <v>54622.312445790958</v>
      </c>
      <c r="AI24" s="315">
        <f>INDEX('Volume adjustments'!$J$527:$Y$567,AI$17 + 1 + $H24*$H$28, AI$15)</f>
        <v>0</v>
      </c>
      <c r="AJ24" s="315">
        <f>INDEX('Volume adjustments'!$J$527:$Y$567,AJ$17 + 1 + $H24*$H$28, AJ$15)</f>
        <v>25980.259299999998</v>
      </c>
      <c r="AK24" s="315">
        <f>INDEX('Volume adjustments'!$J$527:$Y$567,AK$17 + 1 + $H24*$H$28, AK$15)</f>
        <v>0</v>
      </c>
      <c r="AL24" s="315">
        <f>INDEX('Volume adjustments'!$J$527:$Y$567,AL$17 + 1 + $H24*$H$28, AL$15)</f>
        <v>5456.4781000000003</v>
      </c>
      <c r="AM24" s="315">
        <f>INDEX('Volume adjustments'!$J$527:$Y$567,AM$17 + 1 + $H24*$H$28, AM$15)</f>
        <v>0</v>
      </c>
      <c r="AN24" s="315">
        <f>INDEX('Volume adjustments'!$J$527:$Y$567,AN$17 + 1 + $H24*$H$28, AN$15)</f>
        <v>381710.65130000003</v>
      </c>
      <c r="AO24" s="315">
        <f>INDEX('Volume adjustments'!$J$527:$Y$567,AO$17 + 1 + $H24*$H$28, AO$15)</f>
        <v>0</v>
      </c>
    </row>
    <row r="25" spans="3:43" x14ac:dyDescent="0.25">
      <c r="E25" s="89"/>
      <c r="F25" s="113" t="s">
        <v>211</v>
      </c>
      <c r="G25" s="113" t="s">
        <v>211</v>
      </c>
      <c r="H25" s="7">
        <v>3</v>
      </c>
      <c r="J25" s="315">
        <f>INDEX('Volume adjustments'!$J$527:$Y$567,J$17 + 1 + $H25*$H$28, J$15)</f>
        <v>2156414.718697391</v>
      </c>
      <c r="K25" s="315">
        <f>INDEX('Volume adjustments'!$J$527:$Y$567,K$17 + 1 + $H25*$H$28, K$15)</f>
        <v>4043.2318793394506</v>
      </c>
      <c r="L25" s="315">
        <f>INDEX('Volume adjustments'!$J$527:$Y$567,L$17 + 1 + $H25*$H$28, L$15)</f>
        <v>21.99813867057907</v>
      </c>
      <c r="M25" s="315">
        <f>INDEX('Volume adjustments'!$J$527:$Y$567,M$17 + 1 + $H25*$H$28, M$15)</f>
        <v>49964.405692999382</v>
      </c>
      <c r="N25" s="315">
        <f>INDEX('Volume adjustments'!$J$527:$Y$567,N$17 + 1 + $H25*$H$28, N$15)</f>
        <v>46310.381537763642</v>
      </c>
      <c r="O25" s="315">
        <f>INDEX('Volume adjustments'!$J$527:$Y$567,O$17 + 1 + $H25*$H$28, O$15)</f>
        <v>22046.301262062389</v>
      </c>
      <c r="P25" s="315">
        <f>INDEX('Volume adjustments'!$J$527:$Y$567,P$17 + 1 + $H25*$H$28, P$15)</f>
        <v>24326.408335267901</v>
      </c>
      <c r="Q25" s="315">
        <f>INDEX('Volume adjustments'!$J$527:$Y$567,Q$17 + 1 + $H25*$H$28, Q$15)</f>
        <v>1571.1666666666665</v>
      </c>
      <c r="R25" s="315">
        <f>INDEX('Volume adjustments'!$J$527:$Y$567,R$17 + 1 + $H25*$H$28, R$15)</f>
        <v>8.1262089826560899</v>
      </c>
      <c r="S25" s="315">
        <f>INDEX('Volume adjustments'!$J$527:$Y$567,S$17 + 1 + $H25*$H$28, S$15)</f>
        <v>6810.778903588639</v>
      </c>
      <c r="T25" s="315">
        <f>INDEX('Volume adjustments'!$J$527:$Y$567,T$17 + 1 + $H25*$H$28, T$15)</f>
        <v>4584.1976423408714</v>
      </c>
      <c r="U25" s="315">
        <f>INDEX('Volume adjustments'!$J$527:$Y$567,U$17 + 1 + $H25*$H$28, U$15)</f>
        <v>1939.11661848631</v>
      </c>
      <c r="V25" s="315">
        <f>INDEX('Volume adjustments'!$J$527:$Y$567,V$17 + 1 + $H25*$H$28, V$15)</f>
        <v>1682.1252594098121</v>
      </c>
      <c r="W25" s="315">
        <f>INDEX('Volume adjustments'!$J$527:$Y$567,W$17 + 1 + $H25*$H$28, W$15)</f>
        <v>1.1072850062440645</v>
      </c>
      <c r="X25" s="315">
        <f>INDEX('Volume adjustments'!$J$527:$Y$567,X$17 + 1 + $H25*$H$28, X$15)</f>
        <v>11.072850062440644</v>
      </c>
      <c r="Y25" s="315">
        <f>INDEX('Volume adjustments'!$J$527:$Y$567,Y$17 + 1 + $H25*$H$28, Y$15)</f>
        <v>33.218550187321952</v>
      </c>
      <c r="Z25" s="315">
        <f>INDEX('Volume adjustments'!$J$527:$Y$567,Z$17 + 1 + $H25*$H$28, Z$15)</f>
        <v>57.578820324691343</v>
      </c>
      <c r="AA25" s="315">
        <f>INDEX('Volume adjustments'!$J$527:$Y$567,AA$17 + 1 + $H25*$H$28, AA$15)</f>
        <v>578.00277325940158</v>
      </c>
      <c r="AB25" s="315">
        <f>INDEX('Volume adjustments'!$J$527:$Y$567,AB$17 + 1 + $H25*$H$28, AB$15)</f>
        <v>75.007576408708928</v>
      </c>
      <c r="AC25" s="315">
        <f>INDEX('Volume adjustments'!$J$527:$Y$567,AC$17 + 1 + $H25*$H$28, AC$15)</f>
        <v>600.06061126967143</v>
      </c>
      <c r="AD25" s="315">
        <f>INDEX('Volume adjustments'!$J$527:$Y$567,AD$17 + 1 + $H25*$H$28, AD$15)</f>
        <v>688.06950092255659</v>
      </c>
      <c r="AE25" s="315">
        <f>INDEX('Volume adjustments'!$J$527:$Y$567,AE$17 + 1 + $H25*$H$28, AE$15)</f>
        <v>290.02929544700771</v>
      </c>
      <c r="AF25" s="315">
        <f>INDEX('Volume adjustments'!$J$527:$Y$567,AF$17 + 1 + $H25*$H$28, AF$15)</f>
        <v>319.03222499170869</v>
      </c>
      <c r="AG25" s="315">
        <f>INDEX('Volume adjustments'!$J$527:$Y$567,AG$17 + 1 + $H25*$H$28, AG$15)</f>
        <v>623.86666666666667</v>
      </c>
      <c r="AH25" s="315">
        <f>INDEX('Volume adjustments'!$J$527:$Y$567,AH$17 + 1 + $H25*$H$28, AH$15)</f>
        <v>32972.366465964653</v>
      </c>
      <c r="AI25" s="315">
        <f>INDEX('Volume adjustments'!$J$527:$Y$567,AI$17 + 1 + $H25*$H$28, AI$15)</f>
        <v>0</v>
      </c>
      <c r="AJ25" s="315">
        <f>INDEX('Volume adjustments'!$J$527:$Y$567,AJ$17 + 1 + $H25*$H$28, AJ$15)</f>
        <v>717</v>
      </c>
      <c r="AK25" s="315">
        <f>INDEX('Volume adjustments'!$J$527:$Y$567,AK$17 + 1 + $H25*$H$28, AK$15)</f>
        <v>0</v>
      </c>
      <c r="AL25" s="315">
        <f>INDEX('Volume adjustments'!$J$527:$Y$567,AL$17 + 1 + $H25*$H$28, AL$15)</f>
        <v>36</v>
      </c>
      <c r="AM25" s="315">
        <f>INDEX('Volume adjustments'!$J$527:$Y$567,AM$17 + 1 + $H25*$H$28, AM$15)</f>
        <v>0</v>
      </c>
      <c r="AN25" s="315">
        <f>INDEX('Volume adjustments'!$J$527:$Y$567,AN$17 + 1 + $H25*$H$28, AN$15)</f>
        <v>286</v>
      </c>
      <c r="AO25" s="315">
        <f>INDEX('Volume adjustments'!$J$527:$Y$567,AO$17 + 1 + $H25*$H$28, AO$15)</f>
        <v>0</v>
      </c>
    </row>
    <row r="26" spans="3:43" x14ac:dyDescent="0.25">
      <c r="E26" s="89"/>
      <c r="F26" s="113" t="s">
        <v>249</v>
      </c>
      <c r="G26" s="113" t="s">
        <v>250</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235</v>
      </c>
      <c r="S26" s="315">
        <f>INDEX('Volume adjustments'!$J$527:$Y$567,S$17 + 1 + $H26*$H$28, S$15)</f>
        <v>310632</v>
      </c>
      <c r="T26" s="315">
        <f>INDEX('Volume adjustments'!$J$527:$Y$567,T$17 + 1 + $H26*$H$28, T$15)</f>
        <v>514933</v>
      </c>
      <c r="U26" s="315">
        <f>INDEX('Volume adjustments'!$J$527:$Y$567,U$17 + 1 + $H26*$H$28, U$15)</f>
        <v>357716</v>
      </c>
      <c r="V26" s="315">
        <f>INDEX('Volume adjustments'!$J$527:$Y$567,V$17 + 1 + $H26*$H$28, V$15)</f>
        <v>575429</v>
      </c>
      <c r="W26" s="315">
        <f>INDEX('Volume adjustments'!$J$527:$Y$567,W$17 + 1 + $H26*$H$28, W$15)</f>
        <v>30</v>
      </c>
      <c r="X26" s="315">
        <f>INDEX('Volume adjustments'!$J$527:$Y$567,X$17 + 1 + $H26*$H$28, X$15)</f>
        <v>551</v>
      </c>
      <c r="Y26" s="315">
        <f>INDEX('Volume adjustments'!$J$527:$Y$567,Y$17 + 1 + $H26*$H$28, Y$15)</f>
        <v>3935</v>
      </c>
      <c r="Z26" s="315">
        <f>INDEX('Volume adjustments'!$J$527:$Y$567,Z$17 + 1 + $H26*$H$28, Z$15)</f>
        <v>9742</v>
      </c>
      <c r="AA26" s="315">
        <f>INDEX('Volume adjustments'!$J$527:$Y$567,AA$17 + 1 + $H26*$H$28, AA$15)</f>
        <v>264967</v>
      </c>
      <c r="AB26" s="315">
        <f>INDEX('Volume adjustments'!$J$527:$Y$567,AB$17 + 1 + $H26*$H$28, AB$15)</f>
        <v>10815</v>
      </c>
      <c r="AC26" s="315">
        <f>INDEX('Volume adjustments'!$J$527:$Y$567,AC$17 + 1 + $H26*$H$28, AC$15)</f>
        <v>148794</v>
      </c>
      <c r="AD26" s="315">
        <f>INDEX('Volume adjustments'!$J$527:$Y$567,AD$17 + 1 + $H26*$H$28, AD$15)</f>
        <v>477037</v>
      </c>
      <c r="AE26" s="315">
        <f>INDEX('Volume adjustments'!$J$527:$Y$567,AE$17 + 1 + $H26*$H$28, AE$15)</f>
        <v>393855</v>
      </c>
      <c r="AF26" s="315">
        <f>INDEX('Volume adjustments'!$J$527:$Y$567,AF$17 + 1 + $H26*$H$28, AF$15)</f>
        <v>1061553</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251</v>
      </c>
      <c r="G27" s="113" t="s">
        <v>250</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1.2328767123287672</v>
      </c>
      <c r="S27" s="315">
        <f>INDEX('Volume adjustments'!$J$527:$Y$567,S$17 + 1 + $H27*$H$28, S$15)</f>
        <v>20829.369863013697</v>
      </c>
      <c r="T27" s="315">
        <f>INDEX('Volume adjustments'!$J$527:$Y$567,T$17 + 1 + $H27*$H$28, T$15)</f>
        <v>8090.6273972602739</v>
      </c>
      <c r="U27" s="315">
        <f>INDEX('Volume adjustments'!$J$527:$Y$567,U$17 + 1 + $H27*$H$28, U$15)</f>
        <v>3558.3945205479454</v>
      </c>
      <c r="V27" s="315">
        <f>INDEX('Volume adjustments'!$J$527:$Y$567,V$17 + 1 + $H27*$H$28, V$15)</f>
        <v>3127.0054794520547</v>
      </c>
      <c r="W27" s="315">
        <f>INDEX('Volume adjustments'!$J$527:$Y$567,W$17 + 1 + $H27*$H$28, W$15)</f>
        <v>0</v>
      </c>
      <c r="X27" s="315">
        <f>INDEX('Volume adjustments'!$J$527:$Y$567,X$17 + 1 + $H27*$H$28, X$15)</f>
        <v>106.63561643835617</v>
      </c>
      <c r="Y27" s="315">
        <f>INDEX('Volume adjustments'!$J$527:$Y$567,Y$17 + 1 + $H27*$H$28, Y$15)</f>
        <v>203.16164383561645</v>
      </c>
      <c r="Z27" s="315">
        <f>INDEX('Volume adjustments'!$J$527:$Y$567,Z$17 + 1 + $H27*$H$28, Z$15)</f>
        <v>174.21643835616439</v>
      </c>
      <c r="AA27" s="315">
        <f>INDEX('Volume adjustments'!$J$527:$Y$567,AA$17 + 1 + $H27*$H$28, AA$15)</f>
        <v>1034.6739726027397</v>
      </c>
      <c r="AB27" s="315">
        <f>INDEX('Volume adjustments'!$J$527:$Y$567,AB$17 + 1 + $H27*$H$28, AB$15)</f>
        <v>1069.3095890410959</v>
      </c>
      <c r="AC27" s="315">
        <f>INDEX('Volume adjustments'!$J$527:$Y$567,AC$17 + 1 + $H27*$H$28, AC$15)</f>
        <v>8063.7479452054795</v>
      </c>
      <c r="AD27" s="315">
        <f>INDEX('Volume adjustments'!$J$527:$Y$567,AD$17 + 1 + $H27*$H$28, AD$15)</f>
        <v>6804.5150684931505</v>
      </c>
      <c r="AE27" s="315">
        <f>INDEX('Volume adjustments'!$J$527:$Y$567,AE$17 + 1 + $H27*$H$28, AE$15)</f>
        <v>2879.1150684931508</v>
      </c>
      <c r="AF27" s="315">
        <f>INDEX('Volume adjustments'!$J$527:$Y$567,AF$17 + 1 + $H27*$H$28, AF$15)</f>
        <v>5700.8027397260275</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252</v>
      </c>
      <c r="G28" s="115" t="s">
        <v>253</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11.863</v>
      </c>
      <c r="S28" s="257">
        <f>INDEX('Volume adjustments'!$J$527:$Y$567,S$17 + 1 + $H28*$H$28, S$15)</f>
        <v>48591.389000000003</v>
      </c>
      <c r="T28" s="257">
        <f>INDEX('Volume adjustments'!$J$527:$Y$567,T$17 + 1 + $H28*$H$28, T$15)</f>
        <v>62518.572999999997</v>
      </c>
      <c r="U28" s="257">
        <f>INDEX('Volume adjustments'!$J$527:$Y$567,U$17 + 1 + $H28*$H$28, U$15)</f>
        <v>48725.938000000002</v>
      </c>
      <c r="V28" s="257">
        <f>INDEX('Volume adjustments'!$J$527:$Y$567,V$17 + 1 + $H28*$H$28, V$15)</f>
        <v>73404.600999999995</v>
      </c>
      <c r="W28" s="257">
        <f>INDEX('Volume adjustments'!$J$527:$Y$567,W$17 + 1 + $H28*$H$28, W$15)</f>
        <v>7.0000000000000007E-2</v>
      </c>
      <c r="X28" s="257">
        <f>INDEX('Volume adjustments'!$J$527:$Y$567,X$17 + 1 + $H28*$H$28, X$15)</f>
        <v>588.76400000000001</v>
      </c>
      <c r="Y28" s="257">
        <f>INDEX('Volume adjustments'!$J$527:$Y$567,Y$17 + 1 + $H28*$H$28, Y$15)</f>
        <v>963.84799999999996</v>
      </c>
      <c r="Z28" s="257">
        <f>INDEX('Volume adjustments'!$J$527:$Y$567,Z$17 + 1 + $H28*$H$28, Z$15)</f>
        <v>2040.5429999999999</v>
      </c>
      <c r="AA28" s="257">
        <f>INDEX('Volume adjustments'!$J$527:$Y$567,AA$17 + 1 + $H28*$H$28, AA$15)</f>
        <v>32654.519</v>
      </c>
      <c r="AB28" s="257">
        <f>INDEX('Volume adjustments'!$J$527:$Y$567,AB$17 + 1 + $H28*$H$28, AB$15)</f>
        <v>3977.5509999999999</v>
      </c>
      <c r="AC28" s="257">
        <f>INDEX('Volume adjustments'!$J$527:$Y$567,AC$17 + 1 + $H28*$H$28, AC$15)</f>
        <v>39956.269</v>
      </c>
      <c r="AD28" s="257">
        <f>INDEX('Volume adjustments'!$J$527:$Y$567,AD$17 + 1 + $H28*$H$28, AD$15)</f>
        <v>84751.020999999993</v>
      </c>
      <c r="AE28" s="257">
        <f>INDEX('Volume adjustments'!$J$527:$Y$567,AE$17 + 1 + $H28*$H$28, AE$15)</f>
        <v>69378.464000000007</v>
      </c>
      <c r="AF28" s="257">
        <f>INDEX('Volume adjustments'!$J$527:$Y$567,AF$17 + 1 + $H28*$H$28, AF$15)</f>
        <v>193174.59</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6266.0650000000005</v>
      </c>
      <c r="AK28" s="257">
        <f>INDEX('Volume adjustments'!$J$527:$Y$567,AK$17 + 1 + $H28*$H$28, AK$15)</f>
        <v>0</v>
      </c>
      <c r="AL28" s="257">
        <f>INDEX('Volume adjustments'!$J$527:$Y$567,AL$17 + 1 + $H28*$H$28, AL$15)</f>
        <v>448.65200000000004</v>
      </c>
      <c r="AM28" s="257">
        <f>INDEX('Volume adjustments'!$J$527:$Y$567,AM$17 + 1 + $H28*$H$28, AM$15)</f>
        <v>0</v>
      </c>
      <c r="AN28" s="257">
        <f>INDEX('Volume adjustments'!$J$527:$Y$567,AN$17 + 1 + $H28*$H$28, AN$15)</f>
        <v>31743.218000000001</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254</v>
      </c>
      <c r="F30" s="124"/>
      <c r="G30" s="124"/>
      <c r="I30" t="s">
        <v>153</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245</v>
      </c>
    </row>
    <row r="31" spans="3:43" x14ac:dyDescent="0.25">
      <c r="E31" s="60"/>
      <c r="F31" s="71" t="s">
        <v>1024</v>
      </c>
    </row>
    <row r="32" spans="3:43" x14ac:dyDescent="0.25">
      <c r="E32" s="60"/>
      <c r="F32" s="357" t="s">
        <v>1020</v>
      </c>
      <c r="G32" s="91"/>
    </row>
    <row r="33" spans="5:43" x14ac:dyDescent="0.25">
      <c r="F33" s="113" t="s">
        <v>246</v>
      </c>
      <c r="G33" s="113" t="s">
        <v>206</v>
      </c>
      <c r="H33" s="8">
        <v>0</v>
      </c>
      <c r="I33" s="90"/>
      <c r="J33" s="258">
        <f>INDEX('Volume adjustments'!$J$571:$Y$611,J$17 + 1 + $H33*$H$39, J$15)</f>
        <v>17977.821069245529</v>
      </c>
      <c r="K33" s="258">
        <f>INDEX('Volume adjustments'!$J$571:$Y$611,K$17 + 1 + $H33*$H$39, K$15)</f>
        <v>0</v>
      </c>
      <c r="L33" s="258">
        <f>INDEX('Volume adjustments'!$J$571:$Y$611,L$17 + 1 + $H33*$H$39, L$15)</f>
        <v>0</v>
      </c>
      <c r="M33" s="258">
        <f>INDEX('Volume adjustments'!$J$571:$Y$611,M$17 + 1 + $H33*$H$39, M$15)</f>
        <v>606.09777118413092</v>
      </c>
      <c r="N33" s="258">
        <f>INDEX('Volume adjustments'!$J$571:$Y$611,N$17 + 1 + $H33*$H$39, N$15)</f>
        <v>80.202188185604072</v>
      </c>
      <c r="O33" s="258">
        <f>INDEX('Volume adjustments'!$J$571:$Y$611,O$17 + 1 + $H33*$H$39, O$15)</f>
        <v>29.215108638158505</v>
      </c>
      <c r="P33" s="258">
        <f>INDEX('Volume adjustments'!$J$571:$Y$611,P$17 + 1 + $H33*$H$39, P$15)</f>
        <v>91.762725871827456</v>
      </c>
      <c r="Q33" s="258">
        <f>INDEX('Volume adjustments'!$J$571:$Y$611,Q$17 + 1 + $H33*$H$39, Q$15)</f>
        <v>0</v>
      </c>
      <c r="R33" s="258">
        <f>INDEX('Volume adjustments'!$J$571:$Y$611,R$17 + 1 + $H33*$H$39, R$15)</f>
        <v>0</v>
      </c>
      <c r="S33" s="258">
        <f>INDEX('Volume adjustments'!$J$571:$Y$611,S$17 + 1 + $H33*$H$39, S$15)</f>
        <v>116.08133897472126</v>
      </c>
      <c r="T33" s="258">
        <f>INDEX('Volume adjustments'!$J$571:$Y$611,T$17 + 1 + $H33*$H$39, T$15)</f>
        <v>633.14061621304177</v>
      </c>
      <c r="U33" s="258">
        <f>INDEX('Volume adjustments'!$J$571:$Y$611,U$17 + 1 + $H33*$H$39, U$15)</f>
        <v>1727.1928127221925</v>
      </c>
      <c r="V33" s="258">
        <f>INDEX('Volume adjustments'!$J$571:$Y$611,V$17 + 1 + $H33*$H$39, V$15)</f>
        <v>460.4606004382365</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9.4473171927800657</v>
      </c>
      <c r="AH33" s="258">
        <f>INDEX('Volume adjustments'!$J$571:$Y$611,AH$17 + 1 + $H33*$H$39, AH$15)</f>
        <v>461.60500000000002</v>
      </c>
      <c r="AI33" s="258">
        <f>INDEX('Volume adjustments'!$J$571:$Y$611,AI$17 + 1 + $H33*$H$39, AI$15)</f>
        <v>0</v>
      </c>
      <c r="AJ33" s="258">
        <f>INDEX('Volume adjustments'!$J$571:$Y$611,AJ$17 + 1 + $H33*$H$39, AJ$15)</f>
        <v>1.7350000000000001</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247</v>
      </c>
      <c r="G34" s="113" t="s">
        <v>206</v>
      </c>
      <c r="H34" s="7">
        <v>1</v>
      </c>
      <c r="J34" s="315">
        <f>INDEX('Volume adjustments'!$J$571:$Y$611,J$17 + 1 + $H34*$H$39, J$15)</f>
        <v>43109.182634741424</v>
      </c>
      <c r="K34" s="315">
        <f>INDEX('Volume adjustments'!$J$571:$Y$611,K$17 + 1 + $H34*$H$39, K$15)</f>
        <v>0</v>
      </c>
      <c r="L34" s="315">
        <f>INDEX('Volume adjustments'!$J$571:$Y$611,L$17 + 1 + $H34*$H$39, L$15)</f>
        <v>0</v>
      </c>
      <c r="M34" s="315">
        <f>INDEX('Volume adjustments'!$J$571:$Y$611,M$17 + 1 + $H34*$H$39, M$15)</f>
        <v>2189.2341803249178</v>
      </c>
      <c r="N34" s="315">
        <f>INDEX('Volume adjustments'!$J$571:$Y$611,N$17 + 1 + $H34*$H$39, N$15)</f>
        <v>287.88748602779941</v>
      </c>
      <c r="O34" s="315">
        <f>INDEX('Volume adjustments'!$J$571:$Y$611,O$17 + 1 + $H34*$H$39, O$15)</f>
        <v>102.9001902916247</v>
      </c>
      <c r="P34" s="315">
        <f>INDEX('Volume adjustments'!$J$571:$Y$611,P$17 + 1 + $H34*$H$39, P$15)</f>
        <v>237.13289333311434</v>
      </c>
      <c r="Q34" s="315">
        <f>INDEX('Volume adjustments'!$J$571:$Y$611,Q$17 + 1 + $H34*$H$39, Q$15)</f>
        <v>0</v>
      </c>
      <c r="R34" s="315">
        <f>INDEX('Volume adjustments'!$J$571:$Y$611,R$17 + 1 + $H34*$H$39, R$15)</f>
        <v>0</v>
      </c>
      <c r="S34" s="315">
        <f>INDEX('Volume adjustments'!$J$571:$Y$611,S$17 + 1 + $H34*$H$39, S$15)</f>
        <v>355.71645666194769</v>
      </c>
      <c r="T34" s="315">
        <f>INDEX('Volume adjustments'!$J$571:$Y$611,T$17 + 1 + $H34*$H$39, T$15)</f>
        <v>2053.4643141917782</v>
      </c>
      <c r="U34" s="315">
        <f>INDEX('Volume adjustments'!$J$571:$Y$611,U$17 + 1 + $H34*$H$39, U$15)</f>
        <v>5245.3026819919187</v>
      </c>
      <c r="V34" s="315">
        <f>INDEX('Volume adjustments'!$J$571:$Y$611,V$17 + 1 + $H34*$H$39, V$15)</f>
        <v>1349.1372950898653</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79.548638403142107</v>
      </c>
      <c r="AH34" s="315">
        <f>INDEX('Volume adjustments'!$J$571:$Y$611,AH$17 + 1 + $H34*$H$39, AH$15)</f>
        <v>2076.4070000000002</v>
      </c>
      <c r="AI34" s="315">
        <f>INDEX('Volume adjustments'!$J$571:$Y$611,AI$17 + 1 + $H34*$H$39, AI$15)</f>
        <v>0</v>
      </c>
      <c r="AJ34" s="315">
        <f>INDEX('Volume adjustments'!$J$571:$Y$611,AJ$17 + 1 + $H34*$H$39, AJ$15)</f>
        <v>16.108000000000001</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248</v>
      </c>
      <c r="G35" s="113" t="s">
        <v>206</v>
      </c>
      <c r="H35" s="7">
        <v>2</v>
      </c>
      <c r="J35" s="315">
        <f>INDEX('Volume adjustments'!$J$571:$Y$611,J$17 + 1 + $H35*$H$39, J$15)</f>
        <v>61508.146726310944</v>
      </c>
      <c r="K35" s="315">
        <f>INDEX('Volume adjustments'!$J$571:$Y$611,K$17 + 1 + $H35*$H$39, K$15)</f>
        <v>0</v>
      </c>
      <c r="L35" s="315">
        <f>INDEX('Volume adjustments'!$J$571:$Y$611,L$17 + 1 + $H35*$H$39, L$15)</f>
        <v>0</v>
      </c>
      <c r="M35" s="315">
        <f>INDEX('Volume adjustments'!$J$571:$Y$611,M$17 + 1 + $H35*$H$39, M$15)</f>
        <v>2279.0113760479762</v>
      </c>
      <c r="N35" s="315">
        <f>INDEX('Volume adjustments'!$J$571:$Y$611,N$17 + 1 + $H35*$H$39, N$15)</f>
        <v>302.33444331644898</v>
      </c>
      <c r="O35" s="315">
        <f>INDEX('Volume adjustments'!$J$571:$Y$611,O$17 + 1 + $H35*$H$39, O$15)</f>
        <v>107.99850833341939</v>
      </c>
      <c r="P35" s="315">
        <f>INDEX('Volume adjustments'!$J$571:$Y$611,P$17 + 1 + $H35*$H$39, P$15)</f>
        <v>237.02747694296784</v>
      </c>
      <c r="Q35" s="315">
        <f>INDEX('Volume adjustments'!$J$571:$Y$611,Q$17 + 1 + $H35*$H$39, Q$15)</f>
        <v>0</v>
      </c>
      <c r="R35" s="315">
        <f>INDEX('Volume adjustments'!$J$571:$Y$611,R$17 + 1 + $H35*$H$39, R$15)</f>
        <v>0</v>
      </c>
      <c r="S35" s="315">
        <f>INDEX('Volume adjustments'!$J$571:$Y$611,S$17 + 1 + $H35*$H$39, S$15)</f>
        <v>446.94375863973147</v>
      </c>
      <c r="T35" s="315">
        <f>INDEX('Volume adjustments'!$J$571:$Y$611,T$17 + 1 + $H35*$H$39, T$15)</f>
        <v>2647.9412407071604</v>
      </c>
      <c r="U35" s="315">
        <f>INDEX('Volume adjustments'!$J$571:$Y$611,U$17 + 1 + $H35*$H$39, U$15)</f>
        <v>7189.1907032788822</v>
      </c>
      <c r="V35" s="315">
        <f>INDEX('Volume adjustments'!$J$571:$Y$611,V$17 + 1 + $H35*$H$39, V$15)</f>
        <v>1709.1473997616572</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139.29179941102402</v>
      </c>
      <c r="AH35" s="315">
        <f>INDEX('Volume adjustments'!$J$571:$Y$611,AH$17 + 1 + $H35*$H$39, AH$15)</f>
        <v>1230.577</v>
      </c>
      <c r="AI35" s="315">
        <f>INDEX('Volume adjustments'!$J$571:$Y$611,AI$17 + 1 + $H35*$H$39, AI$15)</f>
        <v>0</v>
      </c>
      <c r="AJ35" s="315">
        <f>INDEX('Volume adjustments'!$J$571:$Y$611,AJ$17 + 1 + $H35*$H$39, AJ$15)</f>
        <v>8.6150000000000002</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211</v>
      </c>
      <c r="G36" s="113" t="s">
        <v>211</v>
      </c>
      <c r="H36" s="7">
        <v>3</v>
      </c>
      <c r="J36" s="315">
        <f>INDEX('Volume adjustments'!$J$571:$Y$611,J$17 + 1 + $H36*$H$39, J$15)</f>
        <v>44241.292567649827</v>
      </c>
      <c r="K36" s="315">
        <f>INDEX('Volume adjustments'!$J$571:$Y$611,K$17 + 1 + $H36*$H$39, K$15)</f>
        <v>0</v>
      </c>
      <c r="L36" s="315">
        <f>INDEX('Volume adjustments'!$J$571:$Y$611,L$17 + 1 + $H36*$H$39, L$15)</f>
        <v>0</v>
      </c>
      <c r="M36" s="315">
        <f>INDEX('Volume adjustments'!$J$571:$Y$611,M$17 + 1 + $H36*$H$39, M$15)</f>
        <v>485.19265346453273</v>
      </c>
      <c r="N36" s="315">
        <f>INDEX('Volume adjustments'!$J$571:$Y$611,N$17 + 1 + $H36*$H$39, N$15)</f>
        <v>78.999984080732588</v>
      </c>
      <c r="O36" s="315">
        <f>INDEX('Volume adjustments'!$J$571:$Y$611,O$17 + 1 + $H36*$H$39, O$15)</f>
        <v>28.849527410042406</v>
      </c>
      <c r="P36" s="315">
        <f>INDEX('Volume adjustments'!$J$571:$Y$611,P$17 + 1 + $H36*$H$39, P$15)</f>
        <v>33.534864192425218</v>
      </c>
      <c r="Q36" s="315">
        <f>INDEX('Volume adjustments'!$J$571:$Y$611,Q$17 + 1 + $H36*$H$39, Q$15)</f>
        <v>0</v>
      </c>
      <c r="R36" s="315">
        <f>INDEX('Volume adjustments'!$J$571:$Y$611,R$17 + 1 + $H36*$H$39, R$15)</f>
        <v>0</v>
      </c>
      <c r="S36" s="315">
        <f>INDEX('Volume adjustments'!$J$571:$Y$611,S$17 + 1 + $H36*$H$39, S$15)</f>
        <v>10.411859516406272</v>
      </c>
      <c r="T36" s="315">
        <f>INDEX('Volume adjustments'!$J$571:$Y$611,T$17 + 1 + $H36*$H$39, T$15)</f>
        <v>61.169674658886883</v>
      </c>
      <c r="U36" s="315">
        <f>INDEX('Volume adjustments'!$J$571:$Y$611,U$17 + 1 + $H36*$H$39, U$15)</f>
        <v>85.89784101035184</v>
      </c>
      <c r="V36" s="315">
        <f>INDEX('Volume adjustments'!$J$571:$Y$611,V$17 + 1 + $H36*$H$39, V$15)</f>
        <v>16.919271714160196</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149.67048054834018</v>
      </c>
      <c r="AH36" s="315">
        <f>INDEX('Volume adjustments'!$J$571:$Y$611,AH$17 + 1 + $H36*$H$39, AH$15)</f>
        <v>273.96666666666664</v>
      </c>
      <c r="AI36" s="315">
        <f>INDEX('Volume adjustments'!$J$571:$Y$611,AI$17 + 1 + $H36*$H$39, AI$15)</f>
        <v>0</v>
      </c>
      <c r="AJ36" s="315">
        <f>INDEX('Volume adjustments'!$J$571:$Y$611,AJ$17 + 1 + $H36*$H$39, AJ$15)</f>
        <v>2</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249</v>
      </c>
      <c r="G37" s="113" t="s">
        <v>250</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454</v>
      </c>
      <c r="T37" s="315">
        <f>INDEX('Volume adjustments'!$J$571:$Y$611,T$17 + 1 + $H37*$H$39, T$15)</f>
        <v>5303</v>
      </c>
      <c r="U37" s="315">
        <f>INDEX('Volume adjustments'!$J$571:$Y$611,U$17 + 1 + $H37*$H$39, U$15)</f>
        <v>11634</v>
      </c>
      <c r="V37" s="315">
        <f>INDEX('Volume adjustments'!$J$571:$Y$611,V$17 + 1 + $H37*$H$39, V$15)</f>
        <v>3665</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251</v>
      </c>
      <c r="G38" s="113" t="s">
        <v>250</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48.742465753424661</v>
      </c>
      <c r="T38" s="315">
        <f>INDEX('Volume adjustments'!$J$571:$Y$611,T$17 + 1 + $H38*$H$39, T$15)</f>
        <v>4.5041095890410956</v>
      </c>
      <c r="U38" s="315">
        <f>INDEX('Volume adjustments'!$J$571:$Y$611,U$17 + 1 + $H38*$H$39, U$15)</f>
        <v>7.7287671232876711</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252</v>
      </c>
      <c r="G39" s="115" t="s">
        <v>253</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27.48</v>
      </c>
      <c r="T39" s="257">
        <f>INDEX('Volume adjustments'!$J$571:$Y$611,T$17 + 1 + $H39*$H$39, T$15)</f>
        <v>207.57900000000001</v>
      </c>
      <c r="U39" s="257">
        <f>INDEX('Volume adjustments'!$J$571:$Y$611,U$17 + 1 + $H39*$H$39, U$15)</f>
        <v>700.91200000000003</v>
      </c>
      <c r="V39" s="257">
        <f>INDEX('Volume adjustments'!$J$571:$Y$611,V$17 + 1 + $H39*$H$39, V$15)</f>
        <v>246.82599999999999</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7.8289999999999997</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255</v>
      </c>
      <c r="F41" s="124"/>
      <c r="G41" s="124"/>
      <c r="I41" t="s">
        <v>153</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245</v>
      </c>
    </row>
    <row r="42" spans="5:43" x14ac:dyDescent="0.25">
      <c r="E42" s="60"/>
      <c r="F42" s="71" t="s">
        <v>1024</v>
      </c>
    </row>
    <row r="43" spans="5:43" x14ac:dyDescent="0.25">
      <c r="E43" s="60"/>
      <c r="F43" s="357" t="s">
        <v>1020</v>
      </c>
      <c r="G43" s="91"/>
    </row>
    <row r="44" spans="5:43" x14ac:dyDescent="0.25">
      <c r="E44" s="89"/>
      <c r="F44" s="113" t="s">
        <v>246</v>
      </c>
      <c r="G44" s="113" t="s">
        <v>206</v>
      </c>
      <c r="H44" s="8">
        <v>0</v>
      </c>
      <c r="I44" s="90"/>
      <c r="J44" s="258">
        <f>INDEX('Volume adjustments'!$J$615:$Y$655,J$17 + 1 + $H44*$H$50, J$15)</f>
        <v>26180.287942014904</v>
      </c>
      <c r="K44" s="258">
        <f>INDEX('Volume adjustments'!$J$615:$Y$655,K$17 + 1 + $H44*$H$50, K$15)</f>
        <v>2.9178128836445221</v>
      </c>
      <c r="L44" s="258">
        <f>INDEX('Volume adjustments'!$J$615:$Y$655,L$17 + 1 + $H44*$H$50, L$15)</f>
        <v>0</v>
      </c>
      <c r="M44" s="258">
        <f>INDEX('Volume adjustments'!$J$615:$Y$655,M$17 + 1 + $H44*$H$50, M$15)</f>
        <v>1316.8456250784016</v>
      </c>
      <c r="N44" s="258">
        <f>INDEX('Volume adjustments'!$J$615:$Y$655,N$17 + 1 + $H44*$H$50, N$15)</f>
        <v>22.172002937862541</v>
      </c>
      <c r="O44" s="258">
        <f>INDEX('Volume adjustments'!$J$615:$Y$655,O$17 + 1 + $H44*$H$50, O$15)</f>
        <v>127.2705460969017</v>
      </c>
      <c r="P44" s="258">
        <f>INDEX('Volume adjustments'!$J$615:$Y$655,P$17 + 1 + $H44*$H$50, P$15)</f>
        <v>94.178767375879119</v>
      </c>
      <c r="Q44" s="258">
        <f>INDEX('Volume adjustments'!$J$615:$Y$655,Q$17 + 1 + $H44*$H$50, Q$15)</f>
        <v>3.3518113487766206</v>
      </c>
      <c r="R44" s="258">
        <f>INDEX('Volume adjustments'!$J$615:$Y$655,R$17 + 1 + $H44*$H$50, R$15)</f>
        <v>0</v>
      </c>
      <c r="S44" s="258">
        <f>INDEX('Volume adjustments'!$J$615:$Y$655,S$17 + 1 + $H44*$H$50, S$15)</f>
        <v>1355.3769337394358</v>
      </c>
      <c r="T44" s="258">
        <f>INDEX('Volume adjustments'!$J$615:$Y$655,T$17 + 1 + $H44*$H$50, T$15)</f>
        <v>4327.0753516381792</v>
      </c>
      <c r="U44" s="258">
        <f>INDEX('Volume adjustments'!$J$615:$Y$655,U$17 + 1 + $H44*$H$50, U$15)</f>
        <v>1729.2185644388328</v>
      </c>
      <c r="V44" s="258">
        <f>INDEX('Volume adjustments'!$J$615:$Y$655,V$17 + 1 + $H44*$H$50, V$15)</f>
        <v>10277.690919008639</v>
      </c>
      <c r="W44" s="258">
        <f>INDEX('Volume adjustments'!$J$615:$Y$655,W$17 + 1 + $H44*$H$50, W$15)</f>
        <v>0</v>
      </c>
      <c r="X44" s="258">
        <f>INDEX('Volume adjustments'!$J$615:$Y$655,X$17 + 1 + $H44*$H$50, X$15)</f>
        <v>218.33066625405175</v>
      </c>
      <c r="Y44" s="258">
        <f>INDEX('Volume adjustments'!$J$615:$Y$655,Y$17 + 1 + $H44*$H$50, Y$15)</f>
        <v>77.628125207527304</v>
      </c>
      <c r="Z44" s="258">
        <f>INDEX('Volume adjustments'!$J$615:$Y$655,Z$17 + 1 + $H44*$H$50, Z$15)</f>
        <v>92.922440863967267</v>
      </c>
      <c r="AA44" s="258">
        <f>INDEX('Volume adjustments'!$J$615:$Y$655,AA$17 + 1 + $H44*$H$50, AA$15)</f>
        <v>4906.7742013658253</v>
      </c>
      <c r="AB44" s="258">
        <f>INDEX('Volume adjustments'!$J$615:$Y$655,AB$17 + 1 + $H44*$H$50, AB$15)</f>
        <v>0</v>
      </c>
      <c r="AC44" s="258">
        <f>INDEX('Volume adjustments'!$J$615:$Y$655,AC$17 + 1 + $H44*$H$50, AC$15)</f>
        <v>464.40461153746105</v>
      </c>
      <c r="AD44" s="258">
        <f>INDEX('Volume adjustments'!$J$615:$Y$655,AD$17 + 1 + $H44*$H$50, AD$15)</f>
        <v>1177.3266004560255</v>
      </c>
      <c r="AE44" s="258">
        <f>INDEX('Volume adjustments'!$J$615:$Y$655,AE$17 + 1 + $H44*$H$50, AE$15)</f>
        <v>3998.6130889209239</v>
      </c>
      <c r="AF44" s="258">
        <f>INDEX('Volume adjustments'!$J$615:$Y$655,AF$17 + 1 + $H44*$H$50, AF$15)</f>
        <v>8731.4520134894938</v>
      </c>
      <c r="AG44" s="258">
        <f>INDEX('Volume adjustments'!$J$615:$Y$655,AG$17 + 1 + $H44*$H$50, AG$15)</f>
        <v>20.318312455183225</v>
      </c>
      <c r="AH44" s="258">
        <f>INDEX('Volume adjustments'!$J$615:$Y$655,AH$17 + 1 + $H44*$H$50, AH$15)</f>
        <v>813.798</v>
      </c>
      <c r="AI44" s="258">
        <f>INDEX('Volume adjustments'!$J$615:$Y$655,AI$17 + 1 + $H44*$H$50, AI$15)</f>
        <v>8.0310000000000006</v>
      </c>
      <c r="AJ44" s="258">
        <f>INDEX('Volume adjustments'!$J$615:$Y$655,AJ$17 + 1 + $H44*$H$50, AJ$15)</f>
        <v>19.936</v>
      </c>
      <c r="AK44" s="258">
        <f>INDEX('Volume adjustments'!$J$615:$Y$655,AK$17 + 1 + $H44*$H$50, AK$15)</f>
        <v>0</v>
      </c>
      <c r="AL44" s="258">
        <f>INDEX('Volume adjustments'!$J$615:$Y$655,AL$17 + 1 + $H44*$H$50, AL$15)</f>
        <v>29.873000000000001</v>
      </c>
      <c r="AM44" s="258">
        <f>INDEX('Volume adjustments'!$J$615:$Y$655,AM$17 + 1 + $H44*$H$50, AM$15)</f>
        <v>0</v>
      </c>
      <c r="AN44" s="258">
        <f>INDEX('Volume adjustments'!$J$615:$Y$655,AN$17 + 1 + $H44*$H$50, AN$15)</f>
        <v>185.017</v>
      </c>
      <c r="AO44" s="258">
        <f>INDEX('Volume adjustments'!$J$615:$Y$655,AO$17 + 1 + $H44*$H$50, AO$15)</f>
        <v>0</v>
      </c>
    </row>
    <row r="45" spans="5:43" x14ac:dyDescent="0.25">
      <c r="E45" s="89"/>
      <c r="F45" s="113" t="s">
        <v>247</v>
      </c>
      <c r="G45" s="113" t="s">
        <v>206</v>
      </c>
      <c r="H45" s="7">
        <v>1</v>
      </c>
      <c r="J45" s="315">
        <f>INDEX('Volume adjustments'!$J$615:$Y$655,J$17 + 1 + $H45*$H$50, J$15)</f>
        <v>64430.8985274808</v>
      </c>
      <c r="K45" s="315">
        <f>INDEX('Volume adjustments'!$J$615:$Y$655,K$17 + 1 + $H45*$H$50, K$15)</f>
        <v>37.585016423182644</v>
      </c>
      <c r="L45" s="315">
        <f>INDEX('Volume adjustments'!$J$615:$Y$655,L$17 + 1 + $H45*$H$50, L$15)</f>
        <v>0</v>
      </c>
      <c r="M45" s="315">
        <f>INDEX('Volume adjustments'!$J$615:$Y$655,M$17 + 1 + $H45*$H$50, M$15)</f>
        <v>4740.8905524957208</v>
      </c>
      <c r="N45" s="315">
        <f>INDEX('Volume adjustments'!$J$615:$Y$655,N$17 + 1 + $H45*$H$50, N$15)</f>
        <v>82.98402930365171</v>
      </c>
      <c r="O45" s="315">
        <f>INDEX('Volume adjustments'!$J$615:$Y$655,O$17 + 1 + $H45*$H$50, O$15)</f>
        <v>459.62371139280577</v>
      </c>
      <c r="P45" s="315">
        <f>INDEX('Volume adjustments'!$J$615:$Y$655,P$17 + 1 + $H45*$H$50, P$15)</f>
        <v>337.10782339568618</v>
      </c>
      <c r="Q45" s="315">
        <f>INDEX('Volume adjustments'!$J$615:$Y$655,Q$17 + 1 + $H45*$H$50, Q$15)</f>
        <v>12.030658885079809</v>
      </c>
      <c r="R45" s="315">
        <f>INDEX('Volume adjustments'!$J$615:$Y$655,R$17 + 1 + $H45*$H$50, R$15)</f>
        <v>0</v>
      </c>
      <c r="S45" s="315">
        <f>INDEX('Volume adjustments'!$J$615:$Y$655,S$17 + 1 + $H45*$H$50, S$15)</f>
        <v>4058.2936454062669</v>
      </c>
      <c r="T45" s="315">
        <f>INDEX('Volume adjustments'!$J$615:$Y$655,T$17 + 1 + $H45*$H$50, T$15)</f>
        <v>13322.915787407239</v>
      </c>
      <c r="U45" s="315">
        <f>INDEX('Volume adjustments'!$J$615:$Y$655,U$17 + 1 + $H45*$H$50, U$15)</f>
        <v>5770.4980953606073</v>
      </c>
      <c r="V45" s="315">
        <f>INDEX('Volume adjustments'!$J$615:$Y$655,V$17 + 1 + $H45*$H$50, V$15)</f>
        <v>35396.045560490798</v>
      </c>
      <c r="W45" s="315">
        <f>INDEX('Volume adjustments'!$J$615:$Y$655,W$17 + 1 + $H45*$H$50, W$15)</f>
        <v>0</v>
      </c>
      <c r="X45" s="315">
        <f>INDEX('Volume adjustments'!$J$615:$Y$655,X$17 + 1 + $H45*$H$50, X$15)</f>
        <v>824.38904108130316</v>
      </c>
      <c r="Y45" s="315">
        <f>INDEX('Volume adjustments'!$J$615:$Y$655,Y$17 + 1 + $H45*$H$50, Y$15)</f>
        <v>439.13024212695842</v>
      </c>
      <c r="Z45" s="315">
        <f>INDEX('Volume adjustments'!$J$615:$Y$655,Z$17 + 1 + $H45*$H$50, Z$15)</f>
        <v>300.09617062474786</v>
      </c>
      <c r="AA45" s="315">
        <f>INDEX('Volume adjustments'!$J$615:$Y$655,AA$17 + 1 + $H45*$H$50, AA$15)</f>
        <v>16393.219432110294</v>
      </c>
      <c r="AB45" s="315">
        <f>INDEX('Volume adjustments'!$J$615:$Y$655,AB$17 + 1 + $H45*$H$50, AB$15)</f>
        <v>0</v>
      </c>
      <c r="AC45" s="315">
        <f>INDEX('Volume adjustments'!$J$615:$Y$655,AC$17 + 1 + $H45*$H$50, AC$15)</f>
        <v>1494.6274486993891</v>
      </c>
      <c r="AD45" s="315">
        <f>INDEX('Volume adjustments'!$J$615:$Y$655,AD$17 + 1 + $H45*$H$50, AD$15)</f>
        <v>4009.9926476218538</v>
      </c>
      <c r="AE45" s="315">
        <f>INDEX('Volume adjustments'!$J$615:$Y$655,AE$17 + 1 + $H45*$H$50, AE$15)</f>
        <v>13221.923356245488</v>
      </c>
      <c r="AF45" s="315">
        <f>INDEX('Volume adjustments'!$J$615:$Y$655,AF$17 + 1 + $H45*$H$50, AF$15)</f>
        <v>27222.186648607254</v>
      </c>
      <c r="AG45" s="315">
        <f>INDEX('Volume adjustments'!$J$615:$Y$655,AG$17 + 1 + $H45*$H$50, AG$15)</f>
        <v>191.74568924558483</v>
      </c>
      <c r="AH45" s="315">
        <f>INDEX('Volume adjustments'!$J$615:$Y$655,AH$17 + 1 + $H45*$H$50, AH$15)</f>
        <v>3713.4470000000006</v>
      </c>
      <c r="AI45" s="315">
        <f>INDEX('Volume adjustments'!$J$615:$Y$655,AI$17 + 1 + $H45*$H$50, AI$15)</f>
        <v>28.257000000000001</v>
      </c>
      <c r="AJ45" s="315">
        <f>INDEX('Volume adjustments'!$J$615:$Y$655,AJ$17 + 1 + $H45*$H$50, AJ$15)</f>
        <v>113.25500000000001</v>
      </c>
      <c r="AK45" s="315">
        <f>INDEX('Volume adjustments'!$J$615:$Y$655,AK$17 + 1 + $H45*$H$50, AK$15)</f>
        <v>0</v>
      </c>
      <c r="AL45" s="315">
        <f>INDEX('Volume adjustments'!$J$615:$Y$655,AL$17 + 1 + $H45*$H$50, AL$15)</f>
        <v>93.573000000000008</v>
      </c>
      <c r="AM45" s="315">
        <f>INDEX('Volume adjustments'!$J$615:$Y$655,AM$17 + 1 + $H45*$H$50, AM$15)</f>
        <v>0</v>
      </c>
      <c r="AN45" s="315">
        <f>INDEX('Volume adjustments'!$J$615:$Y$655,AN$17 + 1 + $H45*$H$50, AN$15)</f>
        <v>534.005</v>
      </c>
      <c r="AO45" s="315">
        <f>INDEX('Volume adjustments'!$J$615:$Y$655,AO$17 + 1 + $H45*$H$50, AO$15)</f>
        <v>0</v>
      </c>
    </row>
    <row r="46" spans="5:43" x14ac:dyDescent="0.25">
      <c r="E46" s="89"/>
      <c r="F46" s="113" t="s">
        <v>248</v>
      </c>
      <c r="G46" s="113" t="s">
        <v>206</v>
      </c>
      <c r="H46" s="7">
        <v>2</v>
      </c>
      <c r="J46" s="315">
        <f>INDEX('Volume adjustments'!$J$615:$Y$655,J$17 + 1 + $H46*$H$50, J$15)</f>
        <v>93183.244893325929</v>
      </c>
      <c r="K46" s="315">
        <f>INDEX('Volume adjustments'!$J$615:$Y$655,K$17 + 1 + $H46*$H$50, K$15)</f>
        <v>86.400026579674773</v>
      </c>
      <c r="L46" s="315">
        <f>INDEX('Volume adjustments'!$J$615:$Y$655,L$17 + 1 + $H46*$H$50, L$15)</f>
        <v>0</v>
      </c>
      <c r="M46" s="315">
        <f>INDEX('Volume adjustments'!$J$615:$Y$655,M$17 + 1 + $H46*$H$50, M$15)</f>
        <v>5020.3715681761723</v>
      </c>
      <c r="N46" s="315">
        <f>INDEX('Volume adjustments'!$J$615:$Y$655,N$17 + 1 + $H46*$H$50, N$15)</f>
        <v>82.401682231027394</v>
      </c>
      <c r="O46" s="315">
        <f>INDEX('Volume adjustments'!$J$615:$Y$655,O$17 + 1 + $H46*$H$50, O$15)</f>
        <v>466.17927796079323</v>
      </c>
      <c r="P46" s="315">
        <f>INDEX('Volume adjustments'!$J$615:$Y$655,P$17 + 1 + $H46*$H$50, P$15)</f>
        <v>354.81085578143637</v>
      </c>
      <c r="Q46" s="315">
        <f>INDEX('Volume adjustments'!$J$615:$Y$655,Q$17 + 1 + $H46*$H$50, Q$15)</f>
        <v>14.576916202439337</v>
      </c>
      <c r="R46" s="315">
        <f>INDEX('Volume adjustments'!$J$615:$Y$655,R$17 + 1 + $H46*$H$50, R$15)</f>
        <v>0</v>
      </c>
      <c r="S46" s="315">
        <f>INDEX('Volume adjustments'!$J$615:$Y$655,S$17 + 1 + $H46*$H$50, S$15)</f>
        <v>5473.1342243402678</v>
      </c>
      <c r="T46" s="315">
        <f>INDEX('Volume adjustments'!$J$615:$Y$655,T$17 + 1 + $H46*$H$50, T$15)</f>
        <v>17468.033583326061</v>
      </c>
      <c r="U46" s="315">
        <f>INDEX('Volume adjustments'!$J$615:$Y$655,U$17 + 1 + $H46*$H$50, U$15)</f>
        <v>5958.384879216831</v>
      </c>
      <c r="V46" s="315">
        <f>INDEX('Volume adjustments'!$J$615:$Y$655,V$17 + 1 + $H46*$H$50, V$15)</f>
        <v>40588.499905114419</v>
      </c>
      <c r="W46" s="315">
        <f>INDEX('Volume adjustments'!$J$615:$Y$655,W$17 + 1 + $H46*$H$50, W$15)</f>
        <v>0</v>
      </c>
      <c r="X46" s="315">
        <f>INDEX('Volume adjustments'!$J$615:$Y$655,X$17 + 1 + $H46*$H$50, X$15)</f>
        <v>944.34441610643944</v>
      </c>
      <c r="Y46" s="315">
        <f>INDEX('Volume adjustments'!$J$615:$Y$655,Y$17 + 1 + $H46*$H$50, Y$15)</f>
        <v>278.20663555320618</v>
      </c>
      <c r="Z46" s="315">
        <f>INDEX('Volume adjustments'!$J$615:$Y$655,Z$17 + 1 + $H46*$H$50, Z$15)</f>
        <v>438.97240525780006</v>
      </c>
      <c r="AA46" s="315">
        <f>INDEX('Volume adjustments'!$J$615:$Y$655,AA$17 + 1 + $H46*$H$50, AA$15)</f>
        <v>18921.687660404932</v>
      </c>
      <c r="AB46" s="315">
        <f>INDEX('Volume adjustments'!$J$615:$Y$655,AB$17 + 1 + $H46*$H$50, AB$15)</f>
        <v>0</v>
      </c>
      <c r="AC46" s="315">
        <f>INDEX('Volume adjustments'!$J$615:$Y$655,AC$17 + 1 + $H46*$H$50, AC$15)</f>
        <v>2630.9626544242637</v>
      </c>
      <c r="AD46" s="315">
        <f>INDEX('Volume adjustments'!$J$615:$Y$655,AD$17 + 1 + $H46*$H$50, AD$15)</f>
        <v>4217.2762956844263</v>
      </c>
      <c r="AE46" s="315">
        <f>INDEX('Volume adjustments'!$J$615:$Y$655,AE$17 + 1 + $H46*$H$50, AE$15)</f>
        <v>17654.082138721071</v>
      </c>
      <c r="AF46" s="315">
        <f>INDEX('Volume adjustments'!$J$615:$Y$655,AF$17 + 1 + $H46*$H$50, AF$15)</f>
        <v>44303.078921377855</v>
      </c>
      <c r="AG46" s="315">
        <f>INDEX('Volume adjustments'!$J$615:$Y$655,AG$17 + 1 + $H46*$H$50, AG$15)</f>
        <v>299.78858933193914</v>
      </c>
      <c r="AH46" s="315">
        <f>INDEX('Volume adjustments'!$J$615:$Y$655,AH$17 + 1 + $H46*$H$50, AH$15)</f>
        <v>2195.2260000000001</v>
      </c>
      <c r="AI46" s="315">
        <f>INDEX('Volume adjustments'!$J$615:$Y$655,AI$17 + 1 + $H46*$H$50, AI$15)</f>
        <v>18.324999999999999</v>
      </c>
      <c r="AJ46" s="315">
        <f>INDEX('Volume adjustments'!$J$615:$Y$655,AJ$17 + 1 + $H46*$H$50, AJ$15)</f>
        <v>68.24799999999999</v>
      </c>
      <c r="AK46" s="315">
        <f>INDEX('Volume adjustments'!$J$615:$Y$655,AK$17 + 1 + $H46*$H$50, AK$15)</f>
        <v>0</v>
      </c>
      <c r="AL46" s="315">
        <f>INDEX('Volume adjustments'!$J$615:$Y$655,AL$17 + 1 + $H46*$H$50, AL$15)</f>
        <v>105.008</v>
      </c>
      <c r="AM46" s="315">
        <f>INDEX('Volume adjustments'!$J$615:$Y$655,AM$17 + 1 + $H46*$H$50, AM$15)</f>
        <v>0</v>
      </c>
      <c r="AN46" s="315">
        <f>INDEX('Volume adjustments'!$J$615:$Y$655,AN$17 + 1 + $H46*$H$50, AN$15)</f>
        <v>839.64599999999996</v>
      </c>
      <c r="AO46" s="315">
        <f>INDEX('Volume adjustments'!$J$615:$Y$655,AO$17 + 1 + $H46*$H$50, AO$15)</f>
        <v>0</v>
      </c>
    </row>
    <row r="47" spans="5:43" x14ac:dyDescent="0.25">
      <c r="E47" s="89"/>
      <c r="F47" s="113" t="s">
        <v>211</v>
      </c>
      <c r="G47" s="113" t="s">
        <v>211</v>
      </c>
      <c r="H47" s="7">
        <v>3</v>
      </c>
      <c r="J47" s="315">
        <f>INDEX('Volume adjustments'!$J$615:$Y$655,J$17 + 1 + $H47*$H$50, J$15)</f>
        <v>69159.345207045189</v>
      </c>
      <c r="K47" s="315">
        <f>INDEX('Volume adjustments'!$J$615:$Y$655,K$17 + 1 + $H47*$H$50, K$15)</f>
        <v>145.76603322968793</v>
      </c>
      <c r="L47" s="315">
        <f>INDEX('Volume adjustments'!$J$615:$Y$655,L$17 + 1 + $H47*$H$50, L$15)</f>
        <v>0</v>
      </c>
      <c r="M47" s="315">
        <f>INDEX('Volume adjustments'!$J$615:$Y$655,M$17 + 1 + $H47*$H$50, M$15)</f>
        <v>1105.2188876665264</v>
      </c>
      <c r="N47" s="315">
        <f>INDEX('Volume adjustments'!$J$615:$Y$655,N$17 + 1 + $H47*$H$50, N$15)</f>
        <v>48.154850263379018</v>
      </c>
      <c r="O47" s="315">
        <f>INDEX('Volume adjustments'!$J$615:$Y$655,O$17 + 1 + $H47*$H$50, O$15)</f>
        <v>125.11584518881543</v>
      </c>
      <c r="P47" s="315">
        <f>INDEX('Volume adjustments'!$J$615:$Y$655,P$17 + 1 + $H47*$H$50, P$15)</f>
        <v>41.647438065625089</v>
      </c>
      <c r="Q47" s="315">
        <f>INDEX('Volume adjustments'!$J$615:$Y$655,Q$17 + 1 + $H47*$H$50, Q$15)</f>
        <v>1.301482439550784</v>
      </c>
      <c r="R47" s="315">
        <f>INDEX('Volume adjustments'!$J$615:$Y$655,R$17 + 1 + $H47*$H$50, R$15)</f>
        <v>0</v>
      </c>
      <c r="S47" s="315">
        <f>INDEX('Volume adjustments'!$J$615:$Y$655,S$17 + 1 + $H47*$H$50, S$15)</f>
        <v>122.33934931777377</v>
      </c>
      <c r="T47" s="315">
        <f>INDEX('Volume adjustments'!$J$615:$Y$655,T$17 + 1 + $H47*$H$50, T$15)</f>
        <v>212.14163764677789</v>
      </c>
      <c r="U47" s="315">
        <f>INDEX('Volume adjustments'!$J$615:$Y$655,U$17 + 1 + $H47*$H$50, U$15)</f>
        <v>96.309700526758036</v>
      </c>
      <c r="V47" s="315">
        <f>INDEX('Volume adjustments'!$J$615:$Y$655,V$17 + 1 + $H47*$H$50, V$15)</f>
        <v>242.07573375644597</v>
      </c>
      <c r="W47" s="315">
        <f>INDEX('Volume adjustments'!$J$615:$Y$655,W$17 + 1 + $H47*$H$50, W$15)</f>
        <v>0</v>
      </c>
      <c r="X47" s="315">
        <f>INDEX('Volume adjustments'!$J$615:$Y$655,X$17 + 1 + $H47*$H$50, X$15)</f>
        <v>2.602964879101568</v>
      </c>
      <c r="Y47" s="315">
        <f>INDEX('Volume adjustments'!$J$615:$Y$655,Y$17 + 1 + $H47*$H$50, Y$15)</f>
        <v>2.602964879101568</v>
      </c>
      <c r="Z47" s="315">
        <f>INDEX('Volume adjustments'!$J$615:$Y$655,Z$17 + 1 + $H47*$H$50, Z$15)</f>
        <v>3.9044473186523536</v>
      </c>
      <c r="AA47" s="315">
        <f>INDEX('Volume adjustments'!$J$615:$Y$655,AA$17 + 1 + $H47*$H$50, AA$15)</f>
        <v>67.677086856640784</v>
      </c>
      <c r="AB47" s="315">
        <f>INDEX('Volume adjustments'!$J$615:$Y$655,AB$17 + 1 + $H47*$H$50, AB$15)</f>
        <v>0</v>
      </c>
      <c r="AC47" s="315">
        <f>INDEX('Volume adjustments'!$J$615:$Y$655,AC$17 + 1 + $H47*$H$50, AC$15)</f>
        <v>9.1103770768554959</v>
      </c>
      <c r="AD47" s="315">
        <f>INDEX('Volume adjustments'!$J$615:$Y$655,AD$17 + 1 + $H47*$H$50, AD$15)</f>
        <v>11.713341955957061</v>
      </c>
      <c r="AE47" s="315">
        <f>INDEX('Volume adjustments'!$J$615:$Y$655,AE$17 + 1 + $H47*$H$50, AE$15)</f>
        <v>14.316306835058628</v>
      </c>
      <c r="AF47" s="315">
        <f>INDEX('Volume adjustments'!$J$615:$Y$655,AF$17 + 1 + $H47*$H$50, AF$15)</f>
        <v>15.617789274609414</v>
      </c>
      <c r="AG47" s="315">
        <f>INDEX('Volume adjustments'!$J$615:$Y$655,AG$17 + 1 + $H47*$H$50, AG$15)</f>
        <v>243.37721619599679</v>
      </c>
      <c r="AH47" s="315">
        <f>INDEX('Volume adjustments'!$J$615:$Y$655,AH$17 + 1 + $H47*$H$50, AH$15)</f>
        <v>541.53333333333342</v>
      </c>
      <c r="AI47" s="315">
        <f>INDEX('Volume adjustments'!$J$615:$Y$655,AI$17 + 1 + $H47*$H$50, AI$15)</f>
        <v>2</v>
      </c>
      <c r="AJ47" s="315">
        <f>INDEX('Volume adjustments'!$J$615:$Y$655,AJ$17 + 1 + $H47*$H$50, AJ$15)</f>
        <v>11</v>
      </c>
      <c r="AK47" s="315">
        <f>INDEX('Volume adjustments'!$J$615:$Y$655,AK$17 + 1 + $H47*$H$50, AK$15)</f>
        <v>0</v>
      </c>
      <c r="AL47" s="315">
        <f>INDEX('Volume adjustments'!$J$615:$Y$655,AL$17 + 1 + $H47*$H$50, AL$15)</f>
        <v>3</v>
      </c>
      <c r="AM47" s="315">
        <f>INDEX('Volume adjustments'!$J$615:$Y$655,AM$17 + 1 + $H47*$H$50, AM$15)</f>
        <v>0</v>
      </c>
      <c r="AN47" s="315">
        <f>INDEX('Volume adjustments'!$J$615:$Y$655,AN$17 + 1 + $H47*$H$50, AN$15)</f>
        <v>4</v>
      </c>
      <c r="AO47" s="315">
        <f>INDEX('Volume adjustments'!$J$615:$Y$655,AO$17 + 1 + $H47*$H$50, AO$15)</f>
        <v>0</v>
      </c>
    </row>
    <row r="48" spans="5:43" x14ac:dyDescent="0.25">
      <c r="E48" s="89"/>
      <c r="F48" s="113" t="s">
        <v>249</v>
      </c>
      <c r="G48" s="113" t="s">
        <v>250</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7581</v>
      </c>
      <c r="T48" s="315">
        <f>INDEX('Volume adjustments'!$J$615:$Y$655,T$17 + 1 + $H48*$H$50, T$15)</f>
        <v>25551</v>
      </c>
      <c r="U48" s="315">
        <f>INDEX('Volume adjustments'!$J$615:$Y$655,U$17 + 1 + $H48*$H$50, U$15)</f>
        <v>12453</v>
      </c>
      <c r="V48" s="315">
        <f>INDEX('Volume adjustments'!$J$615:$Y$655,V$17 + 1 + $H48*$H$50, V$15)</f>
        <v>105163</v>
      </c>
      <c r="W48" s="315">
        <f>INDEX('Volume adjustments'!$J$615:$Y$655,W$17 + 1 + $H48*$H$50, W$15)</f>
        <v>0</v>
      </c>
      <c r="X48" s="315">
        <f>INDEX('Volume adjustments'!$J$615:$Y$655,X$17 + 1 + $H48*$H$50, X$15)</f>
        <v>375</v>
      </c>
      <c r="Y48" s="315">
        <f>INDEX('Volume adjustments'!$J$615:$Y$655,Y$17 + 1 + $H48*$H$50, Y$15)</f>
        <v>200</v>
      </c>
      <c r="Z48" s="315">
        <f>INDEX('Volume adjustments'!$J$615:$Y$655,Z$17 + 1 + $H48*$H$50, Z$15)</f>
        <v>1342</v>
      </c>
      <c r="AA48" s="315">
        <f>INDEX('Volume adjustments'!$J$615:$Y$655,AA$17 + 1 + $H48*$H$50, AA$15)</f>
        <v>34514</v>
      </c>
      <c r="AB48" s="315">
        <f>INDEX('Volume adjustments'!$J$615:$Y$655,AB$17 + 1 + $H48*$H$50, AB$15)</f>
        <v>0</v>
      </c>
      <c r="AC48" s="315">
        <f>INDEX('Volume adjustments'!$J$615:$Y$655,AC$17 + 1 + $H48*$H$50, AC$15)</f>
        <v>1859</v>
      </c>
      <c r="AD48" s="315">
        <f>INDEX('Volume adjustments'!$J$615:$Y$655,AD$17 + 1 + $H48*$H$50, AD$15)</f>
        <v>7023</v>
      </c>
      <c r="AE48" s="315">
        <f>INDEX('Volume adjustments'!$J$615:$Y$655,AE$17 + 1 + $H48*$H$50, AE$15)</f>
        <v>17263</v>
      </c>
      <c r="AF48" s="315">
        <f>INDEX('Volume adjustments'!$J$615:$Y$655,AF$17 + 1 + $H48*$H$50, AF$15)</f>
        <v>45505</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251</v>
      </c>
      <c r="G49" s="113" t="s">
        <v>250</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6.4109589041095889</v>
      </c>
      <c r="T49" s="315">
        <f>INDEX('Volume adjustments'!$J$615:$Y$655,T$17 + 1 + $H49*$H$50, T$15)</f>
        <v>0</v>
      </c>
      <c r="U49" s="315">
        <f>INDEX('Volume adjustments'!$J$615:$Y$655,U$17 + 1 + $H49*$H$50, U$15)</f>
        <v>0</v>
      </c>
      <c r="V49" s="315">
        <f>INDEX('Volume adjustments'!$J$615:$Y$655,V$17 + 1 + $H49*$H$50, V$15)</f>
        <v>15.032876712328767</v>
      </c>
      <c r="W49" s="315">
        <f>INDEX('Volume adjustments'!$J$615:$Y$655,W$17 + 1 + $H49*$H$50, W$15)</f>
        <v>0</v>
      </c>
      <c r="X49" s="315">
        <f>INDEX('Volume adjustments'!$J$615:$Y$655,X$17 + 1 + $H49*$H$50, X$15)</f>
        <v>0</v>
      </c>
      <c r="Y49" s="315">
        <f>INDEX('Volume adjustments'!$J$615:$Y$655,Y$17 + 1 + $H49*$H$50, Y$15)</f>
        <v>123.18082191780822</v>
      </c>
      <c r="Z49" s="315">
        <f>INDEX('Volume adjustments'!$J$615:$Y$655,Z$17 + 1 + $H49*$H$50, Z$15)</f>
        <v>0</v>
      </c>
      <c r="AA49" s="315">
        <f>INDEX('Volume adjustments'!$J$615:$Y$655,AA$17 + 1 + $H49*$H$50, AA$15)</f>
        <v>0</v>
      </c>
      <c r="AB49" s="315">
        <f>INDEX('Volume adjustments'!$J$615:$Y$655,AB$17 + 1 + $H49*$H$50, AB$15)</f>
        <v>0</v>
      </c>
      <c r="AC49" s="315">
        <f>INDEX('Volume adjustments'!$J$615:$Y$655,AC$17 + 1 + $H49*$H$50, AC$15)</f>
        <v>0</v>
      </c>
      <c r="AD49" s="315">
        <f>INDEX('Volume adjustments'!$J$615:$Y$655,AD$17 + 1 + $H49*$H$50, AD$15)</f>
        <v>0</v>
      </c>
      <c r="AE49" s="315">
        <f>INDEX('Volume adjustments'!$J$615:$Y$655,AE$17 + 1 + $H49*$H$50, AE$15)</f>
        <v>0</v>
      </c>
      <c r="AF49" s="315">
        <f>INDEX('Volume adjustments'!$J$615:$Y$655,AF$17 + 1 + $H49*$H$50, AF$15)</f>
        <v>55.715068493150682</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252</v>
      </c>
      <c r="G50" s="115" t="s">
        <v>253</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528.8993999999999</v>
      </c>
      <c r="T50" s="257">
        <f>INDEX('Volume adjustments'!$J$615:$Y$655,T$17 + 1 + $H50*$H$50, T$15)</f>
        <v>1529.115</v>
      </c>
      <c r="U50" s="257">
        <f>INDEX('Volume adjustments'!$J$615:$Y$655,U$17 + 1 + $H50*$H$50, U$15)</f>
        <v>519.25900000000001</v>
      </c>
      <c r="V50" s="257">
        <f>INDEX('Volume adjustments'!$J$615:$Y$655,V$17 + 1 + $H50*$H$50, V$15)</f>
        <v>6146.74</v>
      </c>
      <c r="W50" s="257">
        <f>INDEX('Volume adjustments'!$J$615:$Y$655,W$17 + 1 + $H50*$H$50, W$15)</f>
        <v>0</v>
      </c>
      <c r="X50" s="257">
        <f>INDEX('Volume adjustments'!$J$615:$Y$655,X$17 + 1 + $H50*$H$50, X$15)</f>
        <v>81.244</v>
      </c>
      <c r="Y50" s="257">
        <f>INDEX('Volume adjustments'!$J$615:$Y$655,Y$17 + 1 + $H50*$H$50, Y$15)</f>
        <v>25.257000000000001</v>
      </c>
      <c r="Z50" s="257">
        <f>INDEX('Volume adjustments'!$J$615:$Y$655,Z$17 + 1 + $H50*$H$50, Z$15)</f>
        <v>13.010999999999999</v>
      </c>
      <c r="AA50" s="257">
        <f>INDEX('Volume adjustments'!$J$615:$Y$655,AA$17 + 1 + $H50*$H$50, AA$15)</f>
        <v>2521.4229999999998</v>
      </c>
      <c r="AB50" s="257">
        <f>INDEX('Volume adjustments'!$J$615:$Y$655,AB$17 + 1 + $H50*$H$50, AB$15)</f>
        <v>0</v>
      </c>
      <c r="AC50" s="257">
        <f>INDEX('Volume adjustments'!$J$615:$Y$655,AC$17 + 1 + $H50*$H$50, AC$15)</f>
        <v>57.902000000000001</v>
      </c>
      <c r="AD50" s="257">
        <f>INDEX('Volume adjustments'!$J$615:$Y$655,AD$17 + 1 + $H50*$H$50, AD$15)</f>
        <v>122.77500000000001</v>
      </c>
      <c r="AE50" s="257">
        <f>INDEX('Volume adjustments'!$J$615:$Y$655,AE$17 + 1 + $H50*$H$50, AE$15)</f>
        <v>575.66499999999996</v>
      </c>
      <c r="AF50" s="257">
        <f>INDEX('Volume adjustments'!$J$615:$Y$655,AF$17 + 1 + $H50*$H$50, AF$15)</f>
        <v>8944.7510000000002</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35.960999999999999</v>
      </c>
      <c r="AK50" s="257">
        <f>INDEX('Volume adjustments'!$J$615:$Y$655,AK$17 + 1 + $H50*$H$50, AK$15)</f>
        <v>0</v>
      </c>
      <c r="AL50" s="257">
        <f>INDEX('Volume adjustments'!$J$615:$Y$655,AL$17 + 1 + $H50*$H$50, AL$15)</f>
        <v>166.20500000000001</v>
      </c>
      <c r="AM50" s="257">
        <f>INDEX('Volume adjustments'!$J$615:$Y$655,AM$17 + 1 + $H50*$H$50, AM$15)</f>
        <v>0</v>
      </c>
      <c r="AN50" s="257">
        <f>INDEX('Volume adjustments'!$J$615:$Y$655,AN$17 + 1 + $H50*$H$50, AN$15)</f>
        <v>206.58199999999999</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756</v>
      </c>
      <c r="G54" s="46"/>
      <c r="I54" t="s">
        <v>153</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154</v>
      </c>
    </row>
    <row r="55" spans="3:43" x14ac:dyDescent="0.25">
      <c r="F55" s="90" t="s">
        <v>155</v>
      </c>
      <c r="G55" s="138" t="s">
        <v>268</v>
      </c>
      <c r="H55" s="276"/>
      <c r="I55" s="264"/>
      <c r="J55" s="276">
        <f>Rounding!J150</f>
        <v>5.2939999999999996</v>
      </c>
      <c r="K55" s="276">
        <f>Rounding!K150</f>
        <v>5.2939999999999996</v>
      </c>
      <c r="L55" s="276">
        <f>Rounding!L150</f>
        <v>6.4189999999999996</v>
      </c>
      <c r="M55" s="276">
        <f>Rounding!M150</f>
        <v>6.4189999999999996</v>
      </c>
      <c r="N55" s="276">
        <f>Rounding!N150</f>
        <v>6.4189999999999996</v>
      </c>
      <c r="O55" s="276">
        <f>Rounding!O150</f>
        <v>6.4189999999999996</v>
      </c>
      <c r="P55" s="276">
        <f>Rounding!P150</f>
        <v>6.4189999999999996</v>
      </c>
      <c r="Q55" s="276">
        <f>Rounding!Q150</f>
        <v>6.4189999999999996</v>
      </c>
      <c r="R55" s="276">
        <f>Rounding!R150</f>
        <v>4.5</v>
      </c>
      <c r="S55" s="276">
        <f>Rounding!S150</f>
        <v>4.5</v>
      </c>
      <c r="T55" s="276">
        <f>Rounding!T150</f>
        <v>4.5</v>
      </c>
      <c r="U55" s="276">
        <f>Rounding!U150</f>
        <v>4.5</v>
      </c>
      <c r="V55" s="276">
        <f>Rounding!V150</f>
        <v>4.5</v>
      </c>
      <c r="W55" s="276">
        <f>Rounding!W150</f>
        <v>2.83</v>
      </c>
      <c r="X55" s="276">
        <f>Rounding!X150</f>
        <v>2.83</v>
      </c>
      <c r="Y55" s="276">
        <f>Rounding!Y150</f>
        <v>2.83</v>
      </c>
      <c r="Z55" s="276">
        <f>Rounding!Z150</f>
        <v>2.83</v>
      </c>
      <c r="AA55" s="276">
        <f>Rounding!AA150</f>
        <v>2.83</v>
      </c>
      <c r="AB55" s="276">
        <f>Rounding!AB150</f>
        <v>1.93</v>
      </c>
      <c r="AC55" s="276">
        <f>Rounding!AC150</f>
        <v>1.93</v>
      </c>
      <c r="AD55" s="276">
        <f>Rounding!AD150</f>
        <v>1.93</v>
      </c>
      <c r="AE55" s="276">
        <f>Rounding!AE150</f>
        <v>1.93</v>
      </c>
      <c r="AF55" s="276">
        <f>Rounding!AF150</f>
        <v>1.93</v>
      </c>
      <c r="AG55" s="276">
        <f>Rounding!AG150</f>
        <v>15.82</v>
      </c>
      <c r="AH55" s="276">
        <f>Rounding!AH150</f>
        <v>-3.915</v>
      </c>
      <c r="AI55" s="276">
        <f>Rounding!AI150</f>
        <v>-3.2360000000000002</v>
      </c>
      <c r="AJ55" s="276">
        <f>Rounding!AJ150</f>
        <v>-3.915</v>
      </c>
      <c r="AK55" s="276">
        <f>Rounding!AK150</f>
        <v>-3.915</v>
      </c>
      <c r="AL55" s="276">
        <f>Rounding!AL150</f>
        <v>-3.2360000000000002</v>
      </c>
      <c r="AM55" s="276">
        <f>Rounding!AM150</f>
        <v>-3.2360000000000002</v>
      </c>
      <c r="AN55" s="276">
        <f>Rounding!AN150</f>
        <v>-2.198</v>
      </c>
      <c r="AO55" s="276">
        <f>Rounding!AO150</f>
        <v>-2.198</v>
      </c>
      <c r="AP55" s="266"/>
      <c r="AQ55" s="266"/>
    </row>
    <row r="56" spans="3:43" x14ac:dyDescent="0.25">
      <c r="E56" s="89"/>
      <c r="F56" t="s">
        <v>156</v>
      </c>
      <c r="G56" s="46" t="s">
        <v>268</v>
      </c>
      <c r="H56" s="277"/>
      <c r="I56" s="266"/>
      <c r="J56" s="277">
        <f>Rounding!J151</f>
        <v>1.7410000000000001</v>
      </c>
      <c r="K56" s="277">
        <f>Rounding!K151</f>
        <v>1.7410000000000001</v>
      </c>
      <c r="L56" s="277">
        <f>Rounding!L151</f>
        <v>2.1110000000000002</v>
      </c>
      <c r="M56" s="277">
        <f>Rounding!M151</f>
        <v>2.1110000000000002</v>
      </c>
      <c r="N56" s="277">
        <f>Rounding!N151</f>
        <v>2.1110000000000002</v>
      </c>
      <c r="O56" s="277">
        <f>Rounding!O151</f>
        <v>2.1110000000000002</v>
      </c>
      <c r="P56" s="277">
        <f>Rounding!P151</f>
        <v>2.1110000000000002</v>
      </c>
      <c r="Q56" s="277">
        <f>Rounding!Q151</f>
        <v>2.1110000000000002</v>
      </c>
      <c r="R56" s="277">
        <f>Rounding!R151</f>
        <v>1.4430000000000001</v>
      </c>
      <c r="S56" s="277">
        <f>Rounding!S151</f>
        <v>1.4430000000000001</v>
      </c>
      <c r="T56" s="277">
        <f>Rounding!T151</f>
        <v>1.4430000000000001</v>
      </c>
      <c r="U56" s="277">
        <f>Rounding!U151</f>
        <v>1.4430000000000001</v>
      </c>
      <c r="V56" s="277">
        <f>Rounding!V151</f>
        <v>1.4430000000000001</v>
      </c>
      <c r="W56" s="277">
        <f>Rounding!W151</f>
        <v>0.85399999999999998</v>
      </c>
      <c r="X56" s="277">
        <f>Rounding!X151</f>
        <v>0.85399999999999998</v>
      </c>
      <c r="Y56" s="277">
        <f>Rounding!Y151</f>
        <v>0.85399999999999998</v>
      </c>
      <c r="Z56" s="277">
        <f>Rounding!Z151</f>
        <v>0.85399999999999998</v>
      </c>
      <c r="AA56" s="277">
        <f>Rounding!AA151</f>
        <v>0.85399999999999998</v>
      </c>
      <c r="AB56" s="277">
        <f>Rounding!AB151</f>
        <v>0.54600000000000004</v>
      </c>
      <c r="AC56" s="277">
        <f>Rounding!AC151</f>
        <v>0.54600000000000004</v>
      </c>
      <c r="AD56" s="277">
        <f>Rounding!AD151</f>
        <v>0.54600000000000004</v>
      </c>
      <c r="AE56" s="277">
        <f>Rounding!AE151</f>
        <v>0.54600000000000004</v>
      </c>
      <c r="AF56" s="277">
        <f>Rounding!AF151</f>
        <v>0.54600000000000004</v>
      </c>
      <c r="AG56" s="277">
        <f>Rounding!AG151</f>
        <v>2.145</v>
      </c>
      <c r="AH56" s="277">
        <f>Rounding!AH151</f>
        <v>-1.288</v>
      </c>
      <c r="AI56" s="277">
        <f>Rounding!AI151</f>
        <v>-1.0489999999999999</v>
      </c>
      <c r="AJ56" s="277">
        <f>Rounding!AJ151</f>
        <v>-1.288</v>
      </c>
      <c r="AK56" s="277">
        <f>Rounding!AK151</f>
        <v>-1.288</v>
      </c>
      <c r="AL56" s="277">
        <f>Rounding!AL151</f>
        <v>-1.0489999999999999</v>
      </c>
      <c r="AM56" s="277">
        <f>Rounding!AM151</f>
        <v>-1.0489999999999999</v>
      </c>
      <c r="AN56" s="277">
        <f>Rounding!AN151</f>
        <v>-0.66300000000000003</v>
      </c>
      <c r="AO56" s="277">
        <f>Rounding!AO151</f>
        <v>-0.66300000000000003</v>
      </c>
      <c r="AP56" s="266"/>
      <c r="AQ56" s="266"/>
    </row>
    <row r="57" spans="3:43" x14ac:dyDescent="0.25">
      <c r="E57" s="89"/>
      <c r="F57" t="s">
        <v>157</v>
      </c>
      <c r="G57" s="46" t="s">
        <v>268</v>
      </c>
      <c r="H57" s="277"/>
      <c r="I57" s="266"/>
      <c r="J57" s="277">
        <f>Rounding!J152</f>
        <v>0.25700000000000001</v>
      </c>
      <c r="K57" s="277">
        <f>Rounding!K152</f>
        <v>0.25700000000000001</v>
      </c>
      <c r="L57" s="277">
        <f>Rounding!L152</f>
        <v>0.312</v>
      </c>
      <c r="M57" s="277">
        <f>Rounding!M152</f>
        <v>0.312</v>
      </c>
      <c r="N57" s="277">
        <f>Rounding!N152</f>
        <v>0.312</v>
      </c>
      <c r="O57" s="277">
        <f>Rounding!O152</f>
        <v>0.312</v>
      </c>
      <c r="P57" s="277">
        <f>Rounding!P152</f>
        <v>0.312</v>
      </c>
      <c r="Q57" s="277">
        <f>Rounding!Q152</f>
        <v>0.312</v>
      </c>
      <c r="R57" s="277">
        <f>Rounding!R152</f>
        <v>0.20799999999999999</v>
      </c>
      <c r="S57" s="277">
        <f>Rounding!S152</f>
        <v>0.20799999999999999</v>
      </c>
      <c r="T57" s="277">
        <f>Rounding!T152</f>
        <v>0.20799999999999999</v>
      </c>
      <c r="U57" s="277">
        <f>Rounding!U152</f>
        <v>0.20799999999999999</v>
      </c>
      <c r="V57" s="277">
        <f>Rounding!V152</f>
        <v>0.20799999999999999</v>
      </c>
      <c r="W57" s="277">
        <f>Rounding!W152</f>
        <v>0.114</v>
      </c>
      <c r="X57" s="277">
        <f>Rounding!X152</f>
        <v>0.114</v>
      </c>
      <c r="Y57" s="277">
        <f>Rounding!Y152</f>
        <v>0.114</v>
      </c>
      <c r="Z57" s="277">
        <f>Rounding!Z152</f>
        <v>0.114</v>
      </c>
      <c r="AA57" s="277">
        <f>Rounding!AA152</f>
        <v>0.114</v>
      </c>
      <c r="AB57" s="277">
        <f>Rounding!AB152</f>
        <v>6.7000000000000004E-2</v>
      </c>
      <c r="AC57" s="277">
        <f>Rounding!AC152</f>
        <v>6.7000000000000004E-2</v>
      </c>
      <c r="AD57" s="277">
        <f>Rounding!AD152</f>
        <v>6.7000000000000004E-2</v>
      </c>
      <c r="AE57" s="277">
        <f>Rounding!AE152</f>
        <v>6.7000000000000004E-2</v>
      </c>
      <c r="AF57" s="277">
        <f>Rounding!AF152</f>
        <v>6.7000000000000004E-2</v>
      </c>
      <c r="AG57" s="277">
        <f>Rounding!AG152</f>
        <v>0.78500000000000003</v>
      </c>
      <c r="AH57" s="277">
        <f>Rounding!AH152</f>
        <v>-0.19</v>
      </c>
      <c r="AI57" s="277">
        <f>Rounding!AI152</f>
        <v>-0.152</v>
      </c>
      <c r="AJ57" s="277">
        <f>Rounding!AJ152</f>
        <v>-0.19</v>
      </c>
      <c r="AK57" s="277">
        <f>Rounding!AK152</f>
        <v>-0.19</v>
      </c>
      <c r="AL57" s="277">
        <f>Rounding!AL152</f>
        <v>-0.152</v>
      </c>
      <c r="AM57" s="277">
        <f>Rounding!AM152</f>
        <v>-0.152</v>
      </c>
      <c r="AN57" s="277">
        <f>Rounding!AN152</f>
        <v>-8.8999999999999996E-2</v>
      </c>
      <c r="AO57" s="277">
        <f>Rounding!AO152</f>
        <v>-8.8999999999999996E-2</v>
      </c>
      <c r="AP57" s="266"/>
      <c r="AQ57" s="266"/>
    </row>
    <row r="58" spans="3:43" x14ac:dyDescent="0.25">
      <c r="E58" s="89"/>
      <c r="F58" t="s">
        <v>158</v>
      </c>
      <c r="G58" s="46" t="s">
        <v>269</v>
      </c>
      <c r="H58" s="63"/>
      <c r="J58" s="163">
        <f>Rounding!J153</f>
        <v>16.989999999999998</v>
      </c>
      <c r="K58" s="163">
        <f>Rounding!K153</f>
        <v>0</v>
      </c>
      <c r="L58" s="163">
        <f>Rounding!L153</f>
        <v>12.3</v>
      </c>
      <c r="M58" s="163">
        <f>Rounding!M153</f>
        <v>16.36</v>
      </c>
      <c r="N58" s="163">
        <f>Rounding!N153</f>
        <v>22.65</v>
      </c>
      <c r="O58" s="163">
        <f>Rounding!O153</f>
        <v>36.909999999999997</v>
      </c>
      <c r="P58" s="163">
        <f>Rounding!P153</f>
        <v>78.25</v>
      </c>
      <c r="Q58" s="163">
        <f>Rounding!Q153</f>
        <v>0</v>
      </c>
      <c r="R58" s="163">
        <f>Rounding!R153</f>
        <v>16.48</v>
      </c>
      <c r="S58" s="163">
        <f>Rounding!S153</f>
        <v>126.71</v>
      </c>
      <c r="T58" s="163">
        <f>Rounding!T153</f>
        <v>231.22</v>
      </c>
      <c r="U58" s="163">
        <f>Rounding!U153</f>
        <v>343.16</v>
      </c>
      <c r="V58" s="163">
        <f>Rounding!V153</f>
        <v>719.99</v>
      </c>
      <c r="W58" s="163">
        <f>Rounding!W153</f>
        <v>16.48</v>
      </c>
      <c r="X58" s="163">
        <f>Rounding!X153</f>
        <v>126.71</v>
      </c>
      <c r="Y58" s="163">
        <f>Rounding!Y153</f>
        <v>231.22</v>
      </c>
      <c r="Z58" s="163">
        <f>Rounding!Z153</f>
        <v>343.16</v>
      </c>
      <c r="AA58" s="163">
        <f>Rounding!AA153</f>
        <v>719.99</v>
      </c>
      <c r="AB58" s="163">
        <f>Rounding!AB153</f>
        <v>431.64</v>
      </c>
      <c r="AC58" s="163">
        <f>Rounding!AC153</f>
        <v>1094.1099999999999</v>
      </c>
      <c r="AD58" s="163">
        <f>Rounding!AD153</f>
        <v>2321.33</v>
      </c>
      <c r="AE58" s="163">
        <f>Rounding!AE153</f>
        <v>4527.07</v>
      </c>
      <c r="AF58" s="163">
        <f>Rounding!AF153</f>
        <v>10167.82</v>
      </c>
      <c r="AG58" s="163">
        <f>Rounding!AG153</f>
        <v>0</v>
      </c>
      <c r="AH58" s="163">
        <f>Rounding!AH153</f>
        <v>0</v>
      </c>
      <c r="AI58" s="163">
        <f>Rounding!AI153</f>
        <v>0</v>
      </c>
      <c r="AJ58" s="163">
        <f>Rounding!AJ153</f>
        <v>0</v>
      </c>
      <c r="AK58" s="163">
        <f>Rounding!AK153</f>
        <v>0</v>
      </c>
      <c r="AL58" s="163">
        <f>Rounding!AL153</f>
        <v>0</v>
      </c>
      <c r="AM58" s="163">
        <f>Rounding!AM153</f>
        <v>0</v>
      </c>
      <c r="AN58" s="163">
        <f>Rounding!AN153</f>
        <v>95.93</v>
      </c>
      <c r="AO58" s="163">
        <f>Rounding!AO153</f>
        <v>95.93</v>
      </c>
    </row>
    <row r="59" spans="3:43" x14ac:dyDescent="0.25">
      <c r="E59" s="89"/>
      <c r="F59" t="s">
        <v>159</v>
      </c>
      <c r="G59" s="46" t="s">
        <v>270</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3.67</v>
      </c>
      <c r="S59" s="163">
        <f>Rounding!S154</f>
        <v>3.67</v>
      </c>
      <c r="T59" s="163">
        <f>Rounding!T154</f>
        <v>3.67</v>
      </c>
      <c r="U59" s="163">
        <f>Rounding!U154</f>
        <v>3.67</v>
      </c>
      <c r="V59" s="163">
        <f>Rounding!V154</f>
        <v>3.67</v>
      </c>
      <c r="W59" s="163">
        <f>Rounding!W154</f>
        <v>2.86</v>
      </c>
      <c r="X59" s="163">
        <f>Rounding!X154</f>
        <v>2.86</v>
      </c>
      <c r="Y59" s="163">
        <f>Rounding!Y154</f>
        <v>2.86</v>
      </c>
      <c r="Z59" s="163">
        <f>Rounding!Z154</f>
        <v>2.86</v>
      </c>
      <c r="AA59" s="163">
        <f>Rounding!AA154</f>
        <v>2.86</v>
      </c>
      <c r="AB59" s="163">
        <f>Rounding!AB154</f>
        <v>3.36</v>
      </c>
      <c r="AC59" s="163">
        <f>Rounding!AC154</f>
        <v>3.36</v>
      </c>
      <c r="AD59" s="163">
        <f>Rounding!AD154</f>
        <v>3.36</v>
      </c>
      <c r="AE59" s="163">
        <f>Rounding!AE154</f>
        <v>3.36</v>
      </c>
      <c r="AF59" s="163">
        <f>Rounding!AF154</f>
        <v>3.36</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160</v>
      </c>
      <c r="G60" s="46" t="s">
        <v>270</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3.67</v>
      </c>
      <c r="S60" s="163">
        <f>Rounding!S155</f>
        <v>3.67</v>
      </c>
      <c r="T60" s="163">
        <f>Rounding!T155</f>
        <v>3.67</v>
      </c>
      <c r="U60" s="163">
        <f>Rounding!U155</f>
        <v>3.67</v>
      </c>
      <c r="V60" s="163">
        <f>Rounding!V155</f>
        <v>3.67</v>
      </c>
      <c r="W60" s="163">
        <f>Rounding!W155</f>
        <v>2.86</v>
      </c>
      <c r="X60" s="163">
        <f>Rounding!X155</f>
        <v>2.86</v>
      </c>
      <c r="Y60" s="163">
        <f>Rounding!Y155</f>
        <v>2.86</v>
      </c>
      <c r="Z60" s="163">
        <f>Rounding!Z155</f>
        <v>2.86</v>
      </c>
      <c r="AA60" s="163">
        <f>Rounding!AA155</f>
        <v>2.86</v>
      </c>
      <c r="AB60" s="163">
        <f>Rounding!AB155</f>
        <v>3.36</v>
      </c>
      <c r="AC60" s="163">
        <f>Rounding!AC155</f>
        <v>3.36</v>
      </c>
      <c r="AD60" s="163">
        <f>Rounding!AD155</f>
        <v>3.36</v>
      </c>
      <c r="AE60" s="163">
        <f>Rounding!AE155</f>
        <v>3.36</v>
      </c>
      <c r="AF60" s="163">
        <f>Rounding!AF155</f>
        <v>3.36</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161</v>
      </c>
      <c r="G61" s="139" t="s">
        <v>271</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0.13300000000000001</v>
      </c>
      <c r="S61" s="314">
        <f>Rounding!S156</f>
        <v>0.13300000000000001</v>
      </c>
      <c r="T61" s="314">
        <f>Rounding!T156</f>
        <v>0.13300000000000001</v>
      </c>
      <c r="U61" s="314">
        <f>Rounding!U156</f>
        <v>0.13300000000000001</v>
      </c>
      <c r="V61" s="314">
        <f>Rounding!V156</f>
        <v>0.13300000000000001</v>
      </c>
      <c r="W61" s="314">
        <f>Rounding!W156</f>
        <v>7.5999999999999998E-2</v>
      </c>
      <c r="X61" s="314">
        <f>Rounding!X156</f>
        <v>7.5999999999999998E-2</v>
      </c>
      <c r="Y61" s="314">
        <f>Rounding!Y156</f>
        <v>7.5999999999999998E-2</v>
      </c>
      <c r="Z61" s="314">
        <f>Rounding!Z156</f>
        <v>7.5999999999999998E-2</v>
      </c>
      <c r="AA61" s="314">
        <f>Rounding!AA156</f>
        <v>7.5999999999999998E-2</v>
      </c>
      <c r="AB61" s="314">
        <f>Rounding!AB156</f>
        <v>4.7E-2</v>
      </c>
      <c r="AC61" s="314">
        <f>Rounding!AC156</f>
        <v>4.7E-2</v>
      </c>
      <c r="AD61" s="314">
        <f>Rounding!AD156</f>
        <v>4.7E-2</v>
      </c>
      <c r="AE61" s="314">
        <f>Rounding!AE156</f>
        <v>4.7E-2</v>
      </c>
      <c r="AF61" s="314">
        <f>Rounding!AF156</f>
        <v>4.7E-2</v>
      </c>
      <c r="AG61" s="314">
        <f>Rounding!AG156</f>
        <v>0</v>
      </c>
      <c r="AH61" s="314">
        <f>Rounding!AH156</f>
        <v>0</v>
      </c>
      <c r="AI61" s="314">
        <f>Rounding!AI156</f>
        <v>0</v>
      </c>
      <c r="AJ61" s="314">
        <f>Rounding!AJ156</f>
        <v>0.106</v>
      </c>
      <c r="AK61" s="314">
        <f>Rounding!AK156</f>
        <v>0</v>
      </c>
      <c r="AL61" s="314">
        <f>Rounding!AL156</f>
        <v>9.7000000000000003E-2</v>
      </c>
      <c r="AM61" s="314">
        <f>Rounding!AM156</f>
        <v>0</v>
      </c>
      <c r="AN61" s="314">
        <f>Rounding!AN156</f>
        <v>8.5000000000000006E-2</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757</v>
      </c>
      <c r="G63" s="46"/>
      <c r="I63" t="s">
        <v>153</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154</v>
      </c>
    </row>
    <row r="64" spans="3:43" x14ac:dyDescent="0.25">
      <c r="F64" s="90" t="s">
        <v>155</v>
      </c>
      <c r="G64" s="138" t="s">
        <v>268</v>
      </c>
      <c r="H64" s="276"/>
      <c r="I64" s="264"/>
      <c r="J64" s="276">
        <f>Rounding!J159</f>
        <v>3.1440000000000001</v>
      </c>
      <c r="K64" s="276">
        <f>Rounding!K159</f>
        <v>3.1440000000000001</v>
      </c>
      <c r="L64" s="276">
        <f>Rounding!L159</f>
        <v>3.8119999999999998</v>
      </c>
      <c r="M64" s="276">
        <f>Rounding!M159</f>
        <v>3.8119999999999998</v>
      </c>
      <c r="N64" s="276">
        <f>Rounding!N159</f>
        <v>3.8119999999999998</v>
      </c>
      <c r="O64" s="276">
        <f>Rounding!O159</f>
        <v>3.8119999999999998</v>
      </c>
      <c r="P64" s="276">
        <f>Rounding!P159</f>
        <v>3.8119999999999998</v>
      </c>
      <c r="Q64" s="276">
        <f>Rounding!Q159</f>
        <v>3.8119999999999998</v>
      </c>
      <c r="R64" s="276">
        <f>Rounding!R159</f>
        <v>2.6720000000000002</v>
      </c>
      <c r="S64" s="276">
        <f>Rounding!S159</f>
        <v>2.6720000000000002</v>
      </c>
      <c r="T64" s="276">
        <f>Rounding!T159</f>
        <v>2.6720000000000002</v>
      </c>
      <c r="U64" s="276">
        <f>Rounding!U159</f>
        <v>2.6720000000000002</v>
      </c>
      <c r="V64" s="276">
        <f>Rounding!V159</f>
        <v>2.6720000000000002</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9.3949999999999996</v>
      </c>
      <c r="AH64" s="276">
        <f>Rounding!AH159</f>
        <v>-3.915</v>
      </c>
      <c r="AI64" s="276">
        <f>Rounding!AI159</f>
        <v>0</v>
      </c>
      <c r="AJ64" s="276">
        <f>Rounding!AJ159</f>
        <v>-3.915</v>
      </c>
      <c r="AK64" s="276">
        <f>Rounding!AK159</f>
        <v>0</v>
      </c>
      <c r="AL64" s="276">
        <f>Rounding!AL159</f>
        <v>0</v>
      </c>
      <c r="AM64" s="276">
        <f>Rounding!AM159</f>
        <v>0</v>
      </c>
      <c r="AN64" s="276">
        <f>Rounding!AN159</f>
        <v>0</v>
      </c>
      <c r="AO64" s="276">
        <f>Rounding!AO159</f>
        <v>0</v>
      </c>
      <c r="AP64" s="266"/>
      <c r="AQ64" s="266"/>
    </row>
    <row r="65" spans="3:43" x14ac:dyDescent="0.25">
      <c r="E65" s="89"/>
      <c r="F65" t="s">
        <v>156</v>
      </c>
      <c r="G65" s="46" t="s">
        <v>268</v>
      </c>
      <c r="H65" s="277"/>
      <c r="I65" s="266"/>
      <c r="J65" s="277">
        <f>Rounding!J160</f>
        <v>1.034</v>
      </c>
      <c r="K65" s="277">
        <f>Rounding!K160</f>
        <v>1.034</v>
      </c>
      <c r="L65" s="277">
        <f>Rounding!L160</f>
        <v>1.254</v>
      </c>
      <c r="M65" s="277">
        <f>Rounding!M160</f>
        <v>1.254</v>
      </c>
      <c r="N65" s="277">
        <f>Rounding!N160</f>
        <v>1.254</v>
      </c>
      <c r="O65" s="277">
        <f>Rounding!O160</f>
        <v>1.254</v>
      </c>
      <c r="P65" s="277">
        <f>Rounding!P160</f>
        <v>1.254</v>
      </c>
      <c r="Q65" s="277">
        <f>Rounding!Q160</f>
        <v>1.254</v>
      </c>
      <c r="R65" s="277">
        <f>Rounding!R160</f>
        <v>0.85699999999999998</v>
      </c>
      <c r="S65" s="277">
        <f>Rounding!S160</f>
        <v>0.85699999999999998</v>
      </c>
      <c r="T65" s="277">
        <f>Rounding!T160</f>
        <v>0.85699999999999998</v>
      </c>
      <c r="U65" s="277">
        <f>Rounding!U160</f>
        <v>0.85699999999999998</v>
      </c>
      <c r="V65" s="277">
        <f>Rounding!V160</f>
        <v>0.85699999999999998</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1.274</v>
      </c>
      <c r="AH65" s="277">
        <f>Rounding!AH160</f>
        <v>-1.288</v>
      </c>
      <c r="AI65" s="277">
        <f>Rounding!AI160</f>
        <v>0</v>
      </c>
      <c r="AJ65" s="277">
        <f>Rounding!AJ160</f>
        <v>-1.288</v>
      </c>
      <c r="AK65" s="277">
        <f>Rounding!AK160</f>
        <v>0</v>
      </c>
      <c r="AL65" s="277">
        <f>Rounding!AL160</f>
        <v>0</v>
      </c>
      <c r="AM65" s="277">
        <f>Rounding!AM160</f>
        <v>0</v>
      </c>
      <c r="AN65" s="277">
        <f>Rounding!AN160</f>
        <v>0</v>
      </c>
      <c r="AO65" s="277">
        <f>Rounding!AO160</f>
        <v>0</v>
      </c>
      <c r="AP65" s="266"/>
      <c r="AQ65" s="266"/>
    </row>
    <row r="66" spans="3:43" x14ac:dyDescent="0.25">
      <c r="E66" s="89"/>
      <c r="F66" t="s">
        <v>157</v>
      </c>
      <c r="G66" s="46" t="s">
        <v>268</v>
      </c>
      <c r="H66" s="277"/>
      <c r="I66" s="266"/>
      <c r="J66" s="277">
        <f>Rounding!J161</f>
        <v>0.153</v>
      </c>
      <c r="K66" s="277">
        <f>Rounding!K161</f>
        <v>0.153</v>
      </c>
      <c r="L66" s="277">
        <f>Rounding!L161</f>
        <v>0.185</v>
      </c>
      <c r="M66" s="277">
        <f>Rounding!M161</f>
        <v>0.185</v>
      </c>
      <c r="N66" s="277">
        <f>Rounding!N161</f>
        <v>0.185</v>
      </c>
      <c r="O66" s="277">
        <f>Rounding!O161</f>
        <v>0.185</v>
      </c>
      <c r="P66" s="277">
        <f>Rounding!P161</f>
        <v>0.185</v>
      </c>
      <c r="Q66" s="277">
        <f>Rounding!Q161</f>
        <v>0.185</v>
      </c>
      <c r="R66" s="277">
        <f>Rounding!R161</f>
        <v>0.123</v>
      </c>
      <c r="S66" s="277">
        <f>Rounding!S161</f>
        <v>0.123</v>
      </c>
      <c r="T66" s="277">
        <f>Rounding!T161</f>
        <v>0.123</v>
      </c>
      <c r="U66" s="277">
        <f>Rounding!U161</f>
        <v>0.123</v>
      </c>
      <c r="V66" s="277">
        <f>Rounding!V161</f>
        <v>0.123</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0.46600000000000003</v>
      </c>
      <c r="AH66" s="277">
        <f>Rounding!AH161</f>
        <v>-0.19</v>
      </c>
      <c r="AI66" s="277">
        <f>Rounding!AI161</f>
        <v>0</v>
      </c>
      <c r="AJ66" s="277">
        <f>Rounding!AJ161</f>
        <v>-0.19</v>
      </c>
      <c r="AK66" s="277">
        <f>Rounding!AK161</f>
        <v>0</v>
      </c>
      <c r="AL66" s="277">
        <f>Rounding!AL161</f>
        <v>0</v>
      </c>
      <c r="AM66" s="277">
        <f>Rounding!AM161</f>
        <v>0</v>
      </c>
      <c r="AN66" s="277">
        <f>Rounding!AN161</f>
        <v>0</v>
      </c>
      <c r="AO66" s="277">
        <f>Rounding!AO161</f>
        <v>0</v>
      </c>
      <c r="AP66" s="266"/>
      <c r="AQ66" s="266"/>
    </row>
    <row r="67" spans="3:43" x14ac:dyDescent="0.25">
      <c r="E67" s="89"/>
      <c r="F67" t="s">
        <v>158</v>
      </c>
      <c r="G67" s="46" t="s">
        <v>269</v>
      </c>
      <c r="H67" s="63"/>
      <c r="J67" s="163">
        <f>Rounding!J162</f>
        <v>10.09</v>
      </c>
      <c r="K67" s="163">
        <f>Rounding!K162</f>
        <v>0</v>
      </c>
      <c r="L67" s="163">
        <f>Rounding!L162</f>
        <v>7.31</v>
      </c>
      <c r="M67" s="163">
        <f>Rounding!M162</f>
        <v>9.7100000000000009</v>
      </c>
      <c r="N67" s="163">
        <f>Rounding!N162</f>
        <v>13.45</v>
      </c>
      <c r="O67" s="163">
        <f>Rounding!O162</f>
        <v>21.92</v>
      </c>
      <c r="P67" s="163">
        <f>Rounding!P162</f>
        <v>46.47</v>
      </c>
      <c r="Q67" s="163">
        <f>Rounding!Q162</f>
        <v>0</v>
      </c>
      <c r="R67" s="163">
        <f>Rounding!R162</f>
        <v>9.7899999999999991</v>
      </c>
      <c r="S67" s="163">
        <f>Rounding!S162</f>
        <v>75.25</v>
      </c>
      <c r="T67" s="163">
        <f>Rounding!T162</f>
        <v>137.32</v>
      </c>
      <c r="U67" s="163">
        <f>Rounding!U162</f>
        <v>203.8</v>
      </c>
      <c r="V67" s="163">
        <f>Rounding!V162</f>
        <v>427.59</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159</v>
      </c>
      <c r="G68" s="46" t="s">
        <v>270</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2.1800000000000002</v>
      </c>
      <c r="S68" s="163">
        <f>Rounding!S163</f>
        <v>2.1800000000000002</v>
      </c>
      <c r="T68" s="163">
        <f>Rounding!T163</f>
        <v>2.1800000000000002</v>
      </c>
      <c r="U68" s="163">
        <f>Rounding!U163</f>
        <v>2.1800000000000002</v>
      </c>
      <c r="V68" s="163">
        <f>Rounding!V163</f>
        <v>2.1800000000000002</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160</v>
      </c>
      <c r="G69" s="46" t="s">
        <v>270</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2.1800000000000002</v>
      </c>
      <c r="S69" s="163">
        <f>Rounding!S164</f>
        <v>2.1800000000000002</v>
      </c>
      <c r="T69" s="163">
        <f>Rounding!T164</f>
        <v>2.1800000000000002</v>
      </c>
      <c r="U69" s="163">
        <f>Rounding!U164</f>
        <v>2.1800000000000002</v>
      </c>
      <c r="V69" s="163">
        <f>Rounding!V164</f>
        <v>2.1800000000000002</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161</v>
      </c>
      <c r="G70" s="139" t="s">
        <v>271</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7.9000000000000001E-2</v>
      </c>
      <c r="S70" s="314">
        <f>Rounding!S165</f>
        <v>7.9000000000000001E-2</v>
      </c>
      <c r="T70" s="314">
        <f>Rounding!T165</f>
        <v>7.9000000000000001E-2</v>
      </c>
      <c r="U70" s="314">
        <f>Rounding!U165</f>
        <v>7.9000000000000001E-2</v>
      </c>
      <c r="V70" s="314">
        <f>Rounding!V165</f>
        <v>7.9000000000000001E-2</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0.106</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758</v>
      </c>
      <c r="G72" s="46"/>
      <c r="I72" t="s">
        <v>153</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154</v>
      </c>
    </row>
    <row r="73" spans="3:43" x14ac:dyDescent="0.25">
      <c r="C73" s="100"/>
      <c r="F73" s="90" t="s">
        <v>155</v>
      </c>
      <c r="G73" s="138" t="s">
        <v>268</v>
      </c>
      <c r="H73" s="276"/>
      <c r="I73" s="264"/>
      <c r="J73" s="276">
        <f>Rounding!J168</f>
        <v>2.1840000000000002</v>
      </c>
      <c r="K73" s="276">
        <f>Rounding!K168</f>
        <v>2.1840000000000002</v>
      </c>
      <c r="L73" s="276">
        <f>Rounding!L168</f>
        <v>2.6480000000000001</v>
      </c>
      <c r="M73" s="276">
        <f>Rounding!M168</f>
        <v>2.6480000000000001</v>
      </c>
      <c r="N73" s="276">
        <f>Rounding!N168</f>
        <v>2.6480000000000001</v>
      </c>
      <c r="O73" s="276">
        <f>Rounding!O168</f>
        <v>2.6480000000000001</v>
      </c>
      <c r="P73" s="276">
        <f>Rounding!P168</f>
        <v>2.6480000000000001</v>
      </c>
      <c r="Q73" s="276">
        <f>Rounding!Q168</f>
        <v>2.6480000000000001</v>
      </c>
      <c r="R73" s="276">
        <f>Rounding!R168</f>
        <v>1.857</v>
      </c>
      <c r="S73" s="276">
        <f>Rounding!S168</f>
        <v>1.857</v>
      </c>
      <c r="T73" s="276">
        <f>Rounding!T168</f>
        <v>1.857</v>
      </c>
      <c r="U73" s="276">
        <f>Rounding!U168</f>
        <v>1.857</v>
      </c>
      <c r="V73" s="276">
        <f>Rounding!V168</f>
        <v>1.857</v>
      </c>
      <c r="W73" s="276">
        <f>Rounding!W168</f>
        <v>1.9750000000000001</v>
      </c>
      <c r="X73" s="276">
        <f>Rounding!X168</f>
        <v>1.9750000000000001</v>
      </c>
      <c r="Y73" s="276">
        <f>Rounding!Y168</f>
        <v>1.9750000000000001</v>
      </c>
      <c r="Z73" s="276">
        <f>Rounding!Z168</f>
        <v>1.9750000000000001</v>
      </c>
      <c r="AA73" s="276">
        <f>Rounding!AA168</f>
        <v>1.9750000000000001</v>
      </c>
      <c r="AB73" s="276">
        <f>Rounding!AB168</f>
        <v>1.6870000000000001</v>
      </c>
      <c r="AC73" s="276">
        <f>Rounding!AC168</f>
        <v>1.6870000000000001</v>
      </c>
      <c r="AD73" s="276">
        <f>Rounding!AD168</f>
        <v>1.6870000000000001</v>
      </c>
      <c r="AE73" s="276">
        <f>Rounding!AE168</f>
        <v>1.6870000000000001</v>
      </c>
      <c r="AF73" s="276">
        <f>Rounding!AF168</f>
        <v>1.6870000000000001</v>
      </c>
      <c r="AG73" s="276">
        <f>Rounding!AG168</f>
        <v>6.5270000000000001</v>
      </c>
      <c r="AH73" s="276">
        <f>Rounding!AH168</f>
        <v>-3.915</v>
      </c>
      <c r="AI73" s="276">
        <f>Rounding!AI168</f>
        <v>-3.2360000000000002</v>
      </c>
      <c r="AJ73" s="276">
        <f>Rounding!AJ168</f>
        <v>-3.915</v>
      </c>
      <c r="AK73" s="276">
        <f>Rounding!AK168</f>
        <v>0</v>
      </c>
      <c r="AL73" s="276">
        <f>Rounding!AL168</f>
        <v>-3.2360000000000002</v>
      </c>
      <c r="AM73" s="276">
        <f>Rounding!AM168</f>
        <v>0</v>
      </c>
      <c r="AN73" s="276">
        <f>Rounding!AN168</f>
        <v>-2.198</v>
      </c>
      <c r="AO73" s="276">
        <f>Rounding!AO168</f>
        <v>0</v>
      </c>
      <c r="AP73" s="266"/>
      <c r="AQ73" s="266"/>
    </row>
    <row r="74" spans="3:43" x14ac:dyDescent="0.25">
      <c r="C74" s="100"/>
      <c r="F74" t="s">
        <v>156</v>
      </c>
      <c r="G74" s="46" t="s">
        <v>268</v>
      </c>
      <c r="H74" s="277"/>
      <c r="I74" s="266"/>
      <c r="J74" s="277">
        <f>Rounding!J169</f>
        <v>0.71799999999999997</v>
      </c>
      <c r="K74" s="277">
        <f>Rounding!K169</f>
        <v>0.71799999999999997</v>
      </c>
      <c r="L74" s="277">
        <f>Rounding!L169</f>
        <v>0.871</v>
      </c>
      <c r="M74" s="277">
        <f>Rounding!M169</f>
        <v>0.871</v>
      </c>
      <c r="N74" s="277">
        <f>Rounding!N169</f>
        <v>0.871</v>
      </c>
      <c r="O74" s="277">
        <f>Rounding!O169</f>
        <v>0.871</v>
      </c>
      <c r="P74" s="277">
        <f>Rounding!P169</f>
        <v>0.871</v>
      </c>
      <c r="Q74" s="277">
        <f>Rounding!Q169</f>
        <v>0.871</v>
      </c>
      <c r="R74" s="277">
        <f>Rounding!R169</f>
        <v>0.59499999999999997</v>
      </c>
      <c r="S74" s="277">
        <f>Rounding!S169</f>
        <v>0.59499999999999997</v>
      </c>
      <c r="T74" s="277">
        <f>Rounding!T169</f>
        <v>0.59499999999999997</v>
      </c>
      <c r="U74" s="277">
        <f>Rounding!U169</f>
        <v>0.59499999999999997</v>
      </c>
      <c r="V74" s="277">
        <f>Rounding!V169</f>
        <v>0.59499999999999997</v>
      </c>
      <c r="W74" s="277">
        <f>Rounding!W169</f>
        <v>0.59599999999999997</v>
      </c>
      <c r="X74" s="277">
        <f>Rounding!X169</f>
        <v>0.59599999999999997</v>
      </c>
      <c r="Y74" s="277">
        <f>Rounding!Y169</f>
        <v>0.59599999999999997</v>
      </c>
      <c r="Z74" s="277">
        <f>Rounding!Z169</f>
        <v>0.59599999999999997</v>
      </c>
      <c r="AA74" s="277">
        <f>Rounding!AA169</f>
        <v>0.59599999999999997</v>
      </c>
      <c r="AB74" s="277">
        <f>Rounding!AB169</f>
        <v>0.47699999999999998</v>
      </c>
      <c r="AC74" s="277">
        <f>Rounding!AC169</f>
        <v>0.47699999999999998</v>
      </c>
      <c r="AD74" s="277">
        <f>Rounding!AD169</f>
        <v>0.47699999999999998</v>
      </c>
      <c r="AE74" s="277">
        <f>Rounding!AE169</f>
        <v>0.47699999999999998</v>
      </c>
      <c r="AF74" s="277">
        <f>Rounding!AF169</f>
        <v>0.47699999999999998</v>
      </c>
      <c r="AG74" s="277">
        <f>Rounding!AG169</f>
        <v>0.88500000000000001</v>
      </c>
      <c r="AH74" s="277">
        <f>Rounding!AH169</f>
        <v>-1.288</v>
      </c>
      <c r="AI74" s="277">
        <f>Rounding!AI169</f>
        <v>-1.0489999999999999</v>
      </c>
      <c r="AJ74" s="277">
        <f>Rounding!AJ169</f>
        <v>-1.288</v>
      </c>
      <c r="AK74" s="277">
        <f>Rounding!AK169</f>
        <v>0</v>
      </c>
      <c r="AL74" s="277">
        <f>Rounding!AL169</f>
        <v>-1.0489999999999999</v>
      </c>
      <c r="AM74" s="277">
        <f>Rounding!AM169</f>
        <v>0</v>
      </c>
      <c r="AN74" s="277">
        <f>Rounding!AN169</f>
        <v>-0.66300000000000003</v>
      </c>
      <c r="AO74" s="277">
        <f>Rounding!AO169</f>
        <v>0</v>
      </c>
      <c r="AP74" s="266"/>
      <c r="AQ74" s="266"/>
    </row>
    <row r="75" spans="3:43" x14ac:dyDescent="0.25">
      <c r="C75" s="100"/>
      <c r="F75" t="s">
        <v>157</v>
      </c>
      <c r="G75" s="46" t="s">
        <v>268</v>
      </c>
      <c r="H75" s="277"/>
      <c r="I75" s="266"/>
      <c r="J75" s="277">
        <f>Rounding!J170</f>
        <v>0.106</v>
      </c>
      <c r="K75" s="277">
        <f>Rounding!K170</f>
        <v>0.106</v>
      </c>
      <c r="L75" s="277">
        <f>Rounding!L170</f>
        <v>0.129</v>
      </c>
      <c r="M75" s="277">
        <f>Rounding!M170</f>
        <v>0.129</v>
      </c>
      <c r="N75" s="277">
        <f>Rounding!N170</f>
        <v>0.129</v>
      </c>
      <c r="O75" s="277">
        <f>Rounding!O170</f>
        <v>0.129</v>
      </c>
      <c r="P75" s="277">
        <f>Rounding!P170</f>
        <v>0.129</v>
      </c>
      <c r="Q75" s="277">
        <f>Rounding!Q170</f>
        <v>0.129</v>
      </c>
      <c r="R75" s="277">
        <f>Rounding!R170</f>
        <v>8.5999999999999993E-2</v>
      </c>
      <c r="S75" s="277">
        <f>Rounding!S170</f>
        <v>8.5999999999999993E-2</v>
      </c>
      <c r="T75" s="277">
        <f>Rounding!T170</f>
        <v>8.5999999999999993E-2</v>
      </c>
      <c r="U75" s="277">
        <f>Rounding!U170</f>
        <v>8.5999999999999993E-2</v>
      </c>
      <c r="V75" s="277">
        <f>Rounding!V170</f>
        <v>8.5999999999999993E-2</v>
      </c>
      <c r="W75" s="277">
        <f>Rounding!W170</f>
        <v>0.08</v>
      </c>
      <c r="X75" s="277">
        <f>Rounding!X170</f>
        <v>0.08</v>
      </c>
      <c r="Y75" s="277">
        <f>Rounding!Y170</f>
        <v>0.08</v>
      </c>
      <c r="Z75" s="277">
        <f>Rounding!Z170</f>
        <v>0.08</v>
      </c>
      <c r="AA75" s="277">
        <f>Rounding!AA170</f>
        <v>0.08</v>
      </c>
      <c r="AB75" s="277">
        <f>Rounding!AB170</f>
        <v>5.8999999999999997E-2</v>
      </c>
      <c r="AC75" s="277">
        <f>Rounding!AC170</f>
        <v>5.8999999999999997E-2</v>
      </c>
      <c r="AD75" s="277">
        <f>Rounding!AD170</f>
        <v>5.8999999999999997E-2</v>
      </c>
      <c r="AE75" s="277">
        <f>Rounding!AE170</f>
        <v>5.8999999999999997E-2</v>
      </c>
      <c r="AF75" s="277">
        <f>Rounding!AF170</f>
        <v>5.8999999999999997E-2</v>
      </c>
      <c r="AG75" s="277">
        <f>Rounding!AG170</f>
        <v>0.32400000000000001</v>
      </c>
      <c r="AH75" s="277">
        <f>Rounding!AH170</f>
        <v>-0.19</v>
      </c>
      <c r="AI75" s="277">
        <f>Rounding!AI170</f>
        <v>-0.152</v>
      </c>
      <c r="AJ75" s="277">
        <f>Rounding!AJ170</f>
        <v>-0.19</v>
      </c>
      <c r="AK75" s="277">
        <f>Rounding!AK170</f>
        <v>0</v>
      </c>
      <c r="AL75" s="277">
        <f>Rounding!AL170</f>
        <v>-0.152</v>
      </c>
      <c r="AM75" s="277">
        <f>Rounding!AM170</f>
        <v>0</v>
      </c>
      <c r="AN75" s="277">
        <f>Rounding!AN170</f>
        <v>-8.8999999999999996E-2</v>
      </c>
      <c r="AO75" s="277">
        <f>Rounding!AO170</f>
        <v>0</v>
      </c>
      <c r="AP75" s="266"/>
      <c r="AQ75" s="266"/>
    </row>
    <row r="76" spans="3:43" x14ac:dyDescent="0.25">
      <c r="C76" s="100"/>
      <c r="F76" t="s">
        <v>158</v>
      </c>
      <c r="G76" s="46" t="s">
        <v>269</v>
      </c>
      <c r="H76" s="63"/>
      <c r="J76" s="163">
        <f>Rounding!J171</f>
        <v>7.01</v>
      </c>
      <c r="K76" s="163">
        <f>Rounding!K171</f>
        <v>0</v>
      </c>
      <c r="L76" s="163">
        <f>Rounding!L171</f>
        <v>5.07</v>
      </c>
      <c r="M76" s="163">
        <f>Rounding!M171</f>
        <v>6.75</v>
      </c>
      <c r="N76" s="163">
        <f>Rounding!N171</f>
        <v>9.34</v>
      </c>
      <c r="O76" s="163">
        <f>Rounding!O171</f>
        <v>15.23</v>
      </c>
      <c r="P76" s="163">
        <f>Rounding!P171</f>
        <v>32.28</v>
      </c>
      <c r="Q76" s="163">
        <f>Rounding!Q171</f>
        <v>0</v>
      </c>
      <c r="R76" s="163">
        <f>Rounding!R171</f>
        <v>6.8</v>
      </c>
      <c r="S76" s="163">
        <f>Rounding!S171</f>
        <v>52.28</v>
      </c>
      <c r="T76" s="163">
        <f>Rounding!T171</f>
        <v>95.4</v>
      </c>
      <c r="U76" s="163">
        <f>Rounding!U171</f>
        <v>141.58000000000001</v>
      </c>
      <c r="V76" s="163">
        <f>Rounding!V171</f>
        <v>297.05</v>
      </c>
      <c r="W76" s="163">
        <f>Rounding!W171</f>
        <v>11.5</v>
      </c>
      <c r="X76" s="163">
        <f>Rounding!X171</f>
        <v>88.43</v>
      </c>
      <c r="Y76" s="163">
        <f>Rounding!Y171</f>
        <v>161.37</v>
      </c>
      <c r="Z76" s="163">
        <f>Rounding!Z171</f>
        <v>239.49</v>
      </c>
      <c r="AA76" s="163">
        <f>Rounding!AA171</f>
        <v>502.49</v>
      </c>
      <c r="AB76" s="163">
        <f>Rounding!AB171</f>
        <v>377.22</v>
      </c>
      <c r="AC76" s="163">
        <f>Rounding!AC171</f>
        <v>956.18</v>
      </c>
      <c r="AD76" s="163">
        <f>Rounding!AD171</f>
        <v>2028.69</v>
      </c>
      <c r="AE76" s="163">
        <f>Rounding!AE171</f>
        <v>3956.37</v>
      </c>
      <c r="AF76" s="163">
        <f>Rounding!AF171</f>
        <v>8886.02</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159</v>
      </c>
      <c r="G77" s="46" t="s">
        <v>270</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1.51</v>
      </c>
      <c r="S77" s="163">
        <f>Rounding!S172</f>
        <v>1.51</v>
      </c>
      <c r="T77" s="163">
        <f>Rounding!T172</f>
        <v>1.51</v>
      </c>
      <c r="U77" s="163">
        <f>Rounding!U172</f>
        <v>1.51</v>
      </c>
      <c r="V77" s="163">
        <f>Rounding!V172</f>
        <v>1.51</v>
      </c>
      <c r="W77" s="163">
        <f>Rounding!W172</f>
        <v>2</v>
      </c>
      <c r="X77" s="163">
        <f>Rounding!X172</f>
        <v>2</v>
      </c>
      <c r="Y77" s="163">
        <f>Rounding!Y172</f>
        <v>2</v>
      </c>
      <c r="Z77" s="163">
        <f>Rounding!Z172</f>
        <v>2</v>
      </c>
      <c r="AA77" s="163">
        <f>Rounding!AA172</f>
        <v>2</v>
      </c>
      <c r="AB77" s="163">
        <f>Rounding!AB172</f>
        <v>2.94</v>
      </c>
      <c r="AC77" s="163">
        <f>Rounding!AC172</f>
        <v>2.94</v>
      </c>
      <c r="AD77" s="163">
        <f>Rounding!AD172</f>
        <v>2.94</v>
      </c>
      <c r="AE77" s="163">
        <f>Rounding!AE172</f>
        <v>2.94</v>
      </c>
      <c r="AF77" s="163">
        <f>Rounding!AF172</f>
        <v>2.94</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160</v>
      </c>
      <c r="G78" s="46" t="s">
        <v>270</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1.51</v>
      </c>
      <c r="S78" s="163">
        <f>Rounding!S173</f>
        <v>1.51</v>
      </c>
      <c r="T78" s="163">
        <f>Rounding!T173</f>
        <v>1.51</v>
      </c>
      <c r="U78" s="163">
        <f>Rounding!U173</f>
        <v>1.51</v>
      </c>
      <c r="V78" s="163">
        <f>Rounding!V173</f>
        <v>1.51</v>
      </c>
      <c r="W78" s="163">
        <f>Rounding!W173</f>
        <v>2</v>
      </c>
      <c r="X78" s="163">
        <f>Rounding!X173</f>
        <v>2</v>
      </c>
      <c r="Y78" s="163">
        <f>Rounding!Y173</f>
        <v>2</v>
      </c>
      <c r="Z78" s="163">
        <f>Rounding!Z173</f>
        <v>2</v>
      </c>
      <c r="AA78" s="163">
        <f>Rounding!AA173</f>
        <v>2</v>
      </c>
      <c r="AB78" s="163">
        <f>Rounding!AB173</f>
        <v>2.94</v>
      </c>
      <c r="AC78" s="163">
        <f>Rounding!AC173</f>
        <v>2.94</v>
      </c>
      <c r="AD78" s="163">
        <f>Rounding!AD173</f>
        <v>2.94</v>
      </c>
      <c r="AE78" s="163">
        <f>Rounding!AE173</f>
        <v>2.94</v>
      </c>
      <c r="AF78" s="163">
        <f>Rounding!AF173</f>
        <v>2.94</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161</v>
      </c>
      <c r="G79" s="139" t="s">
        <v>271</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5.5E-2</v>
      </c>
      <c r="S79" s="314">
        <f>Rounding!S174</f>
        <v>5.5E-2</v>
      </c>
      <c r="T79" s="314">
        <f>Rounding!T174</f>
        <v>5.5E-2</v>
      </c>
      <c r="U79" s="314">
        <f>Rounding!U174</f>
        <v>5.5E-2</v>
      </c>
      <c r="V79" s="314">
        <f>Rounding!V174</f>
        <v>5.5E-2</v>
      </c>
      <c r="W79" s="314">
        <f>Rounding!W174</f>
        <v>5.2999999999999999E-2</v>
      </c>
      <c r="X79" s="314">
        <f>Rounding!X174</f>
        <v>5.2999999999999999E-2</v>
      </c>
      <c r="Y79" s="314">
        <f>Rounding!Y174</f>
        <v>5.2999999999999999E-2</v>
      </c>
      <c r="Z79" s="314">
        <f>Rounding!Z174</f>
        <v>5.2999999999999999E-2</v>
      </c>
      <c r="AA79" s="314">
        <f>Rounding!AA174</f>
        <v>5.2999999999999999E-2</v>
      </c>
      <c r="AB79" s="314">
        <f>Rounding!AB174</f>
        <v>4.1000000000000002E-2</v>
      </c>
      <c r="AC79" s="314">
        <f>Rounding!AC174</f>
        <v>4.1000000000000002E-2</v>
      </c>
      <c r="AD79" s="314">
        <f>Rounding!AD174</f>
        <v>4.1000000000000002E-2</v>
      </c>
      <c r="AE79" s="314">
        <f>Rounding!AE174</f>
        <v>4.1000000000000002E-2</v>
      </c>
      <c r="AF79" s="314">
        <f>Rounding!AF174</f>
        <v>4.1000000000000002E-2</v>
      </c>
      <c r="AG79" s="314">
        <f>Rounding!AG174</f>
        <v>0</v>
      </c>
      <c r="AH79" s="314">
        <f>Rounding!AH174</f>
        <v>0</v>
      </c>
      <c r="AI79" s="314">
        <f>Rounding!AI174</f>
        <v>0</v>
      </c>
      <c r="AJ79" s="314">
        <f>Rounding!AJ174</f>
        <v>0.106</v>
      </c>
      <c r="AK79" s="314">
        <f>Rounding!AK174</f>
        <v>0</v>
      </c>
      <c r="AL79" s="314">
        <f>Rounding!AL174</f>
        <v>9.7000000000000003E-2</v>
      </c>
      <c r="AM79" s="314">
        <f>Rounding!AM174</f>
        <v>0</v>
      </c>
      <c r="AN79" s="314">
        <f>Rounding!AN174</f>
        <v>8.5000000000000006E-2</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734</v>
      </c>
      <c r="G83" s="46" t="s">
        <v>276</v>
      </c>
      <c r="H83" s="163">
        <f>'General inputs'!$H$88</f>
        <v>432265609.82623905</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759</v>
      </c>
      <c r="G85" s="46" t="s">
        <v>276</v>
      </c>
      <c r="H85" s="163">
        <f>'Revenue matching'!H83</f>
        <v>351110936.56895041</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887</v>
      </c>
      <c r="G86" s="46" t="s">
        <v>276</v>
      </c>
      <c r="H86" s="167">
        <f>'SoLR &amp; bad debt adders'!H57</f>
        <v>-21041.317729996033</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888</v>
      </c>
      <c r="G87" s="46" t="s">
        <v>276</v>
      </c>
      <c r="H87" s="167">
        <f>'SoLR &amp; bad debt adders'!H61</f>
        <v>-19.096739415597519</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1002</v>
      </c>
      <c r="G88" s="46" t="s">
        <v>276</v>
      </c>
      <c r="H88" s="167">
        <f>'Revenue matching'!H85</f>
        <v>81175733.671758056</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760</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761</v>
      </c>
      <c r="G94" s="46"/>
      <c r="H94" s="359" t="s">
        <v>542</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155</v>
      </c>
      <c r="G95" s="138" t="s">
        <v>276</v>
      </c>
      <c r="H95" s="169">
        <f t="shared" ref="H95:H101" si="0">SUM(J95:AO95)</f>
        <v>83649139.590443715</v>
      </c>
      <c r="I95" s="90"/>
      <c r="J95" s="169">
        <f t="shared" ref="J95:AO95" si="1">J22 * thousand * J55 / hundred</f>
        <v>47221200.924719058</v>
      </c>
      <c r="K95" s="169">
        <f t="shared" si="1"/>
        <v>14166.714423714971</v>
      </c>
      <c r="L95" s="169">
        <f t="shared" si="1"/>
        <v>1533.2703242663081</v>
      </c>
      <c r="M95" s="169">
        <f t="shared" si="1"/>
        <v>1062507.0434292536</v>
      </c>
      <c r="N95" s="169">
        <f t="shared" si="1"/>
        <v>2601788.1547656883</v>
      </c>
      <c r="O95" s="169">
        <f t="shared" si="1"/>
        <v>2906606.2118272376</v>
      </c>
      <c r="P95" s="169">
        <f t="shared" si="1"/>
        <v>8428078.3490385953</v>
      </c>
      <c r="Q95" s="169">
        <f t="shared" si="1"/>
        <v>33523.625366197804</v>
      </c>
      <c r="R95" s="169">
        <f t="shared" si="1"/>
        <v>144.5792567044854</v>
      </c>
      <c r="S95" s="169">
        <f t="shared" si="1"/>
        <v>2829315.3708227263</v>
      </c>
      <c r="T95" s="169">
        <f t="shared" si="1"/>
        <v>3841308.5429369751</v>
      </c>
      <c r="U95" s="169">
        <f t="shared" si="1"/>
        <v>2389830.8022837294</v>
      </c>
      <c r="V95" s="169">
        <f t="shared" si="1"/>
        <v>3849092.6646143403</v>
      </c>
      <c r="W95" s="169">
        <f t="shared" si="1"/>
        <v>2.4952852958620215</v>
      </c>
      <c r="X95" s="169">
        <f t="shared" si="1"/>
        <v>23627.234087569774</v>
      </c>
      <c r="Y95" s="169">
        <f t="shared" si="1"/>
        <v>35676.510024069183</v>
      </c>
      <c r="Z95" s="169">
        <f t="shared" si="1"/>
        <v>80783.074007928109</v>
      </c>
      <c r="AA95" s="169">
        <f t="shared" si="1"/>
        <v>1340746.8993800411</v>
      </c>
      <c r="AB95" s="169">
        <f t="shared" si="1"/>
        <v>10459.873540570494</v>
      </c>
      <c r="AC95" s="169">
        <f t="shared" si="1"/>
        <v>615181.21295960341</v>
      </c>
      <c r="AD95" s="169">
        <f t="shared" si="1"/>
        <v>2073651.2397871464</v>
      </c>
      <c r="AE95" s="169">
        <f t="shared" si="1"/>
        <v>1901334.9855806858</v>
      </c>
      <c r="AF95" s="169">
        <f t="shared" si="1"/>
        <v>4801324.1295637907</v>
      </c>
      <c r="AG95" s="169">
        <f t="shared" si="1"/>
        <v>1166604.8289368707</v>
      </c>
      <c r="AH95" s="169">
        <f t="shared" si="1"/>
        <v>-766240.87464836182</v>
      </c>
      <c r="AI95" s="169">
        <f t="shared" si="1"/>
        <v>0</v>
      </c>
      <c r="AJ95" s="169">
        <f t="shared" si="1"/>
        <v>-231079.10876999999</v>
      </c>
      <c r="AK95" s="169">
        <f t="shared" si="1"/>
        <v>0</v>
      </c>
      <c r="AL95" s="169">
        <f t="shared" si="1"/>
        <v>-32781.615203999994</v>
      </c>
      <c r="AM95" s="169">
        <f t="shared" si="1"/>
        <v>0</v>
      </c>
      <c r="AN95" s="169">
        <f t="shared" si="1"/>
        <v>-2549247.5478959996</v>
      </c>
      <c r="AO95" s="169">
        <f t="shared" si="1"/>
        <v>0</v>
      </c>
    </row>
    <row r="96" spans="2:43" x14ac:dyDescent="0.25">
      <c r="E96" s="89"/>
      <c r="F96" t="s">
        <v>156</v>
      </c>
      <c r="G96" s="46" t="s">
        <v>276</v>
      </c>
      <c r="H96" s="141">
        <f t="shared" si="0"/>
        <v>77588167.946500987</v>
      </c>
      <c r="J96" s="141">
        <f t="shared" ref="J96:AO96" si="2">J23 * thousand * J56 / hundred</f>
        <v>37486328.254637927</v>
      </c>
      <c r="K96" s="141">
        <f t="shared" si="2"/>
        <v>52389.532317366851</v>
      </c>
      <c r="L96" s="141">
        <f t="shared" si="2"/>
        <v>1782.3011398880114</v>
      </c>
      <c r="M96" s="141">
        <f t="shared" si="2"/>
        <v>1259743.3065008146</v>
      </c>
      <c r="N96" s="141">
        <f t="shared" si="2"/>
        <v>3088452.1002065861</v>
      </c>
      <c r="O96" s="141">
        <f t="shared" si="2"/>
        <v>3453051.522940536</v>
      </c>
      <c r="P96" s="141">
        <f t="shared" si="2"/>
        <v>9914444.1617942043</v>
      </c>
      <c r="Q96" s="141">
        <f t="shared" si="2"/>
        <v>63155.656415864447</v>
      </c>
      <c r="R96" s="141">
        <f t="shared" si="2"/>
        <v>158.99426126807339</v>
      </c>
      <c r="S96" s="141">
        <f t="shared" si="2"/>
        <v>3251632.4796407865</v>
      </c>
      <c r="T96" s="141">
        <f t="shared" si="2"/>
        <v>4249056.4688841784</v>
      </c>
      <c r="U96" s="141">
        <f t="shared" si="2"/>
        <v>2758897.4058880513</v>
      </c>
      <c r="V96" s="141">
        <f t="shared" si="2"/>
        <v>4588640.6180916866</v>
      </c>
      <c r="W96" s="141">
        <f t="shared" si="2"/>
        <v>3.7884728978292914</v>
      </c>
      <c r="X96" s="141">
        <f t="shared" si="2"/>
        <v>24468.166441575671</v>
      </c>
      <c r="Y96" s="141">
        <f t="shared" si="2"/>
        <v>35547.861694978041</v>
      </c>
      <c r="Z96" s="141">
        <f t="shared" si="2"/>
        <v>82680.886160583643</v>
      </c>
      <c r="AA96" s="141">
        <f t="shared" si="2"/>
        <v>1437582.1648385667</v>
      </c>
      <c r="AB96" s="141">
        <f t="shared" si="2"/>
        <v>9760.4739647220813</v>
      </c>
      <c r="AC96" s="141">
        <f t="shared" si="2"/>
        <v>631959.01097405283</v>
      </c>
      <c r="AD96" s="141">
        <f t="shared" si="2"/>
        <v>2014744.6951613477</v>
      </c>
      <c r="AE96" s="141">
        <f t="shared" si="2"/>
        <v>1763659.027527011</v>
      </c>
      <c r="AF96" s="141">
        <f t="shared" si="2"/>
        <v>4403329.9083773596</v>
      </c>
      <c r="AG96" s="141">
        <f t="shared" si="2"/>
        <v>640857.64209210058</v>
      </c>
      <c r="AH96" s="141">
        <f t="shared" si="2"/>
        <v>-1233795.8145523367</v>
      </c>
      <c r="AI96" s="141">
        <f t="shared" si="2"/>
        <v>0</v>
      </c>
      <c r="AJ96" s="141">
        <f t="shared" si="2"/>
        <v>-306539.2305360001</v>
      </c>
      <c r="AK96" s="141">
        <f t="shared" si="2"/>
        <v>0</v>
      </c>
      <c r="AL96" s="141">
        <f t="shared" si="2"/>
        <v>-33822.368862999996</v>
      </c>
      <c r="AM96" s="141">
        <f t="shared" si="2"/>
        <v>0</v>
      </c>
      <c r="AN96" s="141">
        <f t="shared" si="2"/>
        <v>-2050001.067972</v>
      </c>
      <c r="AO96" s="141">
        <f t="shared" si="2"/>
        <v>0</v>
      </c>
    </row>
    <row r="97" spans="5:41" x14ac:dyDescent="0.25">
      <c r="E97" s="89"/>
      <c r="F97" t="s">
        <v>157</v>
      </c>
      <c r="G97" s="46" t="s">
        <v>276</v>
      </c>
      <c r="H97" s="141">
        <f t="shared" si="0"/>
        <v>15573475.30111824</v>
      </c>
      <c r="J97" s="141">
        <f t="shared" ref="J97:AO97" si="3">J24 * thousand * J57 / hundred</f>
        <v>8175941.0985126337</v>
      </c>
      <c r="K97" s="141">
        <f t="shared" si="3"/>
        <v>20436.518082631432</v>
      </c>
      <c r="L97" s="141">
        <f t="shared" si="3"/>
        <v>262.34418985044266</v>
      </c>
      <c r="M97" s="141">
        <f t="shared" si="3"/>
        <v>198294.8136868201</v>
      </c>
      <c r="N97" s="141">
        <f t="shared" si="3"/>
        <v>488925.0094265808</v>
      </c>
      <c r="O97" s="141">
        <f t="shared" si="3"/>
        <v>563987.87707683141</v>
      </c>
      <c r="P97" s="141">
        <f t="shared" si="3"/>
        <v>1716866.2280325834</v>
      </c>
      <c r="Q97" s="141">
        <f t="shared" si="3"/>
        <v>27754.336585128694</v>
      </c>
      <c r="R97" s="141">
        <f t="shared" si="3"/>
        <v>40.071030706677021</v>
      </c>
      <c r="S97" s="141">
        <f t="shared" si="3"/>
        <v>510150.32115630177</v>
      </c>
      <c r="T97" s="141">
        <f t="shared" si="3"/>
        <v>678872.67198935058</v>
      </c>
      <c r="U97" s="141">
        <f t="shared" si="3"/>
        <v>436355.91361133958</v>
      </c>
      <c r="V97" s="141">
        <f t="shared" si="3"/>
        <v>706309.36297106405</v>
      </c>
      <c r="W97" s="141">
        <f t="shared" si="3"/>
        <v>0.57358905553108597</v>
      </c>
      <c r="X97" s="141">
        <f t="shared" si="3"/>
        <v>3981.6522427063337</v>
      </c>
      <c r="Y97" s="141">
        <f t="shared" si="3"/>
        <v>5585.9197472844053</v>
      </c>
      <c r="Z97" s="141">
        <f t="shared" si="3"/>
        <v>12994.214308428394</v>
      </c>
      <c r="AA97" s="141">
        <f t="shared" si="3"/>
        <v>230501.92624857186</v>
      </c>
      <c r="AB97" s="141">
        <f t="shared" si="3"/>
        <v>2334.5651183577497</v>
      </c>
      <c r="AC97" s="141">
        <f t="shared" si="3"/>
        <v>93088.979363879916</v>
      </c>
      <c r="AD97" s="141">
        <f t="shared" si="3"/>
        <v>313062.77277906897</v>
      </c>
      <c r="AE97" s="141">
        <f t="shared" si="3"/>
        <v>296011.12890498975</v>
      </c>
      <c r="AF97" s="141">
        <f t="shared" si="3"/>
        <v>811501.78714248573</v>
      </c>
      <c r="AG97" s="141">
        <f t="shared" si="3"/>
        <v>781376.42800759256</v>
      </c>
      <c r="AH97" s="141">
        <f t="shared" si="3"/>
        <v>-103782.39364700281</v>
      </c>
      <c r="AI97" s="141">
        <f t="shared" si="3"/>
        <v>0</v>
      </c>
      <c r="AJ97" s="141">
        <f t="shared" si="3"/>
        <v>-49362.492669999992</v>
      </c>
      <c r="AK97" s="141">
        <f t="shared" si="3"/>
        <v>0</v>
      </c>
      <c r="AL97" s="141">
        <f t="shared" si="3"/>
        <v>-8293.8467120000005</v>
      </c>
      <c r="AM97" s="141">
        <f t="shared" si="3"/>
        <v>0</v>
      </c>
      <c r="AN97" s="141">
        <f t="shared" si="3"/>
        <v>-339722.47965699999</v>
      </c>
      <c r="AO97" s="141">
        <f t="shared" si="3"/>
        <v>0</v>
      </c>
    </row>
    <row r="98" spans="5:41" x14ac:dyDescent="0.25">
      <c r="E98" s="89"/>
      <c r="F98" s="90" t="s">
        <v>158</v>
      </c>
      <c r="G98" s="138" t="s">
        <v>276</v>
      </c>
      <c r="H98" s="169">
        <f t="shared" si="0"/>
        <v>191028022.65865192</v>
      </c>
      <c r="I98" s="90"/>
      <c r="J98" s="169">
        <f t="shared" ref="J98:AO98" si="4" xml:space="preserve"> J25 * J58 * days_in_year / hundred</f>
        <v>133726824.15794064</v>
      </c>
      <c r="K98" s="169">
        <f t="shared" si="4"/>
        <v>0</v>
      </c>
      <c r="L98" s="169">
        <f t="shared" si="4"/>
        <v>987.60643561564746</v>
      </c>
      <c r="M98" s="169">
        <f t="shared" si="4"/>
        <v>2983574.521551765</v>
      </c>
      <c r="N98" s="169">
        <f t="shared" si="4"/>
        <v>3828595.0176807642</v>
      </c>
      <c r="O98" s="169">
        <f t="shared" si="4"/>
        <v>2970110.7754769381</v>
      </c>
      <c r="P98" s="169">
        <f t="shared" si="4"/>
        <v>6947926.3006567024</v>
      </c>
      <c r="Q98" s="169">
        <f t="shared" si="4"/>
        <v>0</v>
      </c>
      <c r="R98" s="169">
        <f t="shared" si="4"/>
        <v>488.80772272472916</v>
      </c>
      <c r="S98" s="169">
        <f t="shared" si="4"/>
        <v>3149927.3512890651</v>
      </c>
      <c r="T98" s="169">
        <f t="shared" si="4"/>
        <v>3868847.3528465051</v>
      </c>
      <c r="U98" s="169">
        <f t="shared" si="4"/>
        <v>2428809.4946191325</v>
      </c>
      <c r="V98" s="169">
        <f t="shared" si="4"/>
        <v>4420563.7841570172</v>
      </c>
      <c r="W98" s="169">
        <f t="shared" si="4"/>
        <v>66.605407695592973</v>
      </c>
      <c r="X98" s="169">
        <f t="shared" si="4"/>
        <v>5121.0990346532662</v>
      </c>
      <c r="Y98" s="169">
        <f t="shared" si="4"/>
        <v>28034.895086240922</v>
      </c>
      <c r="Z98" s="169">
        <f t="shared" si="4"/>
        <v>72119.430136566953</v>
      </c>
      <c r="AA98" s="169">
        <f t="shared" si="4"/>
        <v>1518970.1910244834</v>
      </c>
      <c r="AB98" s="169">
        <f t="shared" si="4"/>
        <v>118173.38652585119</v>
      </c>
      <c r="AC98" s="169">
        <f t="shared" si="4"/>
        <v>2396342.9511963497</v>
      </c>
      <c r="AD98" s="169">
        <f t="shared" si="4"/>
        <v>5829912.7672044374</v>
      </c>
      <c r="AE98" s="169">
        <f t="shared" si="4"/>
        <v>4792387.6672683908</v>
      </c>
      <c r="AF98" s="169">
        <f t="shared" si="4"/>
        <v>11840097.168390464</v>
      </c>
      <c r="AG98" s="169">
        <f t="shared" si="4"/>
        <v>0</v>
      </c>
      <c r="AH98" s="169">
        <f t="shared" si="4"/>
        <v>0</v>
      </c>
      <c r="AI98" s="169">
        <f t="shared" si="4"/>
        <v>0</v>
      </c>
      <c r="AJ98" s="169">
        <f t="shared" si="4"/>
        <v>0</v>
      </c>
      <c r="AK98" s="169">
        <f t="shared" si="4"/>
        <v>0</v>
      </c>
      <c r="AL98" s="169">
        <f t="shared" si="4"/>
        <v>0</v>
      </c>
      <c r="AM98" s="169">
        <f t="shared" si="4"/>
        <v>0</v>
      </c>
      <c r="AN98" s="169">
        <f t="shared" si="4"/>
        <v>100141.327</v>
      </c>
      <c r="AO98" s="169">
        <f t="shared" si="4"/>
        <v>0</v>
      </c>
    </row>
    <row r="99" spans="5:41" x14ac:dyDescent="0.25">
      <c r="E99" s="89"/>
      <c r="F99" t="s">
        <v>159</v>
      </c>
      <c r="G99" s="46" t="s">
        <v>276</v>
      </c>
      <c r="H99" s="141">
        <f t="shared" si="0"/>
        <v>52133727.778499998</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3147.9425000000001</v>
      </c>
      <c r="S99" s="141">
        <f t="shared" si="5"/>
        <v>4161070.9559999998</v>
      </c>
      <c r="T99" s="141">
        <f t="shared" si="5"/>
        <v>6897785.0014999993</v>
      </c>
      <c r="U99" s="141">
        <f t="shared" si="5"/>
        <v>4791784.6780000003</v>
      </c>
      <c r="V99" s="141">
        <f t="shared" si="5"/>
        <v>7708159.1695000008</v>
      </c>
      <c r="W99" s="141">
        <f t="shared" si="5"/>
        <v>313.17</v>
      </c>
      <c r="X99" s="141">
        <f t="shared" si="5"/>
        <v>5751.8889999999992</v>
      </c>
      <c r="Y99" s="141">
        <f t="shared" si="5"/>
        <v>41077.464999999997</v>
      </c>
      <c r="Z99" s="141">
        <f t="shared" si="5"/>
        <v>101696.73799999998</v>
      </c>
      <c r="AA99" s="141">
        <f t="shared" si="5"/>
        <v>2765990.5130000003</v>
      </c>
      <c r="AB99" s="141">
        <f t="shared" si="5"/>
        <v>132635.16</v>
      </c>
      <c r="AC99" s="141">
        <f t="shared" si="5"/>
        <v>1824809.6159999999</v>
      </c>
      <c r="AD99" s="141">
        <f t="shared" si="5"/>
        <v>5850381.7679999992</v>
      </c>
      <c r="AE99" s="141">
        <f t="shared" si="5"/>
        <v>4830237.72</v>
      </c>
      <c r="AF99" s="141">
        <f t="shared" si="5"/>
        <v>13018885.992000001</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25">
      <c r="E100" s="89"/>
      <c r="F100" t="s">
        <v>160</v>
      </c>
      <c r="G100" s="46" t="s">
        <v>276</v>
      </c>
      <c r="H100" s="141">
        <f t="shared" si="0"/>
        <v>793504.69699999993</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16.515000000000001</v>
      </c>
      <c r="S100" s="141">
        <f t="shared" si="6"/>
        <v>279019.82399999996</v>
      </c>
      <c r="T100" s="141">
        <f t="shared" si="6"/>
        <v>108377.9993</v>
      </c>
      <c r="U100" s="141">
        <f t="shared" si="6"/>
        <v>47666.4738</v>
      </c>
      <c r="V100" s="141">
        <f t="shared" si="6"/>
        <v>41887.801899999999</v>
      </c>
      <c r="W100" s="141">
        <f t="shared" si="6"/>
        <v>0</v>
      </c>
      <c r="X100" s="141">
        <f t="shared" si="6"/>
        <v>1113.1691999999998</v>
      </c>
      <c r="Y100" s="141">
        <f t="shared" si="6"/>
        <v>2120.8044</v>
      </c>
      <c r="Z100" s="141">
        <f t="shared" si="6"/>
        <v>1818.6454000000001</v>
      </c>
      <c r="AA100" s="141">
        <f t="shared" si="6"/>
        <v>10800.961599999999</v>
      </c>
      <c r="AB100" s="141">
        <f t="shared" si="6"/>
        <v>13114.0128</v>
      </c>
      <c r="AC100" s="141">
        <f t="shared" si="6"/>
        <v>98893.804799999984</v>
      </c>
      <c r="AD100" s="141">
        <f t="shared" si="6"/>
        <v>83450.572799999994</v>
      </c>
      <c r="AE100" s="141">
        <f t="shared" si="6"/>
        <v>35309.467199999999</v>
      </c>
      <c r="AF100" s="141">
        <f t="shared" si="6"/>
        <v>69914.644800000009</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25">
      <c r="E101" s="89"/>
      <c r="F101" s="90" t="s">
        <v>161</v>
      </c>
      <c r="G101" s="138" t="s">
        <v>276</v>
      </c>
      <c r="H101" s="169">
        <f t="shared" si="0"/>
        <v>555714.69685000007</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15.77779</v>
      </c>
      <c r="S101" s="169">
        <f t="shared" si="7"/>
        <v>64626.547370000008</v>
      </c>
      <c r="T101" s="169">
        <f t="shared" si="7"/>
        <v>83149.702090000006</v>
      </c>
      <c r="U101" s="169">
        <f t="shared" si="7"/>
        <v>64805.497540000004</v>
      </c>
      <c r="V101" s="169">
        <f t="shared" si="7"/>
        <v>97628.119330000001</v>
      </c>
      <c r="W101" s="169">
        <f t="shared" si="7"/>
        <v>5.3200000000000004E-2</v>
      </c>
      <c r="X101" s="169">
        <f t="shared" si="7"/>
        <v>447.46064000000001</v>
      </c>
      <c r="Y101" s="169">
        <f t="shared" si="7"/>
        <v>732.52448000000004</v>
      </c>
      <c r="Z101" s="169">
        <f t="shared" si="7"/>
        <v>1550.8126799999998</v>
      </c>
      <c r="AA101" s="169">
        <f t="shared" si="7"/>
        <v>24817.434440000001</v>
      </c>
      <c r="AB101" s="169">
        <f t="shared" si="7"/>
        <v>1869.4489699999999</v>
      </c>
      <c r="AC101" s="169">
        <f t="shared" si="7"/>
        <v>18779.44643</v>
      </c>
      <c r="AD101" s="169">
        <f t="shared" si="7"/>
        <v>39832.979870000003</v>
      </c>
      <c r="AE101" s="169">
        <f t="shared" si="7"/>
        <v>32607.878080000002</v>
      </c>
      <c r="AF101" s="169">
        <f t="shared" si="7"/>
        <v>90792.0573</v>
      </c>
      <c r="AG101" s="169">
        <f t="shared" si="7"/>
        <v>0</v>
      </c>
      <c r="AH101" s="169">
        <f t="shared" si="7"/>
        <v>0</v>
      </c>
      <c r="AI101" s="169">
        <f t="shared" si="7"/>
        <v>0</v>
      </c>
      <c r="AJ101" s="169">
        <f t="shared" si="7"/>
        <v>6642.0289000000012</v>
      </c>
      <c r="AK101" s="169">
        <f t="shared" si="7"/>
        <v>0</v>
      </c>
      <c r="AL101" s="169">
        <f t="shared" si="7"/>
        <v>435.19244000000003</v>
      </c>
      <c r="AM101" s="169">
        <f t="shared" si="7"/>
        <v>0</v>
      </c>
      <c r="AN101" s="169">
        <f t="shared" si="7"/>
        <v>26981.735300000004</v>
      </c>
      <c r="AO101" s="169">
        <f t="shared" si="7"/>
        <v>0</v>
      </c>
    </row>
    <row r="102" spans="5:41" x14ac:dyDescent="0.25">
      <c r="E102" s="89"/>
      <c r="F102" s="151" t="s">
        <v>99</v>
      </c>
      <c r="G102" s="360" t="s">
        <v>276</v>
      </c>
      <c r="H102" s="216">
        <f>SUM(H95:H101)</f>
        <v>421321752.66906488</v>
      </c>
      <c r="I102" s="361"/>
      <c r="J102" s="216">
        <f t="shared" ref="J102" si="8">SUM(J95:J101)</f>
        <v>226610294.43581027</v>
      </c>
      <c r="K102" s="216">
        <f t="shared" ref="K102:AO102" si="9">SUM(K95:K101)</f>
        <v>86992.764823713253</v>
      </c>
      <c r="L102" s="216">
        <f t="shared" si="9"/>
        <v>4565.5220896204091</v>
      </c>
      <c r="M102" s="216">
        <f t="shared" si="9"/>
        <v>5504119.6851686537</v>
      </c>
      <c r="N102" s="216">
        <f t="shared" si="9"/>
        <v>10007760.282079618</v>
      </c>
      <c r="O102" s="216">
        <f t="shared" si="9"/>
        <v>9893756.3873215429</v>
      </c>
      <c r="P102" s="216">
        <f t="shared" si="9"/>
        <v>27007315.039522085</v>
      </c>
      <c r="Q102" s="216">
        <f t="shared" si="9"/>
        <v>124433.61836719095</v>
      </c>
      <c r="R102" s="216">
        <f t="shared" si="9"/>
        <v>4012.687561403965</v>
      </c>
      <c r="S102" s="216">
        <f t="shared" si="9"/>
        <v>14245742.850278879</v>
      </c>
      <c r="T102" s="216">
        <f t="shared" si="9"/>
        <v>19727397.739547007</v>
      </c>
      <c r="U102" s="216">
        <f t="shared" si="9"/>
        <v>12918150.265742254</v>
      </c>
      <c r="V102" s="216">
        <f t="shared" si="9"/>
        <v>21412281.520564105</v>
      </c>
      <c r="W102" s="216">
        <f t="shared" si="9"/>
        <v>386.68595494481536</v>
      </c>
      <c r="X102" s="216">
        <f t="shared" si="9"/>
        <v>64510.670646505037</v>
      </c>
      <c r="Y102" s="216">
        <f t="shared" si="9"/>
        <v>148775.98043257254</v>
      </c>
      <c r="Z102" s="216">
        <f t="shared" si="9"/>
        <v>353643.80069350702</v>
      </c>
      <c r="AA102" s="216">
        <f t="shared" si="9"/>
        <v>7329410.090531663</v>
      </c>
      <c r="AB102" s="216">
        <f t="shared" si="9"/>
        <v>288346.92091950157</v>
      </c>
      <c r="AC102" s="216">
        <f t="shared" si="9"/>
        <v>5679055.0217238851</v>
      </c>
      <c r="AD102" s="216">
        <f t="shared" si="9"/>
        <v>16205036.795601999</v>
      </c>
      <c r="AE102" s="216">
        <f t="shared" si="9"/>
        <v>13651547.874561075</v>
      </c>
      <c r="AF102" s="216">
        <f t="shared" si="9"/>
        <v>35035845.687574103</v>
      </c>
      <c r="AG102" s="216">
        <f t="shared" si="9"/>
        <v>2588838.8990365639</v>
      </c>
      <c r="AH102" s="216">
        <f t="shared" si="9"/>
        <v>-2103819.0828477014</v>
      </c>
      <c r="AI102" s="216">
        <f t="shared" si="9"/>
        <v>0</v>
      </c>
      <c r="AJ102" s="216">
        <f t="shared" si="9"/>
        <v>-580338.80307600007</v>
      </c>
      <c r="AK102" s="216">
        <f t="shared" si="9"/>
        <v>0</v>
      </c>
      <c r="AL102" s="216">
        <f t="shared" si="9"/>
        <v>-74462.638338999983</v>
      </c>
      <c r="AM102" s="216">
        <f t="shared" si="9"/>
        <v>0</v>
      </c>
      <c r="AN102" s="216">
        <f t="shared" si="9"/>
        <v>-4811848.0332249999</v>
      </c>
      <c r="AO102" s="216">
        <f t="shared" si="9"/>
        <v>0</v>
      </c>
    </row>
    <row r="103" spans="5:41"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25">
      <c r="E104" s="60" t="s">
        <v>762</v>
      </c>
      <c r="G104" s="46"/>
      <c r="H104" s="359" t="s">
        <v>542</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25">
      <c r="E105" s="89"/>
      <c r="F105" s="90" t="s">
        <v>155</v>
      </c>
      <c r="G105" s="138" t="s">
        <v>276</v>
      </c>
      <c r="H105" s="169">
        <f t="shared" ref="H105:H111" si="10">SUM(J105:AO105)</f>
        <v>657217.24821229978</v>
      </c>
      <c r="I105" s="90"/>
      <c r="J105" s="169">
        <f t="shared" ref="J105:AO105" si="11">J33 * thousand * J64 / hundred</f>
        <v>565222.69441707944</v>
      </c>
      <c r="K105" s="169">
        <f t="shared" si="11"/>
        <v>0</v>
      </c>
      <c r="L105" s="169">
        <f t="shared" si="11"/>
        <v>0</v>
      </c>
      <c r="M105" s="169">
        <f t="shared" si="11"/>
        <v>23104.447037539067</v>
      </c>
      <c r="N105" s="169">
        <f t="shared" si="11"/>
        <v>3057.307413635227</v>
      </c>
      <c r="O105" s="169">
        <f t="shared" si="11"/>
        <v>1113.6799412866021</v>
      </c>
      <c r="P105" s="169">
        <f t="shared" si="11"/>
        <v>3497.9951102340624</v>
      </c>
      <c r="Q105" s="169">
        <f t="shared" si="11"/>
        <v>0</v>
      </c>
      <c r="R105" s="169">
        <f t="shared" si="11"/>
        <v>0</v>
      </c>
      <c r="S105" s="169">
        <f t="shared" si="11"/>
        <v>3101.6933774045524</v>
      </c>
      <c r="T105" s="169">
        <f t="shared" si="11"/>
        <v>16917.517265212478</v>
      </c>
      <c r="U105" s="169">
        <f t="shared" si="11"/>
        <v>46150.59195593698</v>
      </c>
      <c r="V105" s="169">
        <f t="shared" si="11"/>
        <v>12303.507243709681</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887.57545026168702</v>
      </c>
      <c r="AH105" s="169">
        <f t="shared" si="11"/>
        <v>-18071.835749999998</v>
      </c>
      <c r="AI105" s="169">
        <f t="shared" si="11"/>
        <v>0</v>
      </c>
      <c r="AJ105" s="169">
        <f t="shared" si="11"/>
        <v>-67.925249999999991</v>
      </c>
      <c r="AK105" s="169">
        <f t="shared" si="11"/>
        <v>0</v>
      </c>
      <c r="AL105" s="169">
        <f t="shared" si="11"/>
        <v>0</v>
      </c>
      <c r="AM105" s="169">
        <f t="shared" si="11"/>
        <v>0</v>
      </c>
      <c r="AN105" s="169">
        <f t="shared" si="11"/>
        <v>0</v>
      </c>
      <c r="AO105" s="169">
        <f t="shared" si="11"/>
        <v>0</v>
      </c>
    </row>
    <row r="106" spans="5:41" x14ac:dyDescent="0.25">
      <c r="E106" s="89"/>
      <c r="F106" t="s">
        <v>156</v>
      </c>
      <c r="G106" s="46" t="s">
        <v>276</v>
      </c>
      <c r="H106" s="141">
        <f t="shared" si="10"/>
        <v>532298.95527100703</v>
      </c>
      <c r="J106" s="141">
        <f t="shared" ref="J106:AO106" si="12">J34 * thousand * J65 / hundred</f>
        <v>445748.94844322634</v>
      </c>
      <c r="K106" s="141">
        <f t="shared" si="12"/>
        <v>0</v>
      </c>
      <c r="L106" s="141">
        <f t="shared" si="12"/>
        <v>0</v>
      </c>
      <c r="M106" s="141">
        <f t="shared" si="12"/>
        <v>27452.996621274469</v>
      </c>
      <c r="N106" s="141">
        <f t="shared" si="12"/>
        <v>3610.1090747886046</v>
      </c>
      <c r="O106" s="141">
        <f t="shared" si="12"/>
        <v>1290.3683862569735</v>
      </c>
      <c r="P106" s="141">
        <f t="shared" si="12"/>
        <v>2973.6464823972537</v>
      </c>
      <c r="Q106" s="141">
        <f t="shared" si="12"/>
        <v>0</v>
      </c>
      <c r="R106" s="141">
        <f t="shared" si="12"/>
        <v>0</v>
      </c>
      <c r="S106" s="141">
        <f t="shared" si="12"/>
        <v>3048.4900335928919</v>
      </c>
      <c r="T106" s="141">
        <f t="shared" si="12"/>
        <v>17598.189172623541</v>
      </c>
      <c r="U106" s="141">
        <f t="shared" si="12"/>
        <v>44952.243984670742</v>
      </c>
      <c r="V106" s="141">
        <f t="shared" si="12"/>
        <v>11562.106618920145</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1013.4496532560304</v>
      </c>
      <c r="AH106" s="141">
        <f t="shared" si="12"/>
        <v>-26744.122160000006</v>
      </c>
      <c r="AI106" s="141">
        <f t="shared" si="12"/>
        <v>0</v>
      </c>
      <c r="AJ106" s="141">
        <f t="shared" si="12"/>
        <v>-207.47103999999999</v>
      </c>
      <c r="AK106" s="141">
        <f t="shared" si="12"/>
        <v>0</v>
      </c>
      <c r="AL106" s="141">
        <f t="shared" si="12"/>
        <v>0</v>
      </c>
      <c r="AM106" s="141">
        <f t="shared" si="12"/>
        <v>0</v>
      </c>
      <c r="AN106" s="141">
        <f t="shared" si="12"/>
        <v>0</v>
      </c>
      <c r="AO106" s="141">
        <f t="shared" si="12"/>
        <v>0</v>
      </c>
    </row>
    <row r="107" spans="5:41" x14ac:dyDescent="0.25">
      <c r="E107" s="89"/>
      <c r="F107" t="s">
        <v>157</v>
      </c>
      <c r="G107" s="46" t="s">
        <v>276</v>
      </c>
      <c r="H107" s="141">
        <f t="shared" si="10"/>
        <v>112567.55173103316</v>
      </c>
      <c r="J107" s="141">
        <f t="shared" ref="J107:AO107" si="13">J35 * thousand * J66 / hundred</f>
        <v>94107.464491255756</v>
      </c>
      <c r="K107" s="141">
        <f t="shared" si="13"/>
        <v>0</v>
      </c>
      <c r="L107" s="141">
        <f t="shared" si="13"/>
        <v>0</v>
      </c>
      <c r="M107" s="141">
        <f t="shared" si="13"/>
        <v>4216.1710456887558</v>
      </c>
      <c r="N107" s="141">
        <f t="shared" si="13"/>
        <v>559.31872013543068</v>
      </c>
      <c r="O107" s="141">
        <f t="shared" si="13"/>
        <v>199.79724041682587</v>
      </c>
      <c r="P107" s="141">
        <f t="shared" si="13"/>
        <v>438.5008323444905</v>
      </c>
      <c r="Q107" s="141">
        <f t="shared" si="13"/>
        <v>0</v>
      </c>
      <c r="R107" s="141">
        <f t="shared" si="13"/>
        <v>0</v>
      </c>
      <c r="S107" s="141">
        <f t="shared" si="13"/>
        <v>549.7408231268696</v>
      </c>
      <c r="T107" s="141">
        <f t="shared" si="13"/>
        <v>3256.9677260698077</v>
      </c>
      <c r="U107" s="141">
        <f t="shared" si="13"/>
        <v>8842.7045650330256</v>
      </c>
      <c r="V107" s="141">
        <f t="shared" si="13"/>
        <v>2102.2513017068386</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649.09978525537201</v>
      </c>
      <c r="AH107" s="141">
        <f t="shared" si="13"/>
        <v>-2338.0963000000002</v>
      </c>
      <c r="AI107" s="141">
        <f t="shared" si="13"/>
        <v>0</v>
      </c>
      <c r="AJ107" s="141">
        <f t="shared" si="13"/>
        <v>-16.368499999999997</v>
      </c>
      <c r="AK107" s="141">
        <f t="shared" si="13"/>
        <v>0</v>
      </c>
      <c r="AL107" s="141">
        <f t="shared" si="13"/>
        <v>0</v>
      </c>
      <c r="AM107" s="141">
        <f t="shared" si="13"/>
        <v>0</v>
      </c>
      <c r="AN107" s="141">
        <f t="shared" si="13"/>
        <v>0</v>
      </c>
      <c r="AO107" s="141">
        <f t="shared" si="13"/>
        <v>0</v>
      </c>
    </row>
    <row r="108" spans="5:41" x14ac:dyDescent="0.25">
      <c r="E108" s="89"/>
      <c r="F108" s="90" t="s">
        <v>158</v>
      </c>
      <c r="G108" s="138" t="s">
        <v>276</v>
      </c>
      <c r="H108" s="169">
        <f t="shared" si="10"/>
        <v>1782232.8141521055</v>
      </c>
      <c r="I108" s="90"/>
      <c r="J108" s="169">
        <f t="shared" ref="J108:AO108" si="14" xml:space="preserve"> J36 * J67 * days_in_year / hundred</f>
        <v>1629340.4433276916</v>
      </c>
      <c r="K108" s="169">
        <f t="shared" si="14"/>
        <v>0</v>
      </c>
      <c r="L108" s="169">
        <f t="shared" si="14"/>
        <v>0</v>
      </c>
      <c r="M108" s="169">
        <f t="shared" si="14"/>
        <v>17195.955427763238</v>
      </c>
      <c r="N108" s="169">
        <f t="shared" si="14"/>
        <v>3878.306718483364</v>
      </c>
      <c r="O108" s="169">
        <f t="shared" si="14"/>
        <v>2308.1929890226729</v>
      </c>
      <c r="P108" s="169">
        <f t="shared" si="14"/>
        <v>5688.0327574302992</v>
      </c>
      <c r="Q108" s="169">
        <f t="shared" si="14"/>
        <v>0</v>
      </c>
      <c r="R108" s="169">
        <f t="shared" si="14"/>
        <v>0</v>
      </c>
      <c r="S108" s="169">
        <f t="shared" si="14"/>
        <v>2859.747364424938</v>
      </c>
      <c r="T108" s="169">
        <f t="shared" si="14"/>
        <v>30659.341993177961</v>
      </c>
      <c r="U108" s="169">
        <f t="shared" si="14"/>
        <v>63896.826992370421</v>
      </c>
      <c r="V108" s="169">
        <f t="shared" si="14"/>
        <v>26405.966581740817</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25">
      <c r="E109" s="89"/>
      <c r="F109" t="s">
        <v>159</v>
      </c>
      <c r="G109" s="46" t="s">
        <v>276</v>
      </c>
      <c r="H109" s="141">
        <f t="shared" si="10"/>
        <v>167542.59200000003</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3612.4780000000001</v>
      </c>
      <c r="T109" s="141">
        <f t="shared" si="15"/>
        <v>42195.971000000005</v>
      </c>
      <c r="U109" s="141">
        <f t="shared" si="15"/>
        <v>92571.738000000012</v>
      </c>
      <c r="V109" s="141">
        <f t="shared" si="15"/>
        <v>29162.405000000006</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25">
      <c r="E110" s="89"/>
      <c r="F110" t="s">
        <v>160</v>
      </c>
      <c r="G110" s="46" t="s">
        <v>276</v>
      </c>
      <c r="H110" s="141">
        <f t="shared" si="10"/>
        <v>485.18080000000003</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387.84380000000004</v>
      </c>
      <c r="T110" s="141">
        <f t="shared" si="16"/>
        <v>35.839199999999998</v>
      </c>
      <c r="U110" s="141">
        <f t="shared" si="16"/>
        <v>61.497800000000005</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25">
      <c r="E111" s="89"/>
      <c r="F111" s="90" t="s">
        <v>161</v>
      </c>
      <c r="G111" s="138" t="s">
        <v>276</v>
      </c>
      <c r="H111" s="169">
        <f t="shared" si="10"/>
        <v>942.70837000000006</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21.709199999999999</v>
      </c>
      <c r="T111" s="169">
        <f t="shared" si="17"/>
        <v>163.98741000000001</v>
      </c>
      <c r="U111" s="169">
        <f t="shared" si="17"/>
        <v>553.72048000000007</v>
      </c>
      <c r="V111" s="169">
        <f t="shared" si="17"/>
        <v>194.99254000000002</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8.2987400000000004</v>
      </c>
      <c r="AK111" s="169">
        <f t="shared" si="17"/>
        <v>0</v>
      </c>
      <c r="AL111" s="169">
        <f t="shared" si="17"/>
        <v>0</v>
      </c>
      <c r="AM111" s="169">
        <f t="shared" si="17"/>
        <v>0</v>
      </c>
      <c r="AN111" s="169">
        <f t="shared" si="17"/>
        <v>0</v>
      </c>
      <c r="AO111" s="169">
        <f t="shared" si="17"/>
        <v>0</v>
      </c>
    </row>
    <row r="112" spans="5:41" x14ac:dyDescent="0.25">
      <c r="E112" s="89"/>
      <c r="F112" s="151" t="s">
        <v>99</v>
      </c>
      <c r="G112" s="360" t="s">
        <v>276</v>
      </c>
      <c r="H112" s="216">
        <f>SUM(H105:H111)</f>
        <v>3253287.0505364463</v>
      </c>
      <c r="I112" s="151"/>
      <c r="J112" s="216">
        <f t="shared" ref="J112" si="18">SUM(J105:J111)</f>
        <v>2734419.5506792534</v>
      </c>
      <c r="K112" s="216">
        <f t="shared" ref="K112:AO112" si="19">SUM(K105:K111)</f>
        <v>0</v>
      </c>
      <c r="L112" s="216">
        <f t="shared" si="19"/>
        <v>0</v>
      </c>
      <c r="M112" s="216">
        <f t="shared" si="19"/>
        <v>71969.570132265537</v>
      </c>
      <c r="N112" s="216">
        <f t="shared" si="19"/>
        <v>11105.041927042626</v>
      </c>
      <c r="O112" s="216">
        <f t="shared" si="19"/>
        <v>4912.0385569830742</v>
      </c>
      <c r="P112" s="216">
        <f t="shared" si="19"/>
        <v>12598.175182406107</v>
      </c>
      <c r="Q112" s="216">
        <f t="shared" si="19"/>
        <v>0</v>
      </c>
      <c r="R112" s="216">
        <f t="shared" si="19"/>
        <v>0</v>
      </c>
      <c r="S112" s="216">
        <f t="shared" si="19"/>
        <v>13581.702598549251</v>
      </c>
      <c r="T112" s="216">
        <f t="shared" si="19"/>
        <v>110827.8137670838</v>
      </c>
      <c r="U112" s="216">
        <f t="shared" si="19"/>
        <v>257029.32377801117</v>
      </c>
      <c r="V112" s="216">
        <f t="shared" si="19"/>
        <v>81731.229286077491</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2550.1248887730894</v>
      </c>
      <c r="AH112" s="216">
        <f t="shared" si="19"/>
        <v>-47154.054210000002</v>
      </c>
      <c r="AI112" s="216">
        <f t="shared" si="19"/>
        <v>0</v>
      </c>
      <c r="AJ112" s="216">
        <f t="shared" si="19"/>
        <v>-283.46604999999994</v>
      </c>
      <c r="AK112" s="216">
        <f t="shared" si="19"/>
        <v>0</v>
      </c>
      <c r="AL112" s="216">
        <f t="shared" si="19"/>
        <v>0</v>
      </c>
      <c r="AM112" s="216">
        <f t="shared" si="19"/>
        <v>0</v>
      </c>
      <c r="AN112" s="216">
        <f t="shared" si="19"/>
        <v>0</v>
      </c>
      <c r="AO112" s="216">
        <f t="shared" si="19"/>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763</v>
      </c>
      <c r="G114" s="46"/>
      <c r="H114" s="359" t="s">
        <v>542</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155</v>
      </c>
      <c r="G115" s="138" t="s">
        <v>276</v>
      </c>
      <c r="H115" s="169">
        <f t="shared" ref="H115:H121" si="20">SUM(J115:AO115)</f>
        <v>1252176.2240025594</v>
      </c>
      <c r="I115" s="90"/>
      <c r="J115" s="169">
        <f t="shared" ref="J115:AO115" si="21">J44 * thousand * J73 / hundred</f>
        <v>571777.48865360545</v>
      </c>
      <c r="K115" s="169">
        <f t="shared" si="21"/>
        <v>63.725033378796368</v>
      </c>
      <c r="L115" s="169">
        <f t="shared" si="21"/>
        <v>0</v>
      </c>
      <c r="M115" s="169">
        <f t="shared" si="21"/>
        <v>34870.072152076078</v>
      </c>
      <c r="N115" s="169">
        <f t="shared" si="21"/>
        <v>587.11463779460018</v>
      </c>
      <c r="O115" s="169">
        <f t="shared" si="21"/>
        <v>3370.1240606459573</v>
      </c>
      <c r="P115" s="169">
        <f t="shared" si="21"/>
        <v>2493.8537601132793</v>
      </c>
      <c r="Q115" s="169">
        <f t="shared" si="21"/>
        <v>88.755964515604916</v>
      </c>
      <c r="R115" s="169">
        <f t="shared" si="21"/>
        <v>0</v>
      </c>
      <c r="S115" s="169">
        <f t="shared" si="21"/>
        <v>25169.349659541323</v>
      </c>
      <c r="T115" s="169">
        <f t="shared" si="21"/>
        <v>80353.789279920995</v>
      </c>
      <c r="U115" s="169">
        <f t="shared" si="21"/>
        <v>32111.588741629123</v>
      </c>
      <c r="V115" s="169">
        <f t="shared" si="21"/>
        <v>190856.72036599045</v>
      </c>
      <c r="W115" s="169">
        <f t="shared" si="21"/>
        <v>0</v>
      </c>
      <c r="X115" s="169">
        <f t="shared" si="21"/>
        <v>4312.0306585175222</v>
      </c>
      <c r="Y115" s="169">
        <f t="shared" si="21"/>
        <v>1533.1554728486644</v>
      </c>
      <c r="Z115" s="169">
        <f t="shared" si="21"/>
        <v>1835.2182070633537</v>
      </c>
      <c r="AA115" s="169">
        <f t="shared" si="21"/>
        <v>96908.790476975075</v>
      </c>
      <c r="AB115" s="169">
        <f t="shared" si="21"/>
        <v>0</v>
      </c>
      <c r="AC115" s="169">
        <f t="shared" si="21"/>
        <v>7834.5057966369677</v>
      </c>
      <c r="AD115" s="169">
        <f t="shared" si="21"/>
        <v>19861.49974969315</v>
      </c>
      <c r="AE115" s="169">
        <f t="shared" si="21"/>
        <v>67456.602810095981</v>
      </c>
      <c r="AF115" s="169">
        <f t="shared" si="21"/>
        <v>147299.59546756779</v>
      </c>
      <c r="AG115" s="169">
        <f t="shared" si="21"/>
        <v>1326.1762539498093</v>
      </c>
      <c r="AH115" s="169">
        <f t="shared" si="21"/>
        <v>-31860.191699999999</v>
      </c>
      <c r="AI115" s="169">
        <f t="shared" si="21"/>
        <v>-259.88316000000009</v>
      </c>
      <c r="AJ115" s="169">
        <f t="shared" si="21"/>
        <v>-780.49440000000004</v>
      </c>
      <c r="AK115" s="169">
        <f t="shared" si="21"/>
        <v>0</v>
      </c>
      <c r="AL115" s="169">
        <f t="shared" si="21"/>
        <v>-966.69028000000003</v>
      </c>
      <c r="AM115" s="169">
        <f t="shared" si="21"/>
        <v>0</v>
      </c>
      <c r="AN115" s="169">
        <f t="shared" si="21"/>
        <v>-4066.6736599999999</v>
      </c>
      <c r="AO115" s="169">
        <f t="shared" si="21"/>
        <v>0</v>
      </c>
    </row>
    <row r="116" spans="3:43" x14ac:dyDescent="0.25">
      <c r="C116" s="100"/>
      <c r="F116" t="s">
        <v>156</v>
      </c>
      <c r="G116" s="46" t="s">
        <v>276</v>
      </c>
      <c r="H116" s="141">
        <f t="shared" si="20"/>
        <v>1134091.8652798017</v>
      </c>
      <c r="J116" s="141">
        <f t="shared" ref="J116:AO116" si="22">J45 * thousand * J74 / hundred</f>
        <v>462613.85142731213</v>
      </c>
      <c r="K116" s="141">
        <f t="shared" si="22"/>
        <v>269.86041791845133</v>
      </c>
      <c r="L116" s="141">
        <f t="shared" si="22"/>
        <v>0</v>
      </c>
      <c r="M116" s="141">
        <f t="shared" si="22"/>
        <v>41293.156712237724</v>
      </c>
      <c r="N116" s="141">
        <f t="shared" si="22"/>
        <v>722.79089523480638</v>
      </c>
      <c r="O116" s="141">
        <f t="shared" si="22"/>
        <v>4003.3225262313381</v>
      </c>
      <c r="P116" s="141">
        <f t="shared" si="22"/>
        <v>2936.2091417764268</v>
      </c>
      <c r="Q116" s="141">
        <f t="shared" si="22"/>
        <v>104.78703888904515</v>
      </c>
      <c r="R116" s="141">
        <f t="shared" si="22"/>
        <v>0</v>
      </c>
      <c r="S116" s="141">
        <f t="shared" si="22"/>
        <v>24146.847190167289</v>
      </c>
      <c r="T116" s="141">
        <f t="shared" si="22"/>
        <v>79271.348935073067</v>
      </c>
      <c r="U116" s="141">
        <f t="shared" si="22"/>
        <v>34334.463667395612</v>
      </c>
      <c r="V116" s="141">
        <f t="shared" si="22"/>
        <v>210606.47108492028</v>
      </c>
      <c r="W116" s="141">
        <f t="shared" si="22"/>
        <v>0</v>
      </c>
      <c r="X116" s="141">
        <f t="shared" si="22"/>
        <v>4913.3586848445666</v>
      </c>
      <c r="Y116" s="141">
        <f t="shared" si="22"/>
        <v>2617.2162430766721</v>
      </c>
      <c r="Z116" s="141">
        <f t="shared" si="22"/>
        <v>1788.5731769234972</v>
      </c>
      <c r="AA116" s="141">
        <f t="shared" si="22"/>
        <v>97703.587815377352</v>
      </c>
      <c r="AB116" s="141">
        <f t="shared" si="22"/>
        <v>0</v>
      </c>
      <c r="AC116" s="141">
        <f t="shared" si="22"/>
        <v>7129.3729302960855</v>
      </c>
      <c r="AD116" s="141">
        <f t="shared" si="22"/>
        <v>19127.664929156239</v>
      </c>
      <c r="AE116" s="141">
        <f t="shared" si="22"/>
        <v>63068.574409290974</v>
      </c>
      <c r="AF116" s="141">
        <f t="shared" si="22"/>
        <v>129849.8303138566</v>
      </c>
      <c r="AG116" s="141">
        <f t="shared" si="22"/>
        <v>1696.9493498234258</v>
      </c>
      <c r="AH116" s="141">
        <f t="shared" si="22"/>
        <v>-47829.197360000006</v>
      </c>
      <c r="AI116" s="141">
        <f t="shared" si="22"/>
        <v>-296.41592999999995</v>
      </c>
      <c r="AJ116" s="141">
        <f t="shared" si="22"/>
        <v>-1458.7244000000003</v>
      </c>
      <c r="AK116" s="141">
        <f t="shared" si="22"/>
        <v>0</v>
      </c>
      <c r="AL116" s="141">
        <f t="shared" si="22"/>
        <v>-981.58077000000003</v>
      </c>
      <c r="AM116" s="141">
        <f t="shared" si="22"/>
        <v>0</v>
      </c>
      <c r="AN116" s="141">
        <f t="shared" si="22"/>
        <v>-3540.4531499999998</v>
      </c>
      <c r="AO116" s="141">
        <f t="shared" si="22"/>
        <v>0</v>
      </c>
    </row>
    <row r="117" spans="3:43" x14ac:dyDescent="0.25">
      <c r="C117" s="100"/>
      <c r="F117" t="s">
        <v>157</v>
      </c>
      <c r="G117" s="46" t="s">
        <v>276</v>
      </c>
      <c r="H117" s="141">
        <f t="shared" si="20"/>
        <v>219083.7260609876</v>
      </c>
      <c r="J117" s="141">
        <f t="shared" ref="J117:AO117" si="23">J46 * thousand * J75 / hundred</f>
        <v>98774.239586925469</v>
      </c>
      <c r="K117" s="141">
        <f t="shared" si="23"/>
        <v>91.584028174455256</v>
      </c>
      <c r="L117" s="141">
        <f t="shared" si="23"/>
        <v>0</v>
      </c>
      <c r="M117" s="141">
        <f t="shared" si="23"/>
        <v>6476.2793229472627</v>
      </c>
      <c r="N117" s="141">
        <f t="shared" si="23"/>
        <v>106.29817007802534</v>
      </c>
      <c r="O117" s="141">
        <f t="shared" si="23"/>
        <v>601.37126856942325</v>
      </c>
      <c r="P117" s="141">
        <f t="shared" si="23"/>
        <v>457.70600395805297</v>
      </c>
      <c r="Q117" s="141">
        <f t="shared" si="23"/>
        <v>18.804221901146747</v>
      </c>
      <c r="R117" s="141">
        <f t="shared" si="23"/>
        <v>0</v>
      </c>
      <c r="S117" s="141">
        <f t="shared" si="23"/>
        <v>4706.8954329326298</v>
      </c>
      <c r="T117" s="141">
        <f t="shared" si="23"/>
        <v>15022.508881660411</v>
      </c>
      <c r="U117" s="141">
        <f t="shared" si="23"/>
        <v>5124.2109961264741</v>
      </c>
      <c r="V117" s="141">
        <f t="shared" si="23"/>
        <v>34906.109918398397</v>
      </c>
      <c r="W117" s="141">
        <f t="shared" si="23"/>
        <v>0</v>
      </c>
      <c r="X117" s="141">
        <f t="shared" si="23"/>
        <v>755.47553288515167</v>
      </c>
      <c r="Y117" s="141">
        <f t="shared" si="23"/>
        <v>222.56530844256497</v>
      </c>
      <c r="Z117" s="141">
        <f t="shared" si="23"/>
        <v>351.17792420624005</v>
      </c>
      <c r="AA117" s="141">
        <f t="shared" si="23"/>
        <v>15137.350128323946</v>
      </c>
      <c r="AB117" s="141">
        <f t="shared" si="23"/>
        <v>0</v>
      </c>
      <c r="AC117" s="141">
        <f t="shared" si="23"/>
        <v>1552.2679661103155</v>
      </c>
      <c r="AD117" s="141">
        <f t="shared" si="23"/>
        <v>2488.1930144538114</v>
      </c>
      <c r="AE117" s="141">
        <f t="shared" si="23"/>
        <v>10415.908461845431</v>
      </c>
      <c r="AF117" s="141">
        <f t="shared" si="23"/>
        <v>26138.816563612931</v>
      </c>
      <c r="AG117" s="141">
        <f t="shared" si="23"/>
        <v>971.31502943548276</v>
      </c>
      <c r="AH117" s="141">
        <f t="shared" si="23"/>
        <v>-4170.9294</v>
      </c>
      <c r="AI117" s="141">
        <f t="shared" si="23"/>
        <v>-27.853999999999999</v>
      </c>
      <c r="AJ117" s="141">
        <f t="shared" si="23"/>
        <v>-129.67119999999997</v>
      </c>
      <c r="AK117" s="141">
        <f t="shared" si="23"/>
        <v>0</v>
      </c>
      <c r="AL117" s="141">
        <f t="shared" si="23"/>
        <v>-159.61216000000002</v>
      </c>
      <c r="AM117" s="141">
        <f t="shared" si="23"/>
        <v>0</v>
      </c>
      <c r="AN117" s="141">
        <f t="shared" si="23"/>
        <v>-747.28493999999989</v>
      </c>
      <c r="AO117" s="141">
        <f t="shared" si="23"/>
        <v>0</v>
      </c>
    </row>
    <row r="118" spans="3:43" x14ac:dyDescent="0.25">
      <c r="C118" s="100"/>
      <c r="F118" s="90" t="s">
        <v>158</v>
      </c>
      <c r="G118" s="138" t="s">
        <v>276</v>
      </c>
      <c r="H118" s="169">
        <f t="shared" si="20"/>
        <v>3181457.1128161224</v>
      </c>
      <c r="I118" s="90"/>
      <c r="J118" s="169">
        <f t="shared" ref="J118:AO118" si="24" xml:space="preserve"> J47 * J76 * days_in_year / hundred</f>
        <v>1769545.5861400617</v>
      </c>
      <c r="K118" s="169">
        <f t="shared" si="24"/>
        <v>0</v>
      </c>
      <c r="L118" s="169">
        <f t="shared" si="24"/>
        <v>0</v>
      </c>
      <c r="M118" s="169">
        <f t="shared" si="24"/>
        <v>27229.830344884042</v>
      </c>
      <c r="N118" s="169">
        <f t="shared" si="24"/>
        <v>1641.6470003288539</v>
      </c>
      <c r="O118" s="169">
        <f t="shared" si="24"/>
        <v>6955.1272761236551</v>
      </c>
      <c r="P118" s="169">
        <f t="shared" si="24"/>
        <v>4906.984447768079</v>
      </c>
      <c r="Q118" s="169">
        <f t="shared" si="24"/>
        <v>0</v>
      </c>
      <c r="R118" s="169">
        <f t="shared" si="24"/>
        <v>0</v>
      </c>
      <c r="S118" s="169">
        <f t="shared" si="24"/>
        <v>23345.039315516227</v>
      </c>
      <c r="T118" s="169">
        <f t="shared" si="24"/>
        <v>73869.839644984531</v>
      </c>
      <c r="U118" s="169">
        <f t="shared" si="24"/>
        <v>49769.675012111169</v>
      </c>
      <c r="V118" s="169">
        <f t="shared" si="24"/>
        <v>262466.37800008582</v>
      </c>
      <c r="W118" s="169">
        <f t="shared" si="24"/>
        <v>0</v>
      </c>
      <c r="X118" s="169">
        <f t="shared" si="24"/>
        <v>840.15767254517357</v>
      </c>
      <c r="Y118" s="169">
        <f t="shared" si="24"/>
        <v>1533.1476152732635</v>
      </c>
      <c r="Z118" s="169">
        <f t="shared" si="24"/>
        <v>3413.0277224557904</v>
      </c>
      <c r="AA118" s="169">
        <f t="shared" si="24"/>
        <v>124125.76671726603</v>
      </c>
      <c r="AB118" s="169">
        <f t="shared" si="24"/>
        <v>0</v>
      </c>
      <c r="AC118" s="169">
        <f t="shared" si="24"/>
        <v>31795.735289719061</v>
      </c>
      <c r="AD118" s="169">
        <f t="shared" si="24"/>
        <v>86733.999878101444</v>
      </c>
      <c r="AE118" s="169">
        <f t="shared" si="24"/>
        <v>206738.21508652627</v>
      </c>
      <c r="AF118" s="169">
        <f t="shared" si="24"/>
        <v>506546.95565237134</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25">
      <c r="C119" s="100"/>
      <c r="F119" t="s">
        <v>159</v>
      </c>
      <c r="G119" s="46" t="s">
        <v>276</v>
      </c>
      <c r="H119" s="141">
        <f t="shared" si="20"/>
        <v>1865670.0520000001</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0</v>
      </c>
      <c r="S119" s="141">
        <f t="shared" si="25"/>
        <v>41782.681499999999</v>
      </c>
      <c r="T119" s="141">
        <f t="shared" si="25"/>
        <v>140824.3365</v>
      </c>
      <c r="U119" s="141">
        <f t="shared" si="25"/>
        <v>68634.709499999997</v>
      </c>
      <c r="V119" s="141">
        <f t="shared" si="25"/>
        <v>579605.87450000003</v>
      </c>
      <c r="W119" s="141">
        <f t="shared" si="25"/>
        <v>0</v>
      </c>
      <c r="X119" s="141">
        <f t="shared" si="25"/>
        <v>2737.5</v>
      </c>
      <c r="Y119" s="141">
        <f t="shared" si="25"/>
        <v>1460</v>
      </c>
      <c r="Z119" s="141">
        <f t="shared" si="25"/>
        <v>9796.6</v>
      </c>
      <c r="AA119" s="141">
        <f t="shared" si="25"/>
        <v>251952.2</v>
      </c>
      <c r="AB119" s="141">
        <f t="shared" si="25"/>
        <v>0</v>
      </c>
      <c r="AC119" s="141">
        <f t="shared" si="25"/>
        <v>19948.929</v>
      </c>
      <c r="AD119" s="141">
        <f t="shared" si="25"/>
        <v>75363.812999999995</v>
      </c>
      <c r="AE119" s="141">
        <f t="shared" si="25"/>
        <v>185249.253</v>
      </c>
      <c r="AF119" s="141">
        <f t="shared" si="25"/>
        <v>488314.15500000009</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25">
      <c r="C120" s="100"/>
      <c r="F120" t="s">
        <v>160</v>
      </c>
      <c r="G120" s="46" t="s">
        <v>276</v>
      </c>
      <c r="H120" s="141">
        <f t="shared" si="20"/>
        <v>1615.2860999999998</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35.333999999999996</v>
      </c>
      <c r="T120" s="141">
        <f t="shared" si="26"/>
        <v>0</v>
      </c>
      <c r="U120" s="141">
        <f t="shared" si="26"/>
        <v>0</v>
      </c>
      <c r="V120" s="141">
        <f t="shared" si="26"/>
        <v>82.853700000000003</v>
      </c>
      <c r="W120" s="141">
        <f t="shared" si="26"/>
        <v>0</v>
      </c>
      <c r="X120" s="141">
        <f t="shared" si="26"/>
        <v>0</v>
      </c>
      <c r="Y120" s="141">
        <f t="shared" si="26"/>
        <v>899.22</v>
      </c>
      <c r="Z120" s="141">
        <f t="shared" si="26"/>
        <v>0</v>
      </c>
      <c r="AA120" s="141">
        <f t="shared" si="26"/>
        <v>0</v>
      </c>
      <c r="AB120" s="141">
        <f t="shared" si="26"/>
        <v>0</v>
      </c>
      <c r="AC120" s="141">
        <f t="shared" si="26"/>
        <v>0</v>
      </c>
      <c r="AD120" s="141">
        <f t="shared" si="26"/>
        <v>0</v>
      </c>
      <c r="AE120" s="141">
        <f t="shared" si="26"/>
        <v>0</v>
      </c>
      <c r="AF120" s="141">
        <f t="shared" si="26"/>
        <v>597.87839999999994</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25">
      <c r="C121" s="100"/>
      <c r="F121" s="90" t="s">
        <v>161</v>
      </c>
      <c r="G121" s="138" t="s">
        <v>276</v>
      </c>
      <c r="H121" s="169">
        <f t="shared" si="20"/>
        <v>10550.28326</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0</v>
      </c>
      <c r="S121" s="169">
        <f t="shared" si="27"/>
        <v>290.89466999999991</v>
      </c>
      <c r="T121" s="169">
        <f t="shared" si="27"/>
        <v>841.01324999999997</v>
      </c>
      <c r="U121" s="169">
        <f t="shared" si="27"/>
        <v>285.59244999999999</v>
      </c>
      <c r="V121" s="169">
        <f t="shared" si="27"/>
        <v>3380.7070000000003</v>
      </c>
      <c r="W121" s="169">
        <f t="shared" si="27"/>
        <v>0</v>
      </c>
      <c r="X121" s="169">
        <f t="shared" si="27"/>
        <v>43.05932</v>
      </c>
      <c r="Y121" s="169">
        <f t="shared" si="27"/>
        <v>13.386209999999998</v>
      </c>
      <c r="Z121" s="169">
        <f t="shared" si="27"/>
        <v>6.8958300000000001</v>
      </c>
      <c r="AA121" s="169">
        <f t="shared" si="27"/>
        <v>1336.35419</v>
      </c>
      <c r="AB121" s="169">
        <f t="shared" si="27"/>
        <v>0</v>
      </c>
      <c r="AC121" s="169">
        <f t="shared" si="27"/>
        <v>23.739819999999998</v>
      </c>
      <c r="AD121" s="169">
        <f t="shared" si="27"/>
        <v>50.337750000000007</v>
      </c>
      <c r="AE121" s="169">
        <f t="shared" si="27"/>
        <v>236.02265</v>
      </c>
      <c r="AF121" s="169">
        <f t="shared" si="27"/>
        <v>3667.3479100000004</v>
      </c>
      <c r="AG121" s="169">
        <f t="shared" si="27"/>
        <v>0</v>
      </c>
      <c r="AH121" s="169">
        <f t="shared" si="27"/>
        <v>0</v>
      </c>
      <c r="AI121" s="169">
        <f t="shared" si="27"/>
        <v>0</v>
      </c>
      <c r="AJ121" s="169">
        <f t="shared" si="27"/>
        <v>38.118659999999998</v>
      </c>
      <c r="AK121" s="169">
        <f t="shared" si="27"/>
        <v>0</v>
      </c>
      <c r="AL121" s="169">
        <f t="shared" si="27"/>
        <v>161.21885</v>
      </c>
      <c r="AM121" s="169">
        <f t="shared" si="27"/>
        <v>0</v>
      </c>
      <c r="AN121" s="169">
        <f t="shared" si="27"/>
        <v>175.59470000000002</v>
      </c>
      <c r="AO121" s="169">
        <f t="shared" si="27"/>
        <v>0</v>
      </c>
    </row>
    <row r="122" spans="3:43" x14ac:dyDescent="0.25">
      <c r="C122" s="100"/>
      <c r="F122" s="151" t="s">
        <v>99</v>
      </c>
      <c r="G122" s="360" t="s">
        <v>276</v>
      </c>
      <c r="H122" s="216">
        <f>SUM(H115:H121)</f>
        <v>7664644.5495194709</v>
      </c>
      <c r="I122" s="151"/>
      <c r="J122" s="216">
        <f t="shared" ref="J122" si="28">SUM(J115:J121)</f>
        <v>2902711.1658079047</v>
      </c>
      <c r="K122" s="216">
        <f t="shared" ref="K122:AO122" si="29">SUM(K115:K121)</f>
        <v>425.16947947170297</v>
      </c>
      <c r="L122" s="216">
        <f t="shared" si="29"/>
        <v>0</v>
      </c>
      <c r="M122" s="216">
        <f t="shared" si="29"/>
        <v>109869.33853214511</v>
      </c>
      <c r="N122" s="216">
        <f t="shared" si="29"/>
        <v>3057.8507034362856</v>
      </c>
      <c r="O122" s="216">
        <f t="shared" si="29"/>
        <v>14929.945131570374</v>
      </c>
      <c r="P122" s="216">
        <f t="shared" si="29"/>
        <v>10794.753353615837</v>
      </c>
      <c r="Q122" s="216">
        <f t="shared" si="29"/>
        <v>212.3472253057968</v>
      </c>
      <c r="R122" s="216">
        <f t="shared" si="29"/>
        <v>0</v>
      </c>
      <c r="S122" s="216">
        <f t="shared" si="29"/>
        <v>119477.04176815746</v>
      </c>
      <c r="T122" s="216">
        <f t="shared" si="29"/>
        <v>390182.83649163897</v>
      </c>
      <c r="U122" s="216">
        <f t="shared" si="29"/>
        <v>190260.24036726239</v>
      </c>
      <c r="V122" s="216">
        <f t="shared" si="29"/>
        <v>1281905.1145693951</v>
      </c>
      <c r="W122" s="216">
        <f t="shared" si="29"/>
        <v>0</v>
      </c>
      <c r="X122" s="216">
        <f t="shared" si="29"/>
        <v>13601.581868792415</v>
      </c>
      <c r="Y122" s="216">
        <f t="shared" si="29"/>
        <v>8278.6908496411652</v>
      </c>
      <c r="Z122" s="216">
        <f t="shared" si="29"/>
        <v>17191.492860648883</v>
      </c>
      <c r="AA122" s="216">
        <f t="shared" si="29"/>
        <v>587164.04932794243</v>
      </c>
      <c r="AB122" s="216">
        <f t="shared" si="29"/>
        <v>0</v>
      </c>
      <c r="AC122" s="216">
        <f t="shared" si="29"/>
        <v>68284.550802762431</v>
      </c>
      <c r="AD122" s="216">
        <f t="shared" si="29"/>
        <v>203625.50832140463</v>
      </c>
      <c r="AE122" s="216">
        <f t="shared" si="29"/>
        <v>533164.57641775871</v>
      </c>
      <c r="AF122" s="216">
        <f t="shared" si="29"/>
        <v>1302414.5793074088</v>
      </c>
      <c r="AG122" s="216">
        <f t="shared" si="29"/>
        <v>3994.4406332087178</v>
      </c>
      <c r="AH122" s="216">
        <f t="shared" si="29"/>
        <v>-83860.318459999995</v>
      </c>
      <c r="AI122" s="216">
        <f t="shared" si="29"/>
        <v>-584.15309000000002</v>
      </c>
      <c r="AJ122" s="216">
        <f t="shared" si="29"/>
        <v>-2330.7713400000002</v>
      </c>
      <c r="AK122" s="216">
        <f t="shared" si="29"/>
        <v>0</v>
      </c>
      <c r="AL122" s="216">
        <f t="shared" si="29"/>
        <v>-1946.66436</v>
      </c>
      <c r="AM122" s="216">
        <f t="shared" si="29"/>
        <v>0</v>
      </c>
      <c r="AN122" s="216">
        <f t="shared" si="29"/>
        <v>-8178.8170499999997</v>
      </c>
      <c r="AO122" s="216">
        <f t="shared" si="29"/>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734</v>
      </c>
      <c r="G126" s="46" t="s">
        <v>276</v>
      </c>
      <c r="H126" s="310">
        <f>H83</f>
        <v>432265609.82623905</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764</v>
      </c>
      <c r="G128" s="46" t="s">
        <v>276</v>
      </c>
      <c r="H128" s="320">
        <f>H85</f>
        <v>351110936.56895041</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887</v>
      </c>
      <c r="G129" s="46" t="s">
        <v>276</v>
      </c>
      <c r="H129" s="320">
        <f>H86</f>
        <v>-21041.317729996033</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888</v>
      </c>
      <c r="G130" s="46" t="s">
        <v>276</v>
      </c>
      <c r="H130" s="320">
        <f>H87</f>
        <v>-19.096739415597519</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1003</v>
      </c>
      <c r="G131" s="46" t="s">
        <v>276</v>
      </c>
      <c r="H131" s="320">
        <f>H88</f>
        <v>81175733.671758056</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765</v>
      </c>
      <c r="F132" s="91"/>
      <c r="G132" s="139" t="s">
        <v>276</v>
      </c>
      <c r="H132" s="321">
        <f>SUM(H102,H112,H122) - SUM(H128:H129, H131)</f>
        <v>-25944.653857648373</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766</v>
      </c>
      <c r="F133" s="151"/>
      <c r="G133" s="360" t="s">
        <v>276</v>
      </c>
      <c r="H133" s="321">
        <f>SUM(H128:H132)</f>
        <v>432239665.1723814</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767</v>
      </c>
      <c r="G135" s="46" t="s">
        <v>276</v>
      </c>
      <c r="H135" s="362">
        <f>H133 - H126</f>
        <v>-25944.653857648373</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767</v>
      </c>
      <c r="G136" s="46" t="s">
        <v>166</v>
      </c>
      <c r="H136" s="363">
        <f>(H133 - H126) / H126</f>
        <v>-6.0020166462184055E-5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768</v>
      </c>
      <c r="G140" s="46" t="s">
        <v>769</v>
      </c>
      <c r="H140" t="s">
        <v>770</v>
      </c>
      <c r="J140" s="311">
        <f t="shared" ref="J140:AO140" si="30" xml:space="preserve"> IF( J25 &lt;&gt; 0, J102 / J25, 0)</f>
        <v>105.08660160356214</v>
      </c>
      <c r="K140" s="311">
        <f t="shared" si="30"/>
        <v>21.515650702161906</v>
      </c>
      <c r="L140" s="311">
        <f t="shared" si="30"/>
        <v>207.54129056048123</v>
      </c>
      <c r="M140" s="311">
        <f t="shared" si="30"/>
        <v>110.16081566121476</v>
      </c>
      <c r="N140" s="311">
        <f t="shared" si="30"/>
        <v>216.10187499575716</v>
      </c>
      <c r="O140" s="311">
        <f t="shared" si="30"/>
        <v>448.7717132100916</v>
      </c>
      <c r="P140" s="311">
        <f t="shared" si="30"/>
        <v>1110.2056114205509</v>
      </c>
      <c r="Q140" s="311">
        <f t="shared" si="30"/>
        <v>79.198229574959768</v>
      </c>
      <c r="R140" s="311">
        <f t="shared" si="30"/>
        <v>493.79576257124501</v>
      </c>
      <c r="S140" s="311">
        <f t="shared" si="30"/>
        <v>2091.6466459912117</v>
      </c>
      <c r="T140" s="311">
        <f t="shared" si="30"/>
        <v>4303.3479964606022</v>
      </c>
      <c r="U140" s="311">
        <f t="shared" si="30"/>
        <v>6661.8738360492553</v>
      </c>
      <c r="V140" s="311">
        <f t="shared" si="30"/>
        <v>12729.302649005334</v>
      </c>
      <c r="W140" s="311">
        <f t="shared" si="30"/>
        <v>349.21989620040353</v>
      </c>
      <c r="X140" s="311">
        <f t="shared" si="30"/>
        <v>5826.0222330045526</v>
      </c>
      <c r="Y140" s="311">
        <f t="shared" si="30"/>
        <v>4478.7017974479131</v>
      </c>
      <c r="Z140" s="311">
        <f t="shared" si="30"/>
        <v>6141.9077136225224</v>
      </c>
      <c r="AA140" s="311">
        <f t="shared" si="30"/>
        <v>12680.579453279372</v>
      </c>
      <c r="AB140" s="311">
        <f t="shared" si="30"/>
        <v>3844.2372720900548</v>
      </c>
      <c r="AC140" s="311">
        <f t="shared" si="30"/>
        <v>9464.1356474099211</v>
      </c>
      <c r="AD140" s="311">
        <f t="shared" si="30"/>
        <v>23551.453412590516</v>
      </c>
      <c r="AE140" s="311">
        <f t="shared" si="30"/>
        <v>47069.548107271796</v>
      </c>
      <c r="AF140" s="311">
        <f t="shared" si="30"/>
        <v>109819.14346892276</v>
      </c>
      <c r="AG140" s="311">
        <f t="shared" si="30"/>
        <v>4149.6669678936159</v>
      </c>
      <c r="AH140" s="311">
        <f t="shared" si="30"/>
        <v>-63.805522876841266</v>
      </c>
      <c r="AI140" s="311">
        <f t="shared" si="30"/>
        <v>0</v>
      </c>
      <c r="AJ140" s="311">
        <f t="shared" si="30"/>
        <v>-809.39860958995826</v>
      </c>
      <c r="AK140" s="311">
        <f t="shared" si="30"/>
        <v>0</v>
      </c>
      <c r="AL140" s="311">
        <f t="shared" si="30"/>
        <v>-2068.4066205277772</v>
      </c>
      <c r="AM140" s="311">
        <f t="shared" si="30"/>
        <v>0</v>
      </c>
      <c r="AN140" s="311">
        <f t="shared" si="30"/>
        <v>-16824.643472814685</v>
      </c>
      <c r="AO140" s="311">
        <f t="shared" si="30"/>
        <v>0</v>
      </c>
    </row>
    <row r="141" spans="3:43" x14ac:dyDescent="0.25">
      <c r="E141" t="s">
        <v>771</v>
      </c>
      <c r="G141" s="46" t="s">
        <v>769</v>
      </c>
      <c r="H141" t="s">
        <v>445</v>
      </c>
      <c r="J141" s="141">
        <f t="shared" ref="J141:AO141" si="31" xml:space="preserve"> IF( J36 &lt;&gt; 0, J112 / J36, 0)</f>
        <v>61.806954362782768</v>
      </c>
      <c r="K141" s="141">
        <f t="shared" si="31"/>
        <v>0</v>
      </c>
      <c r="L141" s="141">
        <f t="shared" si="31"/>
        <v>0</v>
      </c>
      <c r="M141" s="141">
        <f t="shared" si="31"/>
        <v>148.33194529711994</v>
      </c>
      <c r="N141" s="141">
        <f t="shared" si="31"/>
        <v>140.57017930147975</v>
      </c>
      <c r="O141" s="141">
        <f t="shared" si="31"/>
        <v>170.26409088674407</v>
      </c>
      <c r="P141" s="141">
        <f t="shared" si="31"/>
        <v>375.67395860370755</v>
      </c>
      <c r="Q141" s="141">
        <f t="shared" si="31"/>
        <v>0</v>
      </c>
      <c r="R141" s="141">
        <f t="shared" si="31"/>
        <v>0</v>
      </c>
      <c r="S141" s="141">
        <f t="shared" si="31"/>
        <v>1304.445433320356</v>
      </c>
      <c r="T141" s="141">
        <f t="shared" si="31"/>
        <v>1811.8097633364225</v>
      </c>
      <c r="U141" s="141">
        <f t="shared" si="31"/>
        <v>2992.2675675519677</v>
      </c>
      <c r="V141" s="141">
        <f t="shared" si="31"/>
        <v>4830.6588289893361</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17.0382621839011</v>
      </c>
      <c r="AH141" s="141">
        <f t="shared" si="31"/>
        <v>-172.11602704708605</v>
      </c>
      <c r="AI141" s="141">
        <f t="shared" si="31"/>
        <v>0</v>
      </c>
      <c r="AJ141" s="141">
        <f t="shared" si="31"/>
        <v>-141.73302499999997</v>
      </c>
      <c r="AK141" s="141">
        <f t="shared" si="31"/>
        <v>0</v>
      </c>
      <c r="AL141" s="141">
        <f t="shared" si="31"/>
        <v>0</v>
      </c>
      <c r="AM141" s="141">
        <f t="shared" si="31"/>
        <v>0</v>
      </c>
      <c r="AN141" s="141">
        <f t="shared" si="31"/>
        <v>0</v>
      </c>
      <c r="AO141" s="141">
        <f t="shared" si="31"/>
        <v>0</v>
      </c>
    </row>
    <row r="142" spans="3:43" x14ac:dyDescent="0.25">
      <c r="E142" t="s">
        <v>772</v>
      </c>
      <c r="G142" s="46" t="s">
        <v>769</v>
      </c>
      <c r="H142" t="s">
        <v>446</v>
      </c>
      <c r="J142" s="141">
        <f t="shared" ref="J142:AO142" si="32" xml:space="preserve"> IF( J47 &lt;&gt; 0, J122 / J47, 0)</f>
        <v>41.971351190760096</v>
      </c>
      <c r="K142" s="141">
        <f t="shared" si="32"/>
        <v>2.9167939200331436</v>
      </c>
      <c r="L142" s="141">
        <f t="shared" si="32"/>
        <v>0</v>
      </c>
      <c r="M142" s="141">
        <f t="shared" si="32"/>
        <v>99.409573757931994</v>
      </c>
      <c r="N142" s="141">
        <f t="shared" si="32"/>
        <v>63.50036780743001</v>
      </c>
      <c r="O142" s="141">
        <f t="shared" si="32"/>
        <v>119.32897155463581</v>
      </c>
      <c r="P142" s="141">
        <f t="shared" si="32"/>
        <v>259.1936948584023</v>
      </c>
      <c r="Q142" s="141">
        <f t="shared" si="32"/>
        <v>163.15796422046998</v>
      </c>
      <c r="R142" s="141">
        <f t="shared" si="32"/>
        <v>0</v>
      </c>
      <c r="S142" s="141">
        <f t="shared" si="32"/>
        <v>976.60354116988537</v>
      </c>
      <c r="T142" s="141">
        <f t="shared" si="32"/>
        <v>1839.2562668027713</v>
      </c>
      <c r="U142" s="141">
        <f t="shared" si="32"/>
        <v>1975.5044333711926</v>
      </c>
      <c r="V142" s="141">
        <f t="shared" si="32"/>
        <v>5295.4713579805912</v>
      </c>
      <c r="W142" s="141">
        <f t="shared" si="32"/>
        <v>0</v>
      </c>
      <c r="X142" s="141">
        <f t="shared" si="32"/>
        <v>5225.4188975024117</v>
      </c>
      <c r="Y142" s="141">
        <f t="shared" si="32"/>
        <v>3180.48503693166</v>
      </c>
      <c r="Z142" s="141">
        <f t="shared" si="32"/>
        <v>4403.054122031961</v>
      </c>
      <c r="AA142" s="141">
        <f t="shared" si="32"/>
        <v>8675.9651840765837</v>
      </c>
      <c r="AB142" s="141">
        <f t="shared" si="32"/>
        <v>0</v>
      </c>
      <c r="AC142" s="141">
        <f t="shared" si="32"/>
        <v>7495.2496726218133</v>
      </c>
      <c r="AD142" s="141">
        <f t="shared" si="32"/>
        <v>17384.065887178058</v>
      </c>
      <c r="AE142" s="141">
        <f t="shared" si="32"/>
        <v>37241.767905680354</v>
      </c>
      <c r="AF142" s="141">
        <f t="shared" si="32"/>
        <v>83393.017821338275</v>
      </c>
      <c r="AG142" s="141">
        <f t="shared" si="32"/>
        <v>16.412549603623994</v>
      </c>
      <c r="AH142" s="141">
        <f t="shared" si="32"/>
        <v>-154.85716815216051</v>
      </c>
      <c r="AI142" s="141">
        <f t="shared" si="32"/>
        <v>-292.07654500000001</v>
      </c>
      <c r="AJ142" s="141">
        <f t="shared" si="32"/>
        <v>-211.88830363636364</v>
      </c>
      <c r="AK142" s="141">
        <f t="shared" si="32"/>
        <v>0</v>
      </c>
      <c r="AL142" s="141">
        <f t="shared" si="32"/>
        <v>-648.88811999999996</v>
      </c>
      <c r="AM142" s="141">
        <f t="shared" si="32"/>
        <v>0</v>
      </c>
      <c r="AN142" s="141">
        <f t="shared" si="32"/>
        <v>-2044.7042624999999</v>
      </c>
      <c r="AO142" s="141">
        <f t="shared" si="32"/>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773</v>
      </c>
      <c r="G146" s="46" t="s">
        <v>268</v>
      </c>
      <c r="H146" s="266" t="s">
        <v>770</v>
      </c>
      <c r="I146" s="266"/>
      <c r="J146" s="267">
        <f t="shared" ref="J146:AO146" si="33" xml:space="preserve"> IF( SUM(J$22:J$24) &lt;&gt; 0, J$102 / SUM(J$22:J$24) * hundred / thousand, 0)</f>
        <v>3.6394928098990649</v>
      </c>
      <c r="K146" s="267">
        <f t="shared" si="33"/>
        <v>0.77473480096570591</v>
      </c>
      <c r="L146" s="267">
        <f t="shared" si="33"/>
        <v>2.3729282033667798</v>
      </c>
      <c r="M146" s="267">
        <f t="shared" si="33"/>
        <v>3.937596116473272</v>
      </c>
      <c r="N146" s="267">
        <f t="shared" si="33"/>
        <v>2.9131099373228704</v>
      </c>
      <c r="O146" s="267">
        <f t="shared" si="33"/>
        <v>2.5393293216561519</v>
      </c>
      <c r="P146" s="267">
        <f t="shared" si="33"/>
        <v>2.345947215848168</v>
      </c>
      <c r="Q146" s="267">
        <f t="shared" si="33"/>
        <v>1.0027191612866135</v>
      </c>
      <c r="R146" s="267">
        <f t="shared" si="33"/>
        <v>11.979564921760613</v>
      </c>
      <c r="S146" s="267">
        <f t="shared" si="33"/>
        <v>2.6703594162516771</v>
      </c>
      <c r="T146" s="267">
        <f t="shared" si="33"/>
        <v>2.7934441268538097</v>
      </c>
      <c r="U146" s="267">
        <f t="shared" si="33"/>
        <v>2.8448709728330468</v>
      </c>
      <c r="V146" s="267">
        <f t="shared" si="33"/>
        <v>2.8814792704169925</v>
      </c>
      <c r="W146" s="267">
        <f t="shared" si="33"/>
        <v>37.363271745430652</v>
      </c>
      <c r="X146" s="267">
        <f t="shared" si="33"/>
        <v>0.89689252062018743</v>
      </c>
      <c r="Y146" s="267">
        <f t="shared" si="33"/>
        <v>1.4411952545620006</v>
      </c>
      <c r="Z146" s="267">
        <f t="shared" si="33"/>
        <v>1.477544497838672</v>
      </c>
      <c r="AA146" s="267">
        <f t="shared" si="33"/>
        <v>1.7538416445290568</v>
      </c>
      <c r="AB146" s="267">
        <f t="shared" si="33"/>
        <v>4.9595098733704193</v>
      </c>
      <c r="AC146" s="267">
        <f t="shared" si="33"/>
        <v>1.9818248500371751</v>
      </c>
      <c r="AD146" s="267">
        <f t="shared" si="33"/>
        <v>1.7171776942734851</v>
      </c>
      <c r="AE146" s="267">
        <f t="shared" si="33"/>
        <v>1.5812538479882765</v>
      </c>
      <c r="AF146" s="267">
        <f t="shared" si="33"/>
        <v>1.5458532182646898</v>
      </c>
      <c r="AG146" s="267">
        <f t="shared" si="33"/>
        <v>1.8925720229312983</v>
      </c>
      <c r="AH146" s="267">
        <f t="shared" si="33"/>
        <v>-1.2376437382774126</v>
      </c>
      <c r="AI146" s="267">
        <f t="shared" si="33"/>
        <v>0</v>
      </c>
      <c r="AJ146" s="267">
        <f t="shared" si="33"/>
        <v>-1.0422322319960218</v>
      </c>
      <c r="AK146" s="267">
        <f t="shared" si="33"/>
        <v>0</v>
      </c>
      <c r="AL146" s="267">
        <f t="shared" si="33"/>
        <v>-0.76815055633184559</v>
      </c>
      <c r="AM146" s="267">
        <f t="shared" si="33"/>
        <v>0</v>
      </c>
      <c r="AN146" s="267">
        <f t="shared" si="33"/>
        <v>-0.59634369634988538</v>
      </c>
      <c r="AO146" s="267">
        <f t="shared" si="33"/>
        <v>0</v>
      </c>
      <c r="AP146" s="266"/>
      <c r="AQ146" s="266"/>
    </row>
    <row r="147" spans="2:43" x14ac:dyDescent="0.25">
      <c r="E147" t="s">
        <v>774</v>
      </c>
      <c r="G147" s="46" t="s">
        <v>268</v>
      </c>
      <c r="H147" s="266" t="s">
        <v>445</v>
      </c>
      <c r="I147" s="266"/>
      <c r="J147" s="280">
        <f t="shared" ref="J147:AO147" si="34" xml:space="preserve"> IF( SUM(J$33:J$35) &lt;&gt; 0, J$112 / SUM(J$33:J$35) * hundred / thousand, 0)</f>
        <v>2.230446751834545</v>
      </c>
      <c r="K147" s="280">
        <f t="shared" si="34"/>
        <v>0</v>
      </c>
      <c r="L147" s="280">
        <f t="shared" si="34"/>
        <v>0</v>
      </c>
      <c r="M147" s="280">
        <f t="shared" si="34"/>
        <v>1.4183031278436244</v>
      </c>
      <c r="N147" s="280">
        <f t="shared" si="34"/>
        <v>1.6564204115983556</v>
      </c>
      <c r="O147" s="280">
        <f t="shared" si="34"/>
        <v>2.0457126614125549</v>
      </c>
      <c r="P147" s="280">
        <f t="shared" si="34"/>
        <v>2.226128473666932</v>
      </c>
      <c r="Q147" s="280">
        <f t="shared" si="34"/>
        <v>0</v>
      </c>
      <c r="R147" s="280">
        <f t="shared" si="34"/>
        <v>0</v>
      </c>
      <c r="S147" s="280">
        <f t="shared" si="34"/>
        <v>1.4782941443468485</v>
      </c>
      <c r="T147" s="280">
        <f t="shared" si="34"/>
        <v>2.0775490587605479</v>
      </c>
      <c r="U147" s="280">
        <f t="shared" si="34"/>
        <v>1.8149627112514155</v>
      </c>
      <c r="V147" s="280">
        <f t="shared" si="34"/>
        <v>2.3227378632799605</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1.1170659979969122</v>
      </c>
      <c r="AH147" s="280">
        <f t="shared" si="34"/>
        <v>-1.251238970606771</v>
      </c>
      <c r="AI147" s="280">
        <f t="shared" si="34"/>
        <v>0</v>
      </c>
      <c r="AJ147" s="280">
        <f t="shared" si="34"/>
        <v>-1.0713812457479779</v>
      </c>
      <c r="AK147" s="280">
        <f t="shared" si="34"/>
        <v>0</v>
      </c>
      <c r="AL147" s="280">
        <f t="shared" si="34"/>
        <v>0</v>
      </c>
      <c r="AM147" s="280">
        <f t="shared" si="34"/>
        <v>0</v>
      </c>
      <c r="AN147" s="280">
        <f t="shared" si="34"/>
        <v>0</v>
      </c>
      <c r="AO147" s="280">
        <f t="shared" si="34"/>
        <v>0</v>
      </c>
      <c r="AP147" s="266"/>
      <c r="AQ147" s="266"/>
    </row>
    <row r="148" spans="2:43" x14ac:dyDescent="0.25">
      <c r="E148" t="s">
        <v>775</v>
      </c>
      <c r="G148" s="46" t="s">
        <v>268</v>
      </c>
      <c r="H148" s="266" t="s">
        <v>446</v>
      </c>
      <c r="I148" s="266"/>
      <c r="J148" s="280">
        <f t="shared" ref="J148:AO148" si="35" xml:space="preserve"> IF( SUM(J$44:J$46) &lt;&gt; 0, J$122 / SUM(J$44:J$46) * hundred / thousand, 0)</f>
        <v>1.5793248708813012</v>
      </c>
      <c r="K148" s="280">
        <f t="shared" si="35"/>
        <v>0.33503539104900965</v>
      </c>
      <c r="L148" s="280">
        <f t="shared" si="35"/>
        <v>0</v>
      </c>
      <c r="M148" s="280">
        <f t="shared" si="35"/>
        <v>0.99176990379329355</v>
      </c>
      <c r="N148" s="280">
        <f t="shared" si="35"/>
        <v>1.6303518690423975</v>
      </c>
      <c r="O148" s="280">
        <f t="shared" si="35"/>
        <v>1.4177495330545367</v>
      </c>
      <c r="P148" s="280">
        <f t="shared" si="35"/>
        <v>1.3732080419482717</v>
      </c>
      <c r="Q148" s="280">
        <f t="shared" si="35"/>
        <v>0.70878362531663319</v>
      </c>
      <c r="R148" s="280">
        <f t="shared" si="35"/>
        <v>0</v>
      </c>
      <c r="S148" s="280">
        <f t="shared" si="35"/>
        <v>1.0974481854391358</v>
      </c>
      <c r="T148" s="280">
        <f t="shared" si="35"/>
        <v>1.111061455125288</v>
      </c>
      <c r="U148" s="280">
        <f t="shared" si="35"/>
        <v>1.4137227291359071</v>
      </c>
      <c r="V148" s="280">
        <f t="shared" si="35"/>
        <v>1.4860559710668966</v>
      </c>
      <c r="W148" s="280">
        <f t="shared" si="35"/>
        <v>0</v>
      </c>
      <c r="X148" s="280">
        <f t="shared" si="35"/>
        <v>0.68450643883767137</v>
      </c>
      <c r="Y148" s="280">
        <f t="shared" si="35"/>
        <v>1.0413906045635988</v>
      </c>
      <c r="Z148" s="280">
        <f t="shared" si="35"/>
        <v>2.0663075098906574</v>
      </c>
      <c r="AA148" s="280">
        <f t="shared" si="35"/>
        <v>1.4598197550167253</v>
      </c>
      <c r="AB148" s="280">
        <f t="shared" si="35"/>
        <v>0</v>
      </c>
      <c r="AC148" s="280">
        <f t="shared" si="35"/>
        <v>1.4876825584276074</v>
      </c>
      <c r="AD148" s="280">
        <f t="shared" si="35"/>
        <v>2.1651702869504192</v>
      </c>
      <c r="AE148" s="280">
        <f t="shared" si="35"/>
        <v>1.5288040359073276</v>
      </c>
      <c r="AF148" s="280">
        <f t="shared" si="35"/>
        <v>1.6228106737018915</v>
      </c>
      <c r="AG148" s="280">
        <f t="shared" si="35"/>
        <v>0.78038886648001249</v>
      </c>
      <c r="AH148" s="280">
        <f t="shared" si="35"/>
        <v>-1.2474627032232639</v>
      </c>
      <c r="AI148" s="280">
        <f t="shared" si="35"/>
        <v>-1.069622782121473</v>
      </c>
      <c r="AJ148" s="280">
        <f t="shared" si="35"/>
        <v>-1.1570606188473931</v>
      </c>
      <c r="AK148" s="280">
        <f t="shared" si="35"/>
        <v>0</v>
      </c>
      <c r="AL148" s="280">
        <f t="shared" si="35"/>
        <v>-0.85210342563491992</v>
      </c>
      <c r="AM148" s="280">
        <f t="shared" si="35"/>
        <v>0</v>
      </c>
      <c r="AN148" s="280">
        <f t="shared" si="35"/>
        <v>-0.52473118393397444</v>
      </c>
      <c r="AO148" s="280">
        <f t="shared" si="35"/>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776</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777</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155</v>
      </c>
      <c r="G155" s="90" t="s">
        <v>268</v>
      </c>
      <c r="H155" s="364"/>
      <c r="I155" s="264"/>
      <c r="J155" s="276">
        <f>'Inputs by customer type'!J198</f>
        <v>3.5750000000000002</v>
      </c>
      <c r="K155" s="276">
        <f>'Inputs by customer type'!K198</f>
        <v>3.5750000000000002</v>
      </c>
      <c r="L155" s="276">
        <f>'Inputs by customer type'!L198</f>
        <v>4.1870000000000003</v>
      </c>
      <c r="M155" s="276">
        <f>'Inputs by customer type'!M198</f>
        <v>4.1870000000000003</v>
      </c>
      <c r="N155" s="276">
        <f>'Inputs by customer type'!N198</f>
        <v>4.1870000000000003</v>
      </c>
      <c r="O155" s="276">
        <f>'Inputs by customer type'!O198</f>
        <v>4.1870000000000003</v>
      </c>
      <c r="P155" s="276">
        <f>'Inputs by customer type'!P198</f>
        <v>4.1870000000000003</v>
      </c>
      <c r="Q155" s="276">
        <f>'Inputs by customer type'!Q198</f>
        <v>4.1870000000000003</v>
      </c>
      <c r="R155" s="276">
        <f>'Inputs by customer type'!R198</f>
        <v>3.1779999999999999</v>
      </c>
      <c r="S155" s="276">
        <f>'Inputs by customer type'!S198</f>
        <v>3.1779999999999999</v>
      </c>
      <c r="T155" s="276">
        <f>'Inputs by customer type'!T198</f>
        <v>3.1779999999999999</v>
      </c>
      <c r="U155" s="276">
        <f>'Inputs by customer type'!U198</f>
        <v>3.1779999999999999</v>
      </c>
      <c r="V155" s="276">
        <f>'Inputs by customer type'!V198</f>
        <v>3.1779999999999999</v>
      </c>
      <c r="W155" s="276">
        <f>'Inputs by customer type'!W198</f>
        <v>2.2000000000000002</v>
      </c>
      <c r="X155" s="276">
        <f>'Inputs by customer type'!X198</f>
        <v>2.2000000000000002</v>
      </c>
      <c r="Y155" s="276">
        <f>'Inputs by customer type'!Y198</f>
        <v>2.2000000000000002</v>
      </c>
      <c r="Z155" s="276">
        <f>'Inputs by customer type'!Z198</f>
        <v>2.2000000000000002</v>
      </c>
      <c r="AA155" s="276">
        <f>'Inputs by customer type'!AA198</f>
        <v>2.2000000000000002</v>
      </c>
      <c r="AB155" s="276">
        <f>'Inputs by customer type'!AB198</f>
        <v>1.5449999999999999</v>
      </c>
      <c r="AC155" s="276">
        <f>'Inputs by customer type'!AC198</f>
        <v>1.5449999999999999</v>
      </c>
      <c r="AD155" s="276">
        <f>'Inputs by customer type'!AD198</f>
        <v>1.5449999999999999</v>
      </c>
      <c r="AE155" s="276">
        <f>'Inputs by customer type'!AE198</f>
        <v>1.5449999999999999</v>
      </c>
      <c r="AF155" s="276">
        <f>'Inputs by customer type'!AF198</f>
        <v>1.5449999999999999</v>
      </c>
      <c r="AG155" s="276">
        <f>'Inputs by customer type'!AG198</f>
        <v>11.879</v>
      </c>
      <c r="AH155" s="276">
        <f>'Inputs by customer type'!AH198</f>
        <v>-2.6760000000000002</v>
      </c>
      <c r="AI155" s="276">
        <f>'Inputs by customer type'!AI198</f>
        <v>-2.3719999999999999</v>
      </c>
      <c r="AJ155" s="276">
        <f>'Inputs by customer type'!AJ198</f>
        <v>-2.6760000000000002</v>
      </c>
      <c r="AK155" s="276">
        <f>'Inputs by customer type'!AK198</f>
        <v>-2.6760000000000002</v>
      </c>
      <c r="AL155" s="276">
        <f>'Inputs by customer type'!AL198</f>
        <v>-2.3719999999999999</v>
      </c>
      <c r="AM155" s="276">
        <f>'Inputs by customer type'!AM198</f>
        <v>-2.3719999999999999</v>
      </c>
      <c r="AN155" s="276">
        <f>'Inputs by customer type'!AN198</f>
        <v>-1.734</v>
      </c>
      <c r="AO155" s="276">
        <f>'Inputs by customer type'!AO198</f>
        <v>-1.734</v>
      </c>
      <c r="AP155" s="266"/>
      <c r="AQ155" s="266"/>
    </row>
    <row r="156" spans="2:43" x14ac:dyDescent="0.25">
      <c r="E156" s="89"/>
      <c r="F156" t="s">
        <v>156</v>
      </c>
      <c r="G156" t="s">
        <v>268</v>
      </c>
      <c r="H156" s="365"/>
      <c r="I156" s="266"/>
      <c r="J156" s="277">
        <f>'Inputs by customer type'!J199</f>
        <v>1.1180000000000001</v>
      </c>
      <c r="K156" s="277">
        <f>'Inputs by customer type'!K199</f>
        <v>1.1180000000000001</v>
      </c>
      <c r="L156" s="277">
        <f>'Inputs by customer type'!L199</f>
        <v>1.3089999999999999</v>
      </c>
      <c r="M156" s="277">
        <f>'Inputs by customer type'!M199</f>
        <v>1.3089999999999999</v>
      </c>
      <c r="N156" s="277">
        <f>'Inputs by customer type'!N199</f>
        <v>1.3089999999999999</v>
      </c>
      <c r="O156" s="277">
        <f>'Inputs by customer type'!O199</f>
        <v>1.3089999999999999</v>
      </c>
      <c r="P156" s="277">
        <f>'Inputs by customer type'!P199</f>
        <v>1.3089999999999999</v>
      </c>
      <c r="Q156" s="277">
        <f>'Inputs by customer type'!Q199</f>
        <v>1.3089999999999999</v>
      </c>
      <c r="R156" s="277">
        <f>'Inputs by customer type'!R199</f>
        <v>0.98</v>
      </c>
      <c r="S156" s="277">
        <f>'Inputs by customer type'!S199</f>
        <v>0.98</v>
      </c>
      <c r="T156" s="277">
        <f>'Inputs by customer type'!T199</f>
        <v>0.98</v>
      </c>
      <c r="U156" s="277">
        <f>'Inputs by customer type'!U199</f>
        <v>0.98</v>
      </c>
      <c r="V156" s="277">
        <f>'Inputs by customer type'!V199</f>
        <v>0.98</v>
      </c>
      <c r="W156" s="277">
        <f>'Inputs by customer type'!W199</f>
        <v>0.65300000000000002</v>
      </c>
      <c r="X156" s="277">
        <f>'Inputs by customer type'!X199</f>
        <v>0.65300000000000002</v>
      </c>
      <c r="Y156" s="277">
        <f>'Inputs by customer type'!Y199</f>
        <v>0.65300000000000002</v>
      </c>
      <c r="Z156" s="277">
        <f>'Inputs by customer type'!Z199</f>
        <v>0.65300000000000002</v>
      </c>
      <c r="AA156" s="277">
        <f>'Inputs by customer type'!AA199</f>
        <v>0.65300000000000002</v>
      </c>
      <c r="AB156" s="277">
        <f>'Inputs by customer type'!AB199</f>
        <v>0.434</v>
      </c>
      <c r="AC156" s="277">
        <f>'Inputs by customer type'!AC199</f>
        <v>0.434</v>
      </c>
      <c r="AD156" s="277">
        <f>'Inputs by customer type'!AD199</f>
        <v>0.434</v>
      </c>
      <c r="AE156" s="277">
        <f>'Inputs by customer type'!AE199</f>
        <v>0.434</v>
      </c>
      <c r="AF156" s="277">
        <f>'Inputs by customer type'!AF199</f>
        <v>0.434</v>
      </c>
      <c r="AG156" s="277">
        <f>'Inputs by customer type'!AG199</f>
        <v>3.3759999999999999</v>
      </c>
      <c r="AH156" s="277">
        <f>'Inputs by customer type'!AH199</f>
        <v>-0.83699999999999997</v>
      </c>
      <c r="AI156" s="277">
        <f>'Inputs by customer type'!AI199</f>
        <v>-0.73699999999999999</v>
      </c>
      <c r="AJ156" s="277">
        <f>'Inputs by customer type'!AJ199</f>
        <v>-0.83699999999999997</v>
      </c>
      <c r="AK156" s="277">
        <f>'Inputs by customer type'!AK199</f>
        <v>-0.83699999999999997</v>
      </c>
      <c r="AL156" s="277">
        <f>'Inputs by customer type'!AL199</f>
        <v>-0.73699999999999999</v>
      </c>
      <c r="AM156" s="277">
        <f>'Inputs by customer type'!AM199</f>
        <v>-0.73699999999999999</v>
      </c>
      <c r="AN156" s="277">
        <f>'Inputs by customer type'!AN199</f>
        <v>-0.51100000000000001</v>
      </c>
      <c r="AO156" s="277">
        <f>'Inputs by customer type'!AO199</f>
        <v>-0.51100000000000001</v>
      </c>
      <c r="AP156" s="266"/>
      <c r="AQ156" s="266"/>
    </row>
    <row r="157" spans="2:43" x14ac:dyDescent="0.25">
      <c r="E157" s="89"/>
      <c r="F157" t="s">
        <v>157</v>
      </c>
      <c r="G157" t="s">
        <v>268</v>
      </c>
      <c r="H157" s="365"/>
      <c r="I157" s="266"/>
      <c r="J157" s="277">
        <f>'Inputs by customer type'!J200</f>
        <v>0.16200000000000001</v>
      </c>
      <c r="K157" s="277">
        <f>'Inputs by customer type'!K200</f>
        <v>0.16200000000000001</v>
      </c>
      <c r="L157" s="277">
        <f>'Inputs by customer type'!L200</f>
        <v>0.19</v>
      </c>
      <c r="M157" s="277">
        <f>'Inputs by customer type'!M200</f>
        <v>0.19</v>
      </c>
      <c r="N157" s="277">
        <f>'Inputs by customer type'!N200</f>
        <v>0.19</v>
      </c>
      <c r="O157" s="277">
        <f>'Inputs by customer type'!O200</f>
        <v>0.19</v>
      </c>
      <c r="P157" s="277">
        <f>'Inputs by customer type'!P200</f>
        <v>0.19</v>
      </c>
      <c r="Q157" s="277">
        <f>'Inputs by customer type'!Q200</f>
        <v>0.19</v>
      </c>
      <c r="R157" s="277">
        <f>'Inputs by customer type'!R200</f>
        <v>0.14099999999999999</v>
      </c>
      <c r="S157" s="277">
        <f>'Inputs by customer type'!S200</f>
        <v>0.14099999999999999</v>
      </c>
      <c r="T157" s="277">
        <f>'Inputs by customer type'!T200</f>
        <v>0.14099999999999999</v>
      </c>
      <c r="U157" s="277">
        <f>'Inputs by customer type'!U200</f>
        <v>0.14099999999999999</v>
      </c>
      <c r="V157" s="277">
        <f>'Inputs by customer type'!V200</f>
        <v>0.14099999999999999</v>
      </c>
      <c r="W157" s="277">
        <f>'Inputs by customer type'!W200</f>
        <v>9.0999999999999998E-2</v>
      </c>
      <c r="X157" s="277">
        <f>'Inputs by customer type'!X200</f>
        <v>9.0999999999999998E-2</v>
      </c>
      <c r="Y157" s="277">
        <f>'Inputs by customer type'!Y200</f>
        <v>9.0999999999999998E-2</v>
      </c>
      <c r="Z157" s="277">
        <f>'Inputs by customer type'!Z200</f>
        <v>9.0999999999999998E-2</v>
      </c>
      <c r="AA157" s="277">
        <f>'Inputs by customer type'!AA200</f>
        <v>9.0999999999999998E-2</v>
      </c>
      <c r="AB157" s="277">
        <f>'Inputs by customer type'!AB200</f>
        <v>5.8000000000000003E-2</v>
      </c>
      <c r="AC157" s="277">
        <f>'Inputs by customer type'!AC200</f>
        <v>5.8000000000000003E-2</v>
      </c>
      <c r="AD157" s="277">
        <f>'Inputs by customer type'!AD200</f>
        <v>5.8000000000000003E-2</v>
      </c>
      <c r="AE157" s="277">
        <f>'Inputs by customer type'!AE200</f>
        <v>5.8000000000000003E-2</v>
      </c>
      <c r="AF157" s="277">
        <f>'Inputs by customer type'!AF200</f>
        <v>5.8000000000000003E-2</v>
      </c>
      <c r="AG157" s="277">
        <f>'Inputs by customer type'!AG200</f>
        <v>2.58</v>
      </c>
      <c r="AH157" s="277">
        <f>'Inputs by customer type'!AH200</f>
        <v>-0.121</v>
      </c>
      <c r="AI157" s="277">
        <f>'Inputs by customer type'!AI200</f>
        <v>-0.106</v>
      </c>
      <c r="AJ157" s="277">
        <f>'Inputs by customer type'!AJ200</f>
        <v>-0.121</v>
      </c>
      <c r="AK157" s="277">
        <f>'Inputs by customer type'!AK200</f>
        <v>-0.121</v>
      </c>
      <c r="AL157" s="277">
        <f>'Inputs by customer type'!AL200</f>
        <v>-0.106</v>
      </c>
      <c r="AM157" s="277">
        <f>'Inputs by customer type'!AM200</f>
        <v>-0.106</v>
      </c>
      <c r="AN157" s="277">
        <f>'Inputs by customer type'!AN200</f>
        <v>-7.0999999999999994E-2</v>
      </c>
      <c r="AO157" s="277">
        <f>'Inputs by customer type'!AO200</f>
        <v>-7.0999999999999994E-2</v>
      </c>
      <c r="AP157" s="266"/>
      <c r="AQ157" s="266"/>
    </row>
    <row r="158" spans="2:43" x14ac:dyDescent="0.25">
      <c r="E158" s="89"/>
      <c r="F158" t="s">
        <v>158</v>
      </c>
      <c r="G158" t="s">
        <v>269</v>
      </c>
      <c r="H158" s="365"/>
      <c r="J158" s="163">
        <f>'Inputs by customer type'!J201</f>
        <v>29.3</v>
      </c>
      <c r="K158" s="163">
        <f>'Inputs by customer type'!K201</f>
        <v>0</v>
      </c>
      <c r="L158" s="163">
        <f>'Inputs by customer type'!L201</f>
        <v>9.51</v>
      </c>
      <c r="M158" s="163">
        <f>'Inputs by customer type'!M201</f>
        <v>22.5</v>
      </c>
      <c r="N158" s="163">
        <f>'Inputs by customer type'!N201</f>
        <v>55.65</v>
      </c>
      <c r="O158" s="163">
        <f>'Inputs by customer type'!O201</f>
        <v>110.12</v>
      </c>
      <c r="P158" s="163">
        <f>'Inputs by customer type'!P201</f>
        <v>349.7</v>
      </c>
      <c r="Q158" s="163">
        <f>'Inputs by customer type'!Q201</f>
        <v>0</v>
      </c>
      <c r="R158" s="163">
        <f>'Inputs by customer type'!R201</f>
        <v>15.06</v>
      </c>
      <c r="S158" s="163">
        <f>'Inputs by customer type'!S201</f>
        <v>532.98</v>
      </c>
      <c r="T158" s="163">
        <f>'Inputs by customer type'!T201</f>
        <v>1056.0899999999999</v>
      </c>
      <c r="U158" s="163">
        <f>'Inputs by customer type'!U201</f>
        <v>1635.39</v>
      </c>
      <c r="V158" s="163">
        <f>'Inputs by customer type'!V201</f>
        <v>3490.11</v>
      </c>
      <c r="W158" s="163">
        <f>'Inputs by customer type'!W201</f>
        <v>15.06</v>
      </c>
      <c r="X158" s="163">
        <f>'Inputs by customer type'!X201</f>
        <v>532.98</v>
      </c>
      <c r="Y158" s="163">
        <f>'Inputs by customer type'!Y201</f>
        <v>1056.0899999999999</v>
      </c>
      <c r="Z158" s="163">
        <f>'Inputs by customer type'!Z201</f>
        <v>1635.39</v>
      </c>
      <c r="AA158" s="163">
        <f>'Inputs by customer type'!AA201</f>
        <v>3490.11</v>
      </c>
      <c r="AB158" s="163">
        <f>'Inputs by customer type'!AB201</f>
        <v>345.69</v>
      </c>
      <c r="AC158" s="163">
        <f>'Inputs by customer type'!AC201</f>
        <v>3494.11</v>
      </c>
      <c r="AD158" s="163">
        <f>'Inputs by customer type'!AD201</f>
        <v>9511.0499999999993</v>
      </c>
      <c r="AE158" s="163">
        <f>'Inputs by customer type'!AE201</f>
        <v>19869.5</v>
      </c>
      <c r="AF158" s="163">
        <f>'Inputs by customer type'!AF201</f>
        <v>47264.24</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77.83</v>
      </c>
      <c r="AO158" s="163">
        <f>'Inputs by customer type'!AO201</f>
        <v>77.83</v>
      </c>
    </row>
    <row r="159" spans="2:43" x14ac:dyDescent="0.25">
      <c r="E159" s="89"/>
      <c r="F159" t="s">
        <v>159</v>
      </c>
      <c r="G159" t="s">
        <v>270</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1.1599999999999999</v>
      </c>
      <c r="S159" s="163">
        <f>'Inputs by customer type'!S202</f>
        <v>1.1599999999999999</v>
      </c>
      <c r="T159" s="163">
        <f>'Inputs by customer type'!T202</f>
        <v>1.1599999999999999</v>
      </c>
      <c r="U159" s="163">
        <f>'Inputs by customer type'!U202</f>
        <v>1.1599999999999999</v>
      </c>
      <c r="V159" s="163">
        <f>'Inputs by customer type'!V202</f>
        <v>1.1599999999999999</v>
      </c>
      <c r="W159" s="163">
        <f>'Inputs by customer type'!W202</f>
        <v>1.37</v>
      </c>
      <c r="X159" s="163">
        <f>'Inputs by customer type'!X202</f>
        <v>1.37</v>
      </c>
      <c r="Y159" s="163">
        <f>'Inputs by customer type'!Y202</f>
        <v>1.37</v>
      </c>
      <c r="Z159" s="163">
        <f>'Inputs by customer type'!Z202</f>
        <v>1.37</v>
      </c>
      <c r="AA159" s="163">
        <f>'Inputs by customer type'!AA202</f>
        <v>1.37</v>
      </c>
      <c r="AB159" s="163">
        <f>'Inputs by customer type'!AB202</f>
        <v>1.64</v>
      </c>
      <c r="AC159" s="163">
        <f>'Inputs by customer type'!AC202</f>
        <v>1.64</v>
      </c>
      <c r="AD159" s="163">
        <f>'Inputs by customer type'!AD202</f>
        <v>1.64</v>
      </c>
      <c r="AE159" s="163">
        <f>'Inputs by customer type'!AE202</f>
        <v>1.64</v>
      </c>
      <c r="AF159" s="163">
        <f>'Inputs by customer type'!AF202</f>
        <v>1.64</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160</v>
      </c>
      <c r="G160" t="s">
        <v>270</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2.7</v>
      </c>
      <c r="S160" s="163">
        <f>'Inputs by customer type'!S203</f>
        <v>2.7</v>
      </c>
      <c r="T160" s="163">
        <f>'Inputs by customer type'!T203</f>
        <v>2.7</v>
      </c>
      <c r="U160" s="163">
        <f>'Inputs by customer type'!U203</f>
        <v>2.7</v>
      </c>
      <c r="V160" s="163">
        <f>'Inputs by customer type'!V203</f>
        <v>2.7</v>
      </c>
      <c r="W160" s="163">
        <f>'Inputs by customer type'!W203</f>
        <v>2.23</v>
      </c>
      <c r="X160" s="163">
        <f>'Inputs by customer type'!X203</f>
        <v>2.23</v>
      </c>
      <c r="Y160" s="163">
        <f>'Inputs by customer type'!Y203</f>
        <v>2.23</v>
      </c>
      <c r="Z160" s="163">
        <f>'Inputs by customer type'!Z203</f>
        <v>2.23</v>
      </c>
      <c r="AA160" s="163">
        <f>'Inputs by customer type'!AA203</f>
        <v>2.23</v>
      </c>
      <c r="AB160" s="163">
        <f>'Inputs by customer type'!AB203</f>
        <v>2.77</v>
      </c>
      <c r="AC160" s="163">
        <f>'Inputs by customer type'!AC203</f>
        <v>2.77</v>
      </c>
      <c r="AD160" s="163">
        <f>'Inputs by customer type'!AD203</f>
        <v>2.77</v>
      </c>
      <c r="AE160" s="163">
        <f>'Inputs by customer type'!AE203</f>
        <v>2.77</v>
      </c>
      <c r="AF160" s="163">
        <f>'Inputs by customer type'!AF203</f>
        <v>2.77</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161</v>
      </c>
      <c r="G161" s="91" t="s">
        <v>271</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9.5000000000000001E-2</v>
      </c>
      <c r="S161" s="314">
        <f>'Inputs by customer type'!S204</f>
        <v>9.5000000000000001E-2</v>
      </c>
      <c r="T161" s="314">
        <f>'Inputs by customer type'!T204</f>
        <v>9.5000000000000001E-2</v>
      </c>
      <c r="U161" s="314">
        <f>'Inputs by customer type'!U204</f>
        <v>9.5000000000000001E-2</v>
      </c>
      <c r="V161" s="314">
        <f>'Inputs by customer type'!V204</f>
        <v>9.5000000000000001E-2</v>
      </c>
      <c r="W161" s="314">
        <f>'Inputs by customer type'!W204</f>
        <v>5.8999999999999997E-2</v>
      </c>
      <c r="X161" s="314">
        <f>'Inputs by customer type'!X204</f>
        <v>5.8999999999999997E-2</v>
      </c>
      <c r="Y161" s="314">
        <f>'Inputs by customer type'!Y204</f>
        <v>5.8999999999999997E-2</v>
      </c>
      <c r="Z161" s="314">
        <f>'Inputs by customer type'!Z204</f>
        <v>5.8999999999999997E-2</v>
      </c>
      <c r="AA161" s="314">
        <f>'Inputs by customer type'!AA204</f>
        <v>5.8999999999999997E-2</v>
      </c>
      <c r="AB161" s="314">
        <f>'Inputs by customer type'!AB204</f>
        <v>3.5999999999999997E-2</v>
      </c>
      <c r="AC161" s="314">
        <f>'Inputs by customer type'!AC204</f>
        <v>3.5999999999999997E-2</v>
      </c>
      <c r="AD161" s="314">
        <f>'Inputs by customer type'!AD204</f>
        <v>3.5999999999999997E-2</v>
      </c>
      <c r="AE161" s="314">
        <f>'Inputs by customer type'!AE204</f>
        <v>3.5999999999999997E-2</v>
      </c>
      <c r="AF161" s="314">
        <f>'Inputs by customer type'!AF204</f>
        <v>3.5999999999999997E-2</v>
      </c>
      <c r="AG161" s="314">
        <f>'Inputs by customer type'!AG204</f>
        <v>0</v>
      </c>
      <c r="AH161" s="314">
        <f>'Inputs by customer type'!AH204</f>
        <v>0</v>
      </c>
      <c r="AI161" s="314">
        <f>'Inputs by customer type'!AI204</f>
        <v>0</v>
      </c>
      <c r="AJ161" s="314">
        <f>'Inputs by customer type'!AJ204</f>
        <v>7.2999999999999995E-2</v>
      </c>
      <c r="AK161" s="314">
        <f>'Inputs by customer type'!AK204</f>
        <v>0</v>
      </c>
      <c r="AL161" s="314">
        <f>'Inputs by customer type'!AL204</f>
        <v>6.8000000000000005E-2</v>
      </c>
      <c r="AM161" s="314">
        <f>'Inputs by customer type'!AM204</f>
        <v>0</v>
      </c>
      <c r="AN161" s="314">
        <f>'Inputs by customer type'!AN204</f>
        <v>5.3999999999999999E-2</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778</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779</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780</v>
      </c>
      <c r="F168" s="151"/>
      <c r="G168" s="151" t="s">
        <v>276</v>
      </c>
      <c r="H168" s="151"/>
      <c r="I168" s="151"/>
      <c r="J168" s="238">
        <f>'Inputs by customer type'!J213</f>
        <v>290810148.42172474</v>
      </c>
      <c r="K168" s="238">
        <f>'Inputs by customer type'!K213</f>
        <v>71674.620665345632</v>
      </c>
      <c r="L168" s="238">
        <f>'Inputs by customer type'!L213</f>
        <v>2637.1780635288833</v>
      </c>
      <c r="M168" s="238">
        <f>'Inputs by customer type'!M213</f>
        <v>5086911.0339509109</v>
      </c>
      <c r="N168" s="238">
        <f>'Inputs by customer type'!N213</f>
        <v>12704483.887402745</v>
      </c>
      <c r="O168" s="238">
        <f>'Inputs by customer type'!O213</f>
        <v>14214421.747277169</v>
      </c>
      <c r="P168" s="238">
        <f>'Inputs by customer type'!P213</f>
        <v>44699875.045494512</v>
      </c>
      <c r="Q168" s="238">
        <f>'Inputs by customer type'!Q213</f>
        <v>92996.685371709274</v>
      </c>
      <c r="R168" s="238">
        <f>'Inputs by customer type'!R213</f>
        <v>1629.2312430771169</v>
      </c>
      <c r="S168" s="238">
        <f>'Inputs by customer type'!S213</f>
        <v>19325548.937127661</v>
      </c>
      <c r="T168" s="238">
        <f>'Inputs by customer type'!T213</f>
        <v>25449892.358212795</v>
      </c>
      <c r="U168" s="238">
        <f>'Inputs by customer type'!U213</f>
        <v>16488454.137626493</v>
      </c>
      <c r="V168" s="238">
        <f>'Inputs by customer type'!V213</f>
        <v>30224875.378533732</v>
      </c>
      <c r="W168" s="238">
        <f>'Inputs by customer type'!W213</f>
        <v>235.5328285886072</v>
      </c>
      <c r="X168" s="238">
        <f>'Inputs by customer type'!X213</f>
        <v>68034.727405672224</v>
      </c>
      <c r="Y168" s="238">
        <f>'Inputs by customer type'!Y213</f>
        <v>203208.78291023968</v>
      </c>
      <c r="Z168" s="238">
        <f>'Inputs by customer type'!Z213</f>
        <v>522585.26647655107</v>
      </c>
      <c r="AA168" s="238">
        <f>'Inputs by customer type'!AA213</f>
        <v>10208404.998802092</v>
      </c>
      <c r="AB168" s="238">
        <f>'Inputs by customer type'!AB213</f>
        <v>160452.87204338016</v>
      </c>
      <c r="AC168" s="238">
        <f>'Inputs by customer type'!AC213</f>
        <v>9483743.9323933441</v>
      </c>
      <c r="AD168" s="238">
        <f>'Inputs by customer type'!AD213</f>
        <v>30423724.855020694</v>
      </c>
      <c r="AE168" s="238">
        <f>'Inputs by customer type'!AE213</f>
        <v>26850047.690783877</v>
      </c>
      <c r="AF168" s="238">
        <f>'Inputs by customer type'!AF213</f>
        <v>70607365.819195464</v>
      </c>
      <c r="AG168" s="238">
        <f>'Inputs by customer type'!AG213</f>
        <v>5022288.1168078184</v>
      </c>
      <c r="AH168" s="238">
        <f>'Inputs by customer type'!AH213</f>
        <v>-136671.22903000002</v>
      </c>
      <c r="AI168" s="238">
        <f>'Inputs by customer type'!AI213</f>
        <v>0</v>
      </c>
      <c r="AJ168" s="238">
        <f>'Inputs by customer type'!AJ213</f>
        <v>-370288.43610699999</v>
      </c>
      <c r="AK168" s="238">
        <f>'Inputs by customer type'!AK213</f>
        <v>0</v>
      </c>
      <c r="AL168" s="238">
        <f>'Inputs by customer type'!AL213</f>
        <v>-44337.476999000006</v>
      </c>
      <c r="AM168" s="238">
        <f>'Inputs by customer type'!AM213</f>
        <v>0</v>
      </c>
      <c r="AN168" s="238">
        <f>'Inputs by customer type'!AN213</f>
        <v>-3614335.4984220001</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781</v>
      </c>
      <c r="G170" t="s">
        <v>276</v>
      </c>
      <c r="J170" s="141">
        <f t="shared" ref="J170:AO170" si="36">IF(J168 = 0, SUMPRODUCT(J25:J27, J158:J160) / hundred * days_in_year + ( SUMPRODUCT(J22:J24, J155:J157)  + J161*J28) * ten, J168)</f>
        <v>290810148.42172474</v>
      </c>
      <c r="K170" s="141">
        <f t="shared" si="36"/>
        <v>71674.620665345632</v>
      </c>
      <c r="L170" s="141">
        <f t="shared" si="36"/>
        <v>2637.1780635288833</v>
      </c>
      <c r="M170" s="141">
        <f t="shared" si="36"/>
        <v>5086911.0339509109</v>
      </c>
      <c r="N170" s="141">
        <f t="shared" si="36"/>
        <v>12704483.887402745</v>
      </c>
      <c r="O170" s="141">
        <f t="shared" si="36"/>
        <v>14214421.747277169</v>
      </c>
      <c r="P170" s="141">
        <f t="shared" si="36"/>
        <v>44699875.045494512</v>
      </c>
      <c r="Q170" s="141">
        <f t="shared" si="36"/>
        <v>92996.685371709274</v>
      </c>
      <c r="R170" s="141">
        <f t="shared" si="36"/>
        <v>1629.2312430771169</v>
      </c>
      <c r="S170" s="141">
        <f t="shared" si="36"/>
        <v>19325548.937127661</v>
      </c>
      <c r="T170" s="141">
        <f t="shared" si="36"/>
        <v>25449892.358212795</v>
      </c>
      <c r="U170" s="141">
        <f t="shared" si="36"/>
        <v>16488454.137626493</v>
      </c>
      <c r="V170" s="141">
        <f t="shared" si="36"/>
        <v>30224875.378533732</v>
      </c>
      <c r="W170" s="141">
        <f t="shared" si="36"/>
        <v>235.5328285886072</v>
      </c>
      <c r="X170" s="141">
        <f t="shared" si="36"/>
        <v>68034.727405672224</v>
      </c>
      <c r="Y170" s="141">
        <f t="shared" si="36"/>
        <v>203208.78291023968</v>
      </c>
      <c r="Z170" s="141">
        <f t="shared" si="36"/>
        <v>522585.26647655107</v>
      </c>
      <c r="AA170" s="141">
        <f t="shared" si="36"/>
        <v>10208404.998802092</v>
      </c>
      <c r="AB170" s="141">
        <f t="shared" si="36"/>
        <v>160452.87204338016</v>
      </c>
      <c r="AC170" s="141">
        <f t="shared" si="36"/>
        <v>9483743.9323933441</v>
      </c>
      <c r="AD170" s="141">
        <f t="shared" si="36"/>
        <v>30423724.855020694</v>
      </c>
      <c r="AE170" s="141">
        <f t="shared" si="36"/>
        <v>26850047.690783877</v>
      </c>
      <c r="AF170" s="141">
        <f t="shared" si="36"/>
        <v>70607365.819195464</v>
      </c>
      <c r="AG170" s="141">
        <f t="shared" si="36"/>
        <v>5022288.1168078184</v>
      </c>
      <c r="AH170" s="141">
        <f t="shared" si="36"/>
        <v>-136671.22903000002</v>
      </c>
      <c r="AI170" s="141">
        <f t="shared" si="36"/>
        <v>0</v>
      </c>
      <c r="AJ170" s="141">
        <f t="shared" si="36"/>
        <v>-370288.43610699999</v>
      </c>
      <c r="AK170" s="141">
        <f t="shared" si="36"/>
        <v>0</v>
      </c>
      <c r="AL170" s="141">
        <f t="shared" si="36"/>
        <v>-44337.476999000006</v>
      </c>
      <c r="AM170" s="141">
        <f t="shared" si="36"/>
        <v>0</v>
      </c>
      <c r="AN170" s="141">
        <f t="shared" si="36"/>
        <v>-3614335.4984220001</v>
      </c>
      <c r="AO170" s="141">
        <f t="shared" si="36"/>
        <v>0</v>
      </c>
    </row>
    <row r="171" spans="2:43" x14ac:dyDescent="0.25">
      <c r="F171" s="3"/>
      <c r="G171" s="358"/>
      <c r="H171" s="3"/>
      <c r="I171" s="3"/>
    </row>
    <row r="172" spans="2:43" x14ac:dyDescent="0.25">
      <c r="E172" t="s">
        <v>782</v>
      </c>
      <c r="G172" s="46" t="s">
        <v>166</v>
      </c>
      <c r="J172" s="367">
        <f t="shared" ref="J172:AH172" si="37">IF( J170 &lt;&gt; 0, (J102 - J170) / J170, "-")</f>
        <v>-0.22076208252819857</v>
      </c>
      <c r="K172" s="367">
        <f t="shared" si="37"/>
        <v>0.2137178267031119</v>
      </c>
      <c r="L172" s="367">
        <f t="shared" si="37"/>
        <v>0.73121495008613624</v>
      </c>
      <c r="M172" s="367">
        <f t="shared" si="37"/>
        <v>8.2016109272055521E-2</v>
      </c>
      <c r="N172" s="367">
        <f t="shared" si="37"/>
        <v>-0.21226549848255458</v>
      </c>
      <c r="O172" s="367">
        <f t="shared" si="37"/>
        <v>-0.30396349825368502</v>
      </c>
      <c r="P172" s="367">
        <f t="shared" si="37"/>
        <v>-0.39580781798529285</v>
      </c>
      <c r="Q172" s="367">
        <f t="shared" si="37"/>
        <v>0.33804358585284777</v>
      </c>
      <c r="R172" s="367">
        <f t="shared" si="37"/>
        <v>1.4629331032378388</v>
      </c>
      <c r="S172" s="367">
        <f t="shared" si="37"/>
        <v>-0.26285442671641851</v>
      </c>
      <c r="T172" s="367">
        <f t="shared" si="37"/>
        <v>-0.22485339183837896</v>
      </c>
      <c r="U172" s="367">
        <f t="shared" si="37"/>
        <v>-0.21653357204280543</v>
      </c>
      <c r="V172" s="367">
        <f t="shared" si="37"/>
        <v>-0.29156758291312906</v>
      </c>
      <c r="W172" s="367">
        <f t="shared" si="37"/>
        <v>0.6417497181262124</v>
      </c>
      <c r="X172" s="367">
        <f t="shared" si="37"/>
        <v>-5.1797911060247399E-2</v>
      </c>
      <c r="Y172" s="367">
        <f t="shared" si="37"/>
        <v>-0.26786638696473525</v>
      </c>
      <c r="Z172" s="367">
        <f t="shared" si="37"/>
        <v>-0.32328019295703703</v>
      </c>
      <c r="AA172" s="367">
        <f t="shared" si="37"/>
        <v>-0.28202201113771108</v>
      </c>
      <c r="AB172" s="367">
        <f t="shared" si="37"/>
        <v>0.79708170534675049</v>
      </c>
      <c r="AC172" s="367">
        <f t="shared" si="37"/>
        <v>-0.40118005481715879</v>
      </c>
      <c r="AD172" s="367">
        <f t="shared" si="37"/>
        <v>-0.46735526721910409</v>
      </c>
      <c r="AE172" s="367">
        <f t="shared" si="37"/>
        <v>-0.49156336585402455</v>
      </c>
      <c r="AF172" s="367">
        <f t="shared" si="37"/>
        <v>-0.50379333259237402</v>
      </c>
      <c r="AG172" s="367">
        <f t="shared" si="37"/>
        <v>-0.48452999134545116</v>
      </c>
      <c r="AH172" s="367">
        <f t="shared" si="37"/>
        <v>14.39328429091614</v>
      </c>
      <c r="AI172" s="367" t="str">
        <f>IF( AI170 &lt;&gt; 0, (AI102 - AI170) / AI170, "-")</f>
        <v>-</v>
      </c>
      <c r="AJ172" s="367">
        <f t="shared" ref="AJ172:AO172" si="38">IF( AJ170 &lt;&gt; 0, (AJ102 - AJ170) / AJ170, "-")</f>
        <v>0.56726148182576008</v>
      </c>
      <c r="AK172" s="367" t="str">
        <f t="shared" si="38"/>
        <v>-</v>
      </c>
      <c r="AL172" s="367">
        <f t="shared" si="38"/>
        <v>0.67945141174089418</v>
      </c>
      <c r="AM172" s="367" t="str">
        <f t="shared" si="38"/>
        <v>-</v>
      </c>
      <c r="AN172" s="367">
        <f t="shared" si="38"/>
        <v>0.3313230150675906</v>
      </c>
      <c r="AO172" s="367" t="str">
        <f t="shared" si="38"/>
        <v>-</v>
      </c>
    </row>
    <row r="173" spans="2:43" x14ac:dyDescent="0.25">
      <c r="C173" s="100"/>
      <c r="D173" s="2"/>
      <c r="E173" s="2"/>
      <c r="G173" s="46"/>
    </row>
    <row r="174" spans="2:43" x14ac:dyDescent="0.25">
      <c r="E174" t="s">
        <v>783</v>
      </c>
      <c r="G174" s="46" t="s">
        <v>268</v>
      </c>
      <c r="H174" s="266"/>
      <c r="I174" s="266"/>
      <c r="J174" s="267">
        <f t="shared" ref="J174:AO174" si="39" xml:space="preserve"> IF( SUM(J22:J24) = 0, "-", (J102 - J170) / SUM(J22:J24)/ ten)</f>
        <v>-1.0310869043263642</v>
      </c>
      <c r="K174" s="267">
        <f t="shared" si="39"/>
        <v>0.13641938372398968</v>
      </c>
      <c r="L174" s="267">
        <f t="shared" si="39"/>
        <v>1.0022560039101409</v>
      </c>
      <c r="M174" s="267">
        <f t="shared" si="39"/>
        <v>0.29846719525752802</v>
      </c>
      <c r="N174" s="267">
        <f t="shared" si="39"/>
        <v>-0.78497606971532174</v>
      </c>
      <c r="O174" s="267">
        <f t="shared" si="39"/>
        <v>-1.1089410137143676</v>
      </c>
      <c r="P174" s="267">
        <f t="shared" si="39"/>
        <v>-1.5368359211753817</v>
      </c>
      <c r="Q174" s="267">
        <f t="shared" si="39"/>
        <v>0.25332715949506035</v>
      </c>
      <c r="R174" s="267">
        <f t="shared" si="39"/>
        <v>7.1156224516984121</v>
      </c>
      <c r="S174" s="267">
        <f t="shared" si="39"/>
        <v>-0.95220783916394214</v>
      </c>
      <c r="T174" s="267">
        <f t="shared" si="39"/>
        <v>-0.81031817751708934</v>
      </c>
      <c r="U174" s="267">
        <f t="shared" si="39"/>
        <v>-0.78626224655804511</v>
      </c>
      <c r="V174" s="267">
        <f t="shared" si="39"/>
        <v>-1.1859225041458639</v>
      </c>
      <c r="W174" s="267">
        <f t="shared" si="39"/>
        <v>14.605069729063207</v>
      </c>
      <c r="X174" s="267">
        <f t="shared" si="39"/>
        <v>-4.8994997538586306E-2</v>
      </c>
      <c r="Y174" s="267">
        <f t="shared" si="39"/>
        <v>-0.52729141085296705</v>
      </c>
      <c r="Z174" s="267">
        <f t="shared" si="39"/>
        <v>-0.70584733207545824</v>
      </c>
      <c r="AA174" s="267">
        <f t="shared" si="39"/>
        <v>-0.68890962603315364</v>
      </c>
      <c r="AB174" s="267">
        <f t="shared" si="39"/>
        <v>2.1997522849342985</v>
      </c>
      <c r="AC174" s="267">
        <f t="shared" si="39"/>
        <v>-1.3277256517118157</v>
      </c>
      <c r="AD174" s="267">
        <f t="shared" si="39"/>
        <v>-1.5066929057571141</v>
      </c>
      <c r="AE174" s="267">
        <f t="shared" si="39"/>
        <v>-1.5287774554096769</v>
      </c>
      <c r="AF174" s="267">
        <f t="shared" si="39"/>
        <v>-1.569488271080506</v>
      </c>
      <c r="AG174" s="267">
        <f t="shared" si="39"/>
        <v>-1.7789743156640054</v>
      </c>
      <c r="AH174" s="267">
        <f t="shared" si="39"/>
        <v>-1.157242199860574</v>
      </c>
      <c r="AI174" s="267" t="str">
        <f t="shared" si="39"/>
        <v>-</v>
      </c>
      <c r="AJ174" s="267">
        <f t="shared" si="39"/>
        <v>-0.37723009669063068</v>
      </c>
      <c r="AK174" s="267" t="str">
        <f t="shared" si="39"/>
        <v>-</v>
      </c>
      <c r="AL174" s="267">
        <f t="shared" si="39"/>
        <v>-0.31076872857441595</v>
      </c>
      <c r="AM174" s="267" t="str">
        <f t="shared" si="39"/>
        <v>-</v>
      </c>
      <c r="AN174" s="267">
        <f t="shared" si="39"/>
        <v>-0.14841055796001887</v>
      </c>
      <c r="AO174" s="267" t="str">
        <f t="shared" si="39"/>
        <v>-</v>
      </c>
      <c r="AP174" s="266"/>
      <c r="AQ174" s="266"/>
    </row>
    <row r="175" spans="2:43" x14ac:dyDescent="0.25">
      <c r="C175" s="100"/>
      <c r="D175" s="2"/>
      <c r="E175" s="2"/>
      <c r="G175" s="46"/>
    </row>
    <row r="176" spans="2:43" x14ac:dyDescent="0.25">
      <c r="B176" s="70" t="s">
        <v>784</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785</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786</v>
      </c>
    </row>
    <row r="182" spans="3:43" x14ac:dyDescent="0.25">
      <c r="E182" s="89"/>
      <c r="F182" s="90" t="s">
        <v>155</v>
      </c>
      <c r="G182" s="138" t="s">
        <v>787</v>
      </c>
      <c r="H182" s="368"/>
      <c r="I182" s="90"/>
      <c r="J182" s="169">
        <f t="shared" ref="J182:AO182" si="40" xml:space="preserve"> IF( J$25 &lt;&gt; 0, J$22 * thousand * J64 / hundred / J$25, 0)</f>
        <v>13.004789913457033</v>
      </c>
      <c r="K182" s="169">
        <f t="shared" si="40"/>
        <v>2.080841931978032</v>
      </c>
      <c r="L182" s="169">
        <f t="shared" si="40"/>
        <v>41.392181057999181</v>
      </c>
      <c r="M182" s="169">
        <f t="shared" si="40"/>
        <v>12.62864072152637</v>
      </c>
      <c r="N182" s="169">
        <f t="shared" si="40"/>
        <v>33.364075045623814</v>
      </c>
      <c r="O182" s="169">
        <f t="shared" si="40"/>
        <v>78.295351090832824</v>
      </c>
      <c r="P182" s="169">
        <f t="shared" si="40"/>
        <v>205.748220691846</v>
      </c>
      <c r="Q182" s="169">
        <f t="shared" si="40"/>
        <v>12.671097662631755</v>
      </c>
      <c r="R182" s="169">
        <f t="shared" si="40"/>
        <v>10.564329559082102</v>
      </c>
      <c r="S182" s="169">
        <f t="shared" si="40"/>
        <v>246.6655601805594</v>
      </c>
      <c r="T182" s="169">
        <f t="shared" si="40"/>
        <v>497.55351499618195</v>
      </c>
      <c r="U182" s="169">
        <f t="shared" si="40"/>
        <v>731.79117208155412</v>
      </c>
      <c r="V182" s="169">
        <f t="shared" si="40"/>
        <v>1358.7012477639967</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1110.5095386650287</v>
      </c>
      <c r="AH182" s="169">
        <f t="shared" si="40"/>
        <v>-23.238880213202325</v>
      </c>
      <c r="AI182" s="169">
        <f t="shared" si="40"/>
        <v>0</v>
      </c>
      <c r="AJ182" s="169">
        <f t="shared" si="40"/>
        <v>-322.28606523012553</v>
      </c>
      <c r="AK182" s="169">
        <f t="shared" si="40"/>
        <v>0</v>
      </c>
      <c r="AL182" s="169">
        <f t="shared" si="40"/>
        <v>0</v>
      </c>
      <c r="AM182" s="169">
        <f t="shared" si="40"/>
        <v>0</v>
      </c>
      <c r="AN182" s="169">
        <f t="shared" si="40"/>
        <v>0</v>
      </c>
      <c r="AO182" s="169">
        <f t="shared" si="40"/>
        <v>0</v>
      </c>
    </row>
    <row r="183" spans="3:43" x14ac:dyDescent="0.25">
      <c r="E183" s="89"/>
      <c r="F183" t="s">
        <v>156</v>
      </c>
      <c r="G183" s="46" t="s">
        <v>787</v>
      </c>
      <c r="H183" s="146"/>
      <c r="J183" s="141">
        <f t="shared" ref="J183:AO183" si="41" xml:space="preserve"> IF( J$25 &lt;&gt; 0, J$23 * thousand * J65 / hundred / J$25, 0)</f>
        <v>10.32434203884266</v>
      </c>
      <c r="K183" s="141">
        <f t="shared" si="41"/>
        <v>7.6955141366223705</v>
      </c>
      <c r="L183" s="141">
        <f t="shared" si="41"/>
        <v>48.128735628175122</v>
      </c>
      <c r="M183" s="141">
        <f t="shared" si="41"/>
        <v>14.977200255043947</v>
      </c>
      <c r="N183" s="141">
        <f t="shared" si="41"/>
        <v>39.616108666140434</v>
      </c>
      <c r="O183" s="141">
        <f t="shared" si="41"/>
        <v>93.041482978075848</v>
      </c>
      <c r="P183" s="141">
        <f t="shared" si="41"/>
        <v>242.10272737693657</v>
      </c>
      <c r="Q183" s="141">
        <f t="shared" si="41"/>
        <v>23.878074335550394</v>
      </c>
      <c r="R183" s="141">
        <f t="shared" si="41"/>
        <v>11.620048830869637</v>
      </c>
      <c r="S183" s="141">
        <f t="shared" si="41"/>
        <v>283.54315119865674</v>
      </c>
      <c r="T183" s="141">
        <f t="shared" si="41"/>
        <v>550.48268123090395</v>
      </c>
      <c r="U183" s="141">
        <f t="shared" si="41"/>
        <v>844.97938450288927</v>
      </c>
      <c r="V183" s="141">
        <f t="shared" si="41"/>
        <v>1620.0939624926668</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610.11530168670322</v>
      </c>
      <c r="AH183" s="141">
        <f t="shared" si="41"/>
        <v>-37.419085943555437</v>
      </c>
      <c r="AI183" s="141">
        <f t="shared" si="41"/>
        <v>0</v>
      </c>
      <c r="AJ183" s="141">
        <f t="shared" si="41"/>
        <v>-427.53030758159008</v>
      </c>
      <c r="AK183" s="141">
        <f t="shared" si="41"/>
        <v>0</v>
      </c>
      <c r="AL183" s="141">
        <f t="shared" si="41"/>
        <v>0</v>
      </c>
      <c r="AM183" s="141">
        <f t="shared" si="41"/>
        <v>0</v>
      </c>
      <c r="AN183" s="141">
        <f t="shared" si="41"/>
        <v>0</v>
      </c>
      <c r="AO183" s="141">
        <f t="shared" si="41"/>
        <v>0</v>
      </c>
    </row>
    <row r="184" spans="3:43" x14ac:dyDescent="0.25">
      <c r="E184" s="89"/>
      <c r="F184" t="s">
        <v>157</v>
      </c>
      <c r="G184" s="46" t="s">
        <v>787</v>
      </c>
      <c r="H184" s="146"/>
      <c r="J184" s="141">
        <f t="shared" ref="J184:AO184" si="42" xml:space="preserve"> IF( J$25 &lt;&gt; 0, J$24 * thousand * J66 / hundred / J$25, 0)</f>
        <v>2.2571674253771583</v>
      </c>
      <c r="K184" s="141">
        <f t="shared" si="42"/>
        <v>3.0090995970358478</v>
      </c>
      <c r="L184" s="141">
        <f t="shared" si="42"/>
        <v>7.0713551433858743</v>
      </c>
      <c r="M184" s="141">
        <f t="shared" si="42"/>
        <v>2.3532483559181823</v>
      </c>
      <c r="N184" s="141">
        <f t="shared" si="42"/>
        <v>6.2600965029007982</v>
      </c>
      <c r="O184" s="141">
        <f t="shared" si="42"/>
        <v>15.168797916537335</v>
      </c>
      <c r="P184" s="141">
        <f t="shared" si="42"/>
        <v>41.848086029431535</v>
      </c>
      <c r="Q184" s="141">
        <f t="shared" si="42"/>
        <v>10.474317362258995</v>
      </c>
      <c r="R184" s="141">
        <f t="shared" si="42"/>
        <v>2.9159784026744884</v>
      </c>
      <c r="S184" s="141">
        <f t="shared" si="42"/>
        <v>44.29382227342672</v>
      </c>
      <c r="T184" s="141">
        <f t="shared" si="42"/>
        <v>87.572302691375356</v>
      </c>
      <c r="U184" s="141">
        <f t="shared" si="42"/>
        <v>133.069557943099</v>
      </c>
      <c r="V184" s="141">
        <f t="shared" si="42"/>
        <v>248.30096503337094</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743.50652417333879</v>
      </c>
      <c r="AH184" s="141">
        <f t="shared" si="42"/>
        <v>-3.147556720083498</v>
      </c>
      <c r="AI184" s="141">
        <f t="shared" si="42"/>
        <v>0</v>
      </c>
      <c r="AJ184" s="141">
        <f t="shared" si="42"/>
        <v>-68.845875411436523</v>
      </c>
      <c r="AK184" s="141">
        <f t="shared" si="42"/>
        <v>0</v>
      </c>
      <c r="AL184" s="141">
        <f t="shared" si="42"/>
        <v>0</v>
      </c>
      <c r="AM184" s="141">
        <f t="shared" si="42"/>
        <v>0</v>
      </c>
      <c r="AN184" s="141">
        <f t="shared" si="42"/>
        <v>0</v>
      </c>
      <c r="AO184" s="141">
        <f t="shared" si="42"/>
        <v>0</v>
      </c>
    </row>
    <row r="185" spans="3:43" x14ac:dyDescent="0.25">
      <c r="E185" s="89"/>
      <c r="F185" s="90" t="s">
        <v>158</v>
      </c>
      <c r="G185" s="138" t="s">
        <v>787</v>
      </c>
      <c r="H185" s="368"/>
      <c r="I185" s="90"/>
      <c r="J185" s="169">
        <f t="shared" ref="J185:AO185" si="43" xml:space="preserve"> IF( J$25 &lt;&gt; 0, J$25 * J67 * days_in_year / hundred / J$25, 0)</f>
        <v>36.828499999999998</v>
      </c>
      <c r="K185" s="169">
        <f t="shared" si="43"/>
        <v>0</v>
      </c>
      <c r="L185" s="169">
        <f t="shared" si="43"/>
        <v>26.6815</v>
      </c>
      <c r="M185" s="169">
        <f t="shared" si="43"/>
        <v>35.441500000000005</v>
      </c>
      <c r="N185" s="169">
        <f t="shared" si="43"/>
        <v>49.092499999999994</v>
      </c>
      <c r="O185" s="169">
        <f t="shared" si="43"/>
        <v>80.007999999999996</v>
      </c>
      <c r="P185" s="169">
        <f t="shared" si="43"/>
        <v>169.6155</v>
      </c>
      <c r="Q185" s="169">
        <f t="shared" si="43"/>
        <v>0</v>
      </c>
      <c r="R185" s="169">
        <f t="shared" si="43"/>
        <v>35.733499999999999</v>
      </c>
      <c r="S185" s="169">
        <f t="shared" si="43"/>
        <v>274.66250000000002</v>
      </c>
      <c r="T185" s="169">
        <f t="shared" si="43"/>
        <v>501.21800000000002</v>
      </c>
      <c r="U185" s="169">
        <f t="shared" si="43"/>
        <v>743.87000000000012</v>
      </c>
      <c r="V185" s="169">
        <f t="shared" si="43"/>
        <v>1560.7035000000001</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25">
      <c r="E186" s="89"/>
      <c r="F186" t="s">
        <v>159</v>
      </c>
      <c r="G186" s="46" t="s">
        <v>787</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230.10668369358331</v>
      </c>
      <c r="S186" s="141">
        <f t="shared" si="44"/>
        <v>362.9098608233557</v>
      </c>
      <c r="T186" s="141">
        <f t="shared" si="44"/>
        <v>893.7925893849</v>
      </c>
      <c r="U186" s="141">
        <f t="shared" si="44"/>
        <v>1467.8571597317755</v>
      </c>
      <c r="V186" s="141">
        <f t="shared" si="44"/>
        <v>2721.9664691358789</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25">
      <c r="E187" s="89"/>
      <c r="F187" t="s">
        <v>160</v>
      </c>
      <c r="G187" s="46" t="s">
        <v>787</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1.2072049858596616</v>
      </c>
      <c r="S187" s="141">
        <f t="shared" si="45"/>
        <v>24.334851908446332</v>
      </c>
      <c r="T187" s="141">
        <f t="shared" si="45"/>
        <v>14.043269340177602</v>
      </c>
      <c r="U187" s="141">
        <f t="shared" si="45"/>
        <v>14.601569049571783</v>
      </c>
      <c r="V187" s="141">
        <f t="shared" si="45"/>
        <v>14.791753741769455</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25">
      <c r="E188" s="89"/>
      <c r="F188" s="90" t="s">
        <v>161</v>
      </c>
      <c r="G188" s="138" t="s">
        <v>787</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1.1532770102273191</v>
      </c>
      <c r="S188" s="169">
        <f t="shared" si="46"/>
        <v>5.6362418826683047</v>
      </c>
      <c r="T188" s="169">
        <f t="shared" si="46"/>
        <v>10.773896878665051</v>
      </c>
      <c r="U188" s="169">
        <f t="shared" si="46"/>
        <v>19.851044879419543</v>
      </c>
      <c r="V188" s="169">
        <f t="shared" si="46"/>
        <v>34.474028890301639</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9.2636386331938656</v>
      </c>
      <c r="AK188" s="169">
        <f t="shared" si="46"/>
        <v>0</v>
      </c>
      <c r="AL188" s="169">
        <f t="shared" si="46"/>
        <v>0</v>
      </c>
      <c r="AM188" s="169">
        <f t="shared" si="46"/>
        <v>0</v>
      </c>
      <c r="AN188" s="169">
        <f t="shared" si="46"/>
        <v>0</v>
      </c>
      <c r="AO188" s="169">
        <f t="shared" si="46"/>
        <v>0</v>
      </c>
    </row>
    <row r="189" spans="3:43" x14ac:dyDescent="0.25">
      <c r="E189" s="89"/>
      <c r="F189" s="151" t="s">
        <v>99</v>
      </c>
      <c r="G189" s="360" t="s">
        <v>787</v>
      </c>
      <c r="H189" s="369"/>
      <c r="I189" s="151"/>
      <c r="J189" s="216">
        <f t="shared" ref="J189" si="47">SUM(J182:J188)</f>
        <v>62.41479937767685</v>
      </c>
      <c r="K189" s="216">
        <f t="shared" ref="K189:AO189" si="48">SUM(K182:K188)</f>
        <v>12.785455665636251</v>
      </c>
      <c r="L189" s="216">
        <f t="shared" si="48"/>
        <v>123.27377182956018</v>
      </c>
      <c r="M189" s="216">
        <f t="shared" si="48"/>
        <v>65.400589332488508</v>
      </c>
      <c r="N189" s="216">
        <f t="shared" si="48"/>
        <v>128.33278021466504</v>
      </c>
      <c r="O189" s="216">
        <f t="shared" si="48"/>
        <v>266.51363198544601</v>
      </c>
      <c r="P189" s="216">
        <f t="shared" si="48"/>
        <v>659.31453409821415</v>
      </c>
      <c r="Q189" s="216">
        <f t="shared" si="48"/>
        <v>47.02348936044114</v>
      </c>
      <c r="R189" s="216">
        <f t="shared" si="48"/>
        <v>293.30102248229656</v>
      </c>
      <c r="S189" s="216">
        <f t="shared" si="48"/>
        <v>1242.0459882671132</v>
      </c>
      <c r="T189" s="216">
        <f t="shared" si="48"/>
        <v>2555.4362545222043</v>
      </c>
      <c r="U189" s="216">
        <f t="shared" si="48"/>
        <v>3956.0198881883098</v>
      </c>
      <c r="V189" s="216">
        <f t="shared" si="48"/>
        <v>7559.0319270579848</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2464.1313645250707</v>
      </c>
      <c r="AH189" s="216">
        <f t="shared" si="48"/>
        <v>-63.805522876841266</v>
      </c>
      <c r="AI189" s="216">
        <f t="shared" si="48"/>
        <v>0</v>
      </c>
      <c r="AJ189" s="216">
        <f t="shared" si="48"/>
        <v>-809.39860958995826</v>
      </c>
      <c r="AK189" s="216">
        <f t="shared" si="48"/>
        <v>0</v>
      </c>
      <c r="AL189" s="216">
        <f t="shared" si="48"/>
        <v>0</v>
      </c>
      <c r="AM189" s="216">
        <f t="shared" si="48"/>
        <v>0</v>
      </c>
      <c r="AN189" s="216">
        <f t="shared" si="48"/>
        <v>0</v>
      </c>
      <c r="AO189" s="216">
        <f t="shared" si="48"/>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788</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789</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155</v>
      </c>
      <c r="G193" s="138" t="s">
        <v>787</v>
      </c>
      <c r="H193" s="368"/>
      <c r="I193" s="90"/>
      <c r="J193" s="169">
        <f t="shared" ref="J193:AO193" si="49" xml:space="preserve"> IF( J$25 &lt;&gt; 0, J$22 * thousand * J73 / hundred / J$25,0)</f>
        <v>9.0338616956075573</v>
      </c>
      <c r="K193" s="169">
        <f t="shared" si="49"/>
        <v>1.4454703496946633</v>
      </c>
      <c r="L193" s="169">
        <f t="shared" si="49"/>
        <v>28.753015593279603</v>
      </c>
      <c r="M193" s="169">
        <f t="shared" si="49"/>
        <v>8.7724660625922972</v>
      </c>
      <c r="N193" s="169">
        <f t="shared" si="49"/>
        <v>23.176303966634801</v>
      </c>
      <c r="O193" s="169">
        <f t="shared" si="49"/>
        <v>54.387746508007687</v>
      </c>
      <c r="P193" s="169">
        <f t="shared" si="49"/>
        <v>142.92268845540616</v>
      </c>
      <c r="Q193" s="169">
        <f t="shared" si="49"/>
        <v>8.8019587121324481</v>
      </c>
      <c r="R193" s="169">
        <f t="shared" si="49"/>
        <v>7.3420508949159675</v>
      </c>
      <c r="S193" s="169">
        <f t="shared" si="49"/>
        <v>171.42887172728246</v>
      </c>
      <c r="T193" s="169">
        <f t="shared" si="49"/>
        <v>345.79224451643336</v>
      </c>
      <c r="U193" s="169">
        <f t="shared" si="49"/>
        <v>508.58390963901422</v>
      </c>
      <c r="V193" s="169">
        <f t="shared" si="49"/>
        <v>944.27702735693913</v>
      </c>
      <c r="W193" s="169">
        <f t="shared" si="49"/>
        <v>1.5726839429467088</v>
      </c>
      <c r="X193" s="169">
        <f t="shared" si="49"/>
        <v>1489.1351993851849</v>
      </c>
      <c r="Y193" s="169">
        <f t="shared" si="49"/>
        <v>749.51849591809014</v>
      </c>
      <c r="Z193" s="169">
        <f t="shared" si="49"/>
        <v>979.12530949118138</v>
      </c>
      <c r="AA193" s="169">
        <f t="shared" si="49"/>
        <v>1618.8162062927636</v>
      </c>
      <c r="AB193" s="169">
        <f t="shared" si="49"/>
        <v>121.89308659817412</v>
      </c>
      <c r="AC193" s="169">
        <f t="shared" si="49"/>
        <v>896.11906604327953</v>
      </c>
      <c r="AD193" s="169">
        <f t="shared" si="49"/>
        <v>2634.2754309973807</v>
      </c>
      <c r="AE193" s="169">
        <f t="shared" si="49"/>
        <v>5730.2628736694132</v>
      </c>
      <c r="AF193" s="169">
        <f t="shared" si="49"/>
        <v>13154.799899087171</v>
      </c>
      <c r="AG193" s="169">
        <f t="shared" si="49"/>
        <v>771.50566885222372</v>
      </c>
      <c r="AH193" s="169">
        <f t="shared" si="49"/>
        <v>-23.238880213202325</v>
      </c>
      <c r="AI193" s="169">
        <f t="shared" si="49"/>
        <v>0</v>
      </c>
      <c r="AJ193" s="169">
        <f t="shared" si="49"/>
        <v>-322.28606523012553</v>
      </c>
      <c r="AK193" s="169">
        <f t="shared" si="49"/>
        <v>0</v>
      </c>
      <c r="AL193" s="169">
        <f t="shared" si="49"/>
        <v>-910.6004223333332</v>
      </c>
      <c r="AM193" s="169">
        <f t="shared" si="49"/>
        <v>0</v>
      </c>
      <c r="AN193" s="169">
        <f t="shared" si="49"/>
        <v>-8913.4529646713272</v>
      </c>
      <c r="AO193" s="169">
        <f t="shared" si="49"/>
        <v>0</v>
      </c>
    </row>
    <row r="194" spans="3:43" x14ac:dyDescent="0.25">
      <c r="C194" s="100"/>
      <c r="F194" t="s">
        <v>156</v>
      </c>
      <c r="G194" s="46" t="s">
        <v>787</v>
      </c>
      <c r="H194" s="146"/>
      <c r="J194" s="141">
        <f t="shared" ref="J194:AO194" si="50" xml:space="preserve"> IF( J$25 &lt;&gt; 0, J$23 * thousand * J74 / hundred / J$25, 0)</f>
        <v>7.169127257146064</v>
      </c>
      <c r="K194" s="141">
        <f t="shared" si="50"/>
        <v>5.3436935687571205</v>
      </c>
      <c r="L194" s="141">
        <f t="shared" si="50"/>
        <v>33.429129770446998</v>
      </c>
      <c r="M194" s="141">
        <f t="shared" si="50"/>
        <v>10.402824100592724</v>
      </c>
      <c r="N194" s="141">
        <f t="shared" si="50"/>
        <v>27.516451872574418</v>
      </c>
      <c r="O194" s="141">
        <f t="shared" si="50"/>
        <v>64.624506916988892</v>
      </c>
      <c r="P194" s="141">
        <f t="shared" si="50"/>
        <v>168.15907140774462</v>
      </c>
      <c r="Q194" s="141">
        <f t="shared" si="50"/>
        <v>16.585169654118339</v>
      </c>
      <c r="R194" s="141">
        <f t="shared" si="50"/>
        <v>8.0675951626224425</v>
      </c>
      <c r="S194" s="141">
        <f t="shared" si="50"/>
        <v>196.8590139593941</v>
      </c>
      <c r="T194" s="141">
        <f t="shared" si="50"/>
        <v>382.1904262921679</v>
      </c>
      <c r="U194" s="141">
        <f t="shared" si="50"/>
        <v>586.65429845883216</v>
      </c>
      <c r="V194" s="141">
        <f t="shared" si="50"/>
        <v>1124.8026927457838</v>
      </c>
      <c r="W194" s="141">
        <f t="shared" si="50"/>
        <v>2.3877736462514023</v>
      </c>
      <c r="X194" s="141">
        <f t="shared" si="50"/>
        <v>1542.1634145716921</v>
      </c>
      <c r="Y194" s="141">
        <f t="shared" si="50"/>
        <v>746.82904013463815</v>
      </c>
      <c r="Z194" s="141">
        <f t="shared" si="50"/>
        <v>1002.1454267439332</v>
      </c>
      <c r="AA194" s="141">
        <f t="shared" si="50"/>
        <v>1735.7658633080646</v>
      </c>
      <c r="AB194" s="141">
        <f t="shared" si="50"/>
        <v>113.68194898355277</v>
      </c>
      <c r="AC194" s="141">
        <f t="shared" si="50"/>
        <v>920.06715433227373</v>
      </c>
      <c r="AD194" s="141">
        <f t="shared" si="50"/>
        <v>2558.0760365876004</v>
      </c>
      <c r="AE194" s="141">
        <f t="shared" si="50"/>
        <v>5312.4945125185141</v>
      </c>
      <c r="AF194" s="141">
        <f t="shared" si="50"/>
        <v>12057.920292648307</v>
      </c>
      <c r="AG194" s="141">
        <f t="shared" si="50"/>
        <v>423.8242087855042</v>
      </c>
      <c r="AH194" s="141">
        <f t="shared" si="50"/>
        <v>-37.419085943555437</v>
      </c>
      <c r="AI194" s="141">
        <f t="shared" si="50"/>
        <v>0</v>
      </c>
      <c r="AJ194" s="141">
        <f t="shared" si="50"/>
        <v>-427.53030758159008</v>
      </c>
      <c r="AK194" s="141">
        <f t="shared" si="50"/>
        <v>0</v>
      </c>
      <c r="AL194" s="141">
        <f t="shared" si="50"/>
        <v>-939.51024619444433</v>
      </c>
      <c r="AM194" s="141">
        <f t="shared" si="50"/>
        <v>0</v>
      </c>
      <c r="AN194" s="141">
        <f t="shared" si="50"/>
        <v>-7167.8359019999998</v>
      </c>
      <c r="AO194" s="141">
        <f t="shared" si="50"/>
        <v>0</v>
      </c>
    </row>
    <row r="195" spans="3:43" x14ac:dyDescent="0.25">
      <c r="C195" s="100"/>
      <c r="F195" t="s">
        <v>157</v>
      </c>
      <c r="G195" s="46" t="s">
        <v>787</v>
      </c>
      <c r="H195" s="146"/>
      <c r="J195" s="141">
        <f t="shared" ref="J195:AO195" si="51" xml:space="preserve"> IF( J$25 &lt;&gt; 0, J$24 * thousand * J75 / hundred / J$25, 0)</f>
        <v>1.5637891966665278</v>
      </c>
      <c r="K195" s="141">
        <f t="shared" si="51"/>
        <v>2.0847356685346399</v>
      </c>
      <c r="L195" s="141">
        <f t="shared" si="51"/>
        <v>4.9308368297123124</v>
      </c>
      <c r="M195" s="141">
        <f t="shared" si="51"/>
        <v>1.6409137184510567</v>
      </c>
      <c r="N195" s="141">
        <f t="shared" si="51"/>
        <v>4.3651483722929898</v>
      </c>
      <c r="O195" s="141">
        <f t="shared" si="51"/>
        <v>10.577161790450358</v>
      </c>
      <c r="P195" s="141">
        <f t="shared" si="51"/>
        <v>29.180557285387401</v>
      </c>
      <c r="Q195" s="141">
        <f t="shared" si="51"/>
        <v>7.3037131877373547</v>
      </c>
      <c r="R195" s="141">
        <f t="shared" si="51"/>
        <v>2.038814167723626</v>
      </c>
      <c r="S195" s="141">
        <f t="shared" si="51"/>
        <v>30.969664353778029</v>
      </c>
      <c r="T195" s="141">
        <f t="shared" si="51"/>
        <v>61.229414889904717</v>
      </c>
      <c r="U195" s="141">
        <f t="shared" si="51"/>
        <v>93.040503927695212</v>
      </c>
      <c r="V195" s="141">
        <f t="shared" si="51"/>
        <v>173.60880482008048</v>
      </c>
      <c r="W195" s="141">
        <f t="shared" si="51"/>
        <v>0.36351854598461819</v>
      </c>
      <c r="X195" s="141">
        <f t="shared" si="51"/>
        <v>252.34171048554077</v>
      </c>
      <c r="Y195" s="141">
        <f t="shared" si="51"/>
        <v>118.00465884874514</v>
      </c>
      <c r="Z195" s="141">
        <f t="shared" si="51"/>
        <v>158.36981083819256</v>
      </c>
      <c r="AA195" s="141">
        <f t="shared" si="51"/>
        <v>279.85287476415238</v>
      </c>
      <c r="AB195" s="141">
        <f t="shared" si="51"/>
        <v>27.408045597591659</v>
      </c>
      <c r="AC195" s="141">
        <f t="shared" si="51"/>
        <v>136.60932880902371</v>
      </c>
      <c r="AD195" s="141">
        <f t="shared" si="51"/>
        <v>400.66031530808544</v>
      </c>
      <c r="AE195" s="141">
        <f t="shared" si="51"/>
        <v>898.75926532411643</v>
      </c>
      <c r="AF195" s="141">
        <f t="shared" si="51"/>
        <v>2239.9180878447314</v>
      </c>
      <c r="AG195" s="141">
        <f t="shared" si="51"/>
        <v>516.94445028360883</v>
      </c>
      <c r="AH195" s="141">
        <f t="shared" si="51"/>
        <v>-3.147556720083498</v>
      </c>
      <c r="AI195" s="141">
        <f t="shared" si="51"/>
        <v>0</v>
      </c>
      <c r="AJ195" s="141">
        <f t="shared" si="51"/>
        <v>-68.845875411436523</v>
      </c>
      <c r="AK195" s="141">
        <f t="shared" si="51"/>
        <v>0</v>
      </c>
      <c r="AL195" s="141">
        <f t="shared" si="51"/>
        <v>-230.38463088888889</v>
      </c>
      <c r="AM195" s="141">
        <f t="shared" si="51"/>
        <v>0</v>
      </c>
      <c r="AN195" s="141">
        <f t="shared" si="51"/>
        <v>-1187.8408379615385</v>
      </c>
      <c r="AO195" s="141">
        <f t="shared" si="51"/>
        <v>0</v>
      </c>
    </row>
    <row r="196" spans="3:43" x14ac:dyDescent="0.25">
      <c r="C196" s="100"/>
      <c r="F196" s="90" t="s">
        <v>158</v>
      </c>
      <c r="G196" s="138" t="s">
        <v>787</v>
      </c>
      <c r="H196" s="368"/>
      <c r="I196" s="90"/>
      <c r="J196" s="169">
        <f t="shared" ref="J196:AO196" si="52" xml:space="preserve"> IF( J$25 &lt;&gt; 0, J$25 * J76 * days_in_year / hundred / J$25, 0)</f>
        <v>25.586499999999997</v>
      </c>
      <c r="K196" s="169">
        <f t="shared" si="52"/>
        <v>0</v>
      </c>
      <c r="L196" s="169">
        <f t="shared" si="52"/>
        <v>18.505500000000001</v>
      </c>
      <c r="M196" s="169">
        <f t="shared" si="52"/>
        <v>24.637499999999999</v>
      </c>
      <c r="N196" s="169">
        <f t="shared" si="52"/>
        <v>34.091000000000001</v>
      </c>
      <c r="O196" s="169">
        <f t="shared" si="52"/>
        <v>55.589500000000001</v>
      </c>
      <c r="P196" s="169">
        <f t="shared" si="52"/>
        <v>117.82199999999999</v>
      </c>
      <c r="Q196" s="169">
        <f t="shared" si="52"/>
        <v>0</v>
      </c>
      <c r="R196" s="169">
        <f t="shared" si="52"/>
        <v>24.819999999999997</v>
      </c>
      <c r="S196" s="169">
        <f t="shared" si="52"/>
        <v>190.82200000000003</v>
      </c>
      <c r="T196" s="169">
        <f t="shared" si="52"/>
        <v>348.21000000000009</v>
      </c>
      <c r="U196" s="169">
        <f t="shared" si="52"/>
        <v>516.76700000000005</v>
      </c>
      <c r="V196" s="169">
        <f t="shared" si="52"/>
        <v>1084.2325000000001</v>
      </c>
      <c r="W196" s="169">
        <f t="shared" si="52"/>
        <v>41.975000000000001</v>
      </c>
      <c r="X196" s="169">
        <f t="shared" si="52"/>
        <v>322.76950000000005</v>
      </c>
      <c r="Y196" s="169">
        <f t="shared" si="52"/>
        <v>589.00049999999999</v>
      </c>
      <c r="Z196" s="169">
        <f t="shared" si="52"/>
        <v>874.13850000000014</v>
      </c>
      <c r="AA196" s="169">
        <f t="shared" si="52"/>
        <v>1834.0885000000003</v>
      </c>
      <c r="AB196" s="169">
        <f t="shared" si="52"/>
        <v>1376.8530000000001</v>
      </c>
      <c r="AC196" s="169">
        <f t="shared" si="52"/>
        <v>3490.0569999999993</v>
      </c>
      <c r="AD196" s="169">
        <f t="shared" si="52"/>
        <v>7404.7185000000009</v>
      </c>
      <c r="AE196" s="169">
        <f t="shared" si="52"/>
        <v>14440.750499999998</v>
      </c>
      <c r="AF196" s="169">
        <f t="shared" si="52"/>
        <v>32433.973000000005</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25">
      <c r="C197" s="100"/>
      <c r="F197" t="s">
        <v>159</v>
      </c>
      <c r="G197" s="46" t="s">
        <v>787</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159.38582219142697</v>
      </c>
      <c r="S197" s="141">
        <f t="shared" si="53"/>
        <v>251.37334396480145</v>
      </c>
      <c r="T197" s="141">
        <f t="shared" si="53"/>
        <v>619.09486695926535</v>
      </c>
      <c r="U197" s="141">
        <f t="shared" si="53"/>
        <v>1016.7267482545785</v>
      </c>
      <c r="V197" s="141">
        <f t="shared" si="53"/>
        <v>1885.3987928418244</v>
      </c>
      <c r="W197" s="141">
        <f t="shared" si="53"/>
        <v>197.78105796162896</v>
      </c>
      <c r="X197" s="141">
        <f t="shared" si="53"/>
        <v>363.25787645619192</v>
      </c>
      <c r="Y197" s="141">
        <f t="shared" si="53"/>
        <v>864.742736754455</v>
      </c>
      <c r="Z197" s="141">
        <f t="shared" si="53"/>
        <v>1235.1173504244807</v>
      </c>
      <c r="AA197" s="141">
        <f t="shared" si="53"/>
        <v>3346.452974771325</v>
      </c>
      <c r="AB197" s="141">
        <f t="shared" si="53"/>
        <v>1547.2538982945339</v>
      </c>
      <c r="AC197" s="141">
        <f t="shared" si="53"/>
        <v>2660.9118879199823</v>
      </c>
      <c r="AD197" s="141">
        <f t="shared" si="53"/>
        <v>7439.777580805986</v>
      </c>
      <c r="AE197" s="141">
        <f t="shared" si="53"/>
        <v>14572.521022353865</v>
      </c>
      <c r="AF197" s="141">
        <f t="shared" si="53"/>
        <v>35706.50345210755</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25">
      <c r="C198" s="100"/>
      <c r="F198" t="s">
        <v>160</v>
      </c>
      <c r="G198" s="46" t="s">
        <v>787</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0.83618327002205917</v>
      </c>
      <c r="S198" s="141">
        <f t="shared" si="54"/>
        <v>16.855791918235759</v>
      </c>
      <c r="T198" s="141">
        <f t="shared" si="54"/>
        <v>9.7272186714074191</v>
      </c>
      <c r="U198" s="141">
        <f t="shared" si="54"/>
        <v>10.113930855437335</v>
      </c>
      <c r="V198" s="141">
        <f t="shared" si="54"/>
        <v>10.245664289023797</v>
      </c>
      <c r="W198" s="141">
        <f t="shared" si="54"/>
        <v>0</v>
      </c>
      <c r="X198" s="141">
        <f t="shared" si="54"/>
        <v>70.301683451895187</v>
      </c>
      <c r="Y198" s="141">
        <f t="shared" si="54"/>
        <v>44.646138727813167</v>
      </c>
      <c r="Z198" s="141">
        <f t="shared" si="54"/>
        <v>22.087635572044302</v>
      </c>
      <c r="AA198" s="141">
        <f t="shared" si="54"/>
        <v>13.06761896211567</v>
      </c>
      <c r="AB198" s="141">
        <f t="shared" si="54"/>
        <v>152.98136200902096</v>
      </c>
      <c r="AC198" s="141">
        <f t="shared" si="54"/>
        <v>144.20556452940031</v>
      </c>
      <c r="AD198" s="141">
        <f t="shared" si="54"/>
        <v>106.12191225173697</v>
      </c>
      <c r="AE198" s="141">
        <f t="shared" si="54"/>
        <v>106.52642434751932</v>
      </c>
      <c r="AF198" s="141">
        <f t="shared" si="54"/>
        <v>191.75277419574115</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25">
      <c r="C199" s="100"/>
      <c r="F199" s="90" t="s">
        <v>161</v>
      </c>
      <c r="G199" s="138" t="s">
        <v>787</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0.80291437420889311</v>
      </c>
      <c r="S199" s="169">
        <f t="shared" si="55"/>
        <v>3.9239658676804652</v>
      </c>
      <c r="T199" s="169">
        <f t="shared" si="55"/>
        <v>7.5008142826149093</v>
      </c>
      <c r="U199" s="169">
        <f t="shared" si="55"/>
        <v>13.820347700861705</v>
      </c>
      <c r="V199" s="169">
        <f t="shared" si="55"/>
        <v>24.000906189450511</v>
      </c>
      <c r="W199" s="169">
        <f t="shared" si="55"/>
        <v>3.3505375572495139E-2</v>
      </c>
      <c r="X199" s="169">
        <f t="shared" si="55"/>
        <v>28.18108420509218</v>
      </c>
      <c r="Y199" s="169">
        <f t="shared" si="55"/>
        <v>15.37813773085632</v>
      </c>
      <c r="Z199" s="169">
        <f t="shared" si="55"/>
        <v>18.782736150226906</v>
      </c>
      <c r="AA199" s="169">
        <f t="shared" si="55"/>
        <v>29.942581369298804</v>
      </c>
      <c r="AB199" s="169">
        <f t="shared" si="55"/>
        <v>21.741749141632749</v>
      </c>
      <c r="AC199" s="169">
        <f t="shared" si="55"/>
        <v>27.300692600597618</v>
      </c>
      <c r="AD199" s="169">
        <f t="shared" si="55"/>
        <v>50.50059414551923</v>
      </c>
      <c r="AE199" s="169">
        <f t="shared" si="55"/>
        <v>98.07688632335875</v>
      </c>
      <c r="AF199" s="169">
        <f t="shared" si="55"/>
        <v>248.25574251020683</v>
      </c>
      <c r="AG199" s="169">
        <f t="shared" si="55"/>
        <v>0</v>
      </c>
      <c r="AH199" s="169">
        <f t="shared" si="55"/>
        <v>0</v>
      </c>
      <c r="AI199" s="169">
        <f t="shared" si="55"/>
        <v>0</v>
      </c>
      <c r="AJ199" s="169">
        <f t="shared" si="55"/>
        <v>9.2636386331938656</v>
      </c>
      <c r="AK199" s="169">
        <f t="shared" si="55"/>
        <v>0</v>
      </c>
      <c r="AL199" s="169">
        <f t="shared" si="55"/>
        <v>12.088678888888889</v>
      </c>
      <c r="AM199" s="169">
        <f t="shared" si="55"/>
        <v>0</v>
      </c>
      <c r="AN199" s="169">
        <f t="shared" si="55"/>
        <v>94.341731818181827</v>
      </c>
      <c r="AO199" s="169">
        <f t="shared" si="55"/>
        <v>0</v>
      </c>
    </row>
    <row r="200" spans="3:43" x14ac:dyDescent="0.25">
      <c r="C200" s="100"/>
      <c r="F200" s="151" t="s">
        <v>99</v>
      </c>
      <c r="G200" s="360" t="s">
        <v>787</v>
      </c>
      <c r="H200" s="369"/>
      <c r="I200" s="151"/>
      <c r="J200" s="216">
        <f t="shared" ref="J200" si="56">SUM(J193:J199)</f>
        <v>43.353278149420149</v>
      </c>
      <c r="K200" s="216">
        <f t="shared" ref="K200:AO200" si="57">SUM(K193:K199)</f>
        <v>8.8738995869864237</v>
      </c>
      <c r="L200" s="216">
        <f t="shared" si="57"/>
        <v>85.618482193438908</v>
      </c>
      <c r="M200" s="216">
        <f t="shared" si="57"/>
        <v>45.453703881636073</v>
      </c>
      <c r="N200" s="216">
        <f t="shared" si="57"/>
        <v>89.148904211502213</v>
      </c>
      <c r="O200" s="216">
        <f t="shared" si="57"/>
        <v>185.17891521544692</v>
      </c>
      <c r="P200" s="216">
        <f t="shared" si="57"/>
        <v>458.08431714853816</v>
      </c>
      <c r="Q200" s="216">
        <f t="shared" si="57"/>
        <v>32.690841553988136</v>
      </c>
      <c r="R200" s="216">
        <f t="shared" si="57"/>
        <v>203.29338006091993</v>
      </c>
      <c r="S200" s="216">
        <f t="shared" si="57"/>
        <v>862.2326517911722</v>
      </c>
      <c r="T200" s="216">
        <f t="shared" si="57"/>
        <v>1773.7449856117937</v>
      </c>
      <c r="U200" s="216">
        <f t="shared" si="57"/>
        <v>2745.7067388364194</v>
      </c>
      <c r="V200" s="216">
        <f t="shared" si="57"/>
        <v>5246.5663882431027</v>
      </c>
      <c r="W200" s="216">
        <f t="shared" si="57"/>
        <v>244.11353947238419</v>
      </c>
      <c r="X200" s="216">
        <f t="shared" si="57"/>
        <v>4068.1504685555969</v>
      </c>
      <c r="Y200" s="216">
        <f t="shared" si="57"/>
        <v>3128.1197081145979</v>
      </c>
      <c r="Z200" s="216">
        <f t="shared" si="57"/>
        <v>4289.7667692200594</v>
      </c>
      <c r="AA200" s="216">
        <f t="shared" si="57"/>
        <v>8857.9866194677215</v>
      </c>
      <c r="AB200" s="216">
        <f t="shared" si="57"/>
        <v>3361.813090624506</v>
      </c>
      <c r="AC200" s="216">
        <f t="shared" si="57"/>
        <v>8275.2706942345558</v>
      </c>
      <c r="AD200" s="216">
        <f t="shared" si="57"/>
        <v>20594.130370096307</v>
      </c>
      <c r="AE200" s="216">
        <f t="shared" si="57"/>
        <v>41159.391484536791</v>
      </c>
      <c r="AF200" s="216">
        <f t="shared" si="57"/>
        <v>96033.12324839372</v>
      </c>
      <c r="AG200" s="216">
        <f t="shared" si="57"/>
        <v>1712.2743279213366</v>
      </c>
      <c r="AH200" s="216">
        <f t="shared" si="57"/>
        <v>-63.805522876841266</v>
      </c>
      <c r="AI200" s="216">
        <f t="shared" si="57"/>
        <v>0</v>
      </c>
      <c r="AJ200" s="216">
        <f t="shared" si="57"/>
        <v>-809.39860958995826</v>
      </c>
      <c r="AK200" s="216">
        <f t="shared" si="57"/>
        <v>0</v>
      </c>
      <c r="AL200" s="216">
        <f t="shared" si="57"/>
        <v>-2068.4066205277777</v>
      </c>
      <c r="AM200" s="216">
        <f t="shared" si="57"/>
        <v>0</v>
      </c>
      <c r="AN200" s="216">
        <f t="shared" si="57"/>
        <v>-17174.787972814684</v>
      </c>
      <c r="AO200" s="216">
        <f t="shared" si="57"/>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790</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791</v>
      </c>
      <c r="G206" s="89" t="s">
        <v>166</v>
      </c>
      <c r="J206" s="154">
        <f>IF( AND( ISNUMBER(J$140), J$140 &lt;&gt; 0), ( J$140 - J189 ) / J$140, 0)</f>
        <v>0.40606320477337465</v>
      </c>
      <c r="K206" s="154">
        <f>IF( AND( ISNUMBER(K$140), K$140 &lt;&gt; 0), ( K$140 - K189 ) / K$140, 0)</f>
        <v>0.40576021415185182</v>
      </c>
      <c r="L206" s="154">
        <f t="shared" ref="L206:AK206" si="58">IF( AND( ISNUMBER(L$140), L$140 &lt;&gt; 0), ( L$140 - L189 ) / L$140, 0)</f>
        <v>0.40602772828168376</v>
      </c>
      <c r="M206" s="154">
        <f t="shared" si="58"/>
        <v>0.40631712882719112</v>
      </c>
      <c r="N206" s="154">
        <f t="shared" si="58"/>
        <v>0.40614684524516659</v>
      </c>
      <c r="O206" s="154">
        <f t="shared" si="58"/>
        <v>0.40612649117508398</v>
      </c>
      <c r="P206" s="154">
        <f t="shared" si="58"/>
        <v>0.40613294752258028</v>
      </c>
      <c r="Q206" s="154">
        <f t="shared" si="58"/>
        <v>0.4062558012621455</v>
      </c>
      <c r="R206" s="154">
        <f t="shared" si="58"/>
        <v>0.40602766424108594</v>
      </c>
      <c r="S206" s="154">
        <f t="shared" si="58"/>
        <v>0.40618746926132004</v>
      </c>
      <c r="T206" s="154">
        <f t="shared" si="58"/>
        <v>0.40617485348059518</v>
      </c>
      <c r="U206" s="154">
        <f t="shared" si="58"/>
        <v>0.40617009785127062</v>
      </c>
      <c r="V206" s="154">
        <f t="shared" si="58"/>
        <v>0.40617077498360477</v>
      </c>
      <c r="W206" s="154">
        <f t="shared" si="58"/>
        <v>1</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0.40618575331700135</v>
      </c>
      <c r="AH206" s="154">
        <f t="shared" si="58"/>
        <v>0</v>
      </c>
      <c r="AI206" s="370"/>
      <c r="AJ206" s="154">
        <f t="shared" si="58"/>
        <v>0</v>
      </c>
      <c r="AK206" s="154">
        <f t="shared" si="58"/>
        <v>0</v>
      </c>
      <c r="AL206" s="370"/>
      <c r="AM206" s="370"/>
      <c r="AN206" s="370"/>
      <c r="AO206" s="370"/>
    </row>
    <row r="207" spans="3:43" x14ac:dyDescent="0.25">
      <c r="C207" s="100"/>
      <c r="D207" s="2"/>
      <c r="E207" t="s">
        <v>792</v>
      </c>
      <c r="G207" s="89" t="s">
        <v>166</v>
      </c>
      <c r="J207" s="154">
        <f>IF( AND( ISNUMBER(J$140), J$140 &lt;&gt; 0), ( J$140 - J200 ) / J$140, 0)</f>
        <v>0.58745189693192446</v>
      </c>
      <c r="K207" s="154">
        <f>IF( AND( ISNUMBER(K$140), K$140 &lt;&gt; 0), ( K$140 - K200 ) / K$140, 0)</f>
        <v>0.58756071522880926</v>
      </c>
      <c r="L207" s="154">
        <f t="shared" ref="L207:AO207" si="59">IF( AND( ISNUMBER(L$140), L$140 &lt;&gt; 0), ( L$140 - L200 ) / L$140, 0)</f>
        <v>0.58746289973325494</v>
      </c>
      <c r="M207" s="154">
        <f t="shared" si="59"/>
        <v>0.58738773302638736</v>
      </c>
      <c r="N207" s="154">
        <f t="shared" si="59"/>
        <v>0.58746815957403187</v>
      </c>
      <c r="O207" s="154">
        <f t="shared" si="59"/>
        <v>0.58736500148182069</v>
      </c>
      <c r="P207" s="154">
        <f t="shared" si="59"/>
        <v>0.58738785641481162</v>
      </c>
      <c r="Q207" s="154">
        <f t="shared" si="59"/>
        <v>0.5872276220133581</v>
      </c>
      <c r="R207" s="154">
        <f t="shared" si="59"/>
        <v>0.58830472946476797</v>
      </c>
      <c r="S207" s="154">
        <f t="shared" si="59"/>
        <v>0.58777327258229684</v>
      </c>
      <c r="T207" s="154">
        <f t="shared" si="59"/>
        <v>0.58782208943579384</v>
      </c>
      <c r="U207" s="154">
        <f t="shared" si="59"/>
        <v>0.58784768273775534</v>
      </c>
      <c r="V207" s="154">
        <f t="shared" si="59"/>
        <v>0.58783552148058416</v>
      </c>
      <c r="W207" s="154">
        <f t="shared" si="59"/>
        <v>0.30097470926370973</v>
      </c>
      <c r="X207" s="154">
        <f t="shared" si="59"/>
        <v>0.30172761004765325</v>
      </c>
      <c r="Y207" s="154">
        <f t="shared" si="59"/>
        <v>0.30155660064327433</v>
      </c>
      <c r="Z207" s="154">
        <f t="shared" si="59"/>
        <v>0.30155792479500848</v>
      </c>
      <c r="AA207" s="154">
        <f t="shared" si="59"/>
        <v>0.30145253597406191</v>
      </c>
      <c r="AB207" s="154">
        <f t="shared" si="59"/>
        <v>0.12549282141558915</v>
      </c>
      <c r="AC207" s="154">
        <f t="shared" si="59"/>
        <v>0.12561791139381287</v>
      </c>
      <c r="AD207" s="154">
        <f t="shared" si="59"/>
        <v>0.12556860040379653</v>
      </c>
      <c r="AE207" s="154">
        <f t="shared" si="59"/>
        <v>0.12556221294637715</v>
      </c>
      <c r="AF207" s="154">
        <f t="shared" si="59"/>
        <v>0.12553385307025533</v>
      </c>
      <c r="AG207" s="154">
        <f t="shared" si="59"/>
        <v>0.58737066343651856</v>
      </c>
      <c r="AH207" s="154">
        <f t="shared" si="59"/>
        <v>0</v>
      </c>
      <c r="AI207" s="154">
        <f t="shared" si="59"/>
        <v>0</v>
      </c>
      <c r="AJ207" s="154">
        <f t="shared" si="59"/>
        <v>0</v>
      </c>
      <c r="AK207" s="154">
        <f t="shared" si="59"/>
        <v>0</v>
      </c>
      <c r="AL207" s="154">
        <f t="shared" si="59"/>
        <v>-2.1985394282408079E-16</v>
      </c>
      <c r="AM207" s="154">
        <f t="shared" si="59"/>
        <v>0</v>
      </c>
      <c r="AN207" s="154">
        <f t="shared" si="59"/>
        <v>-2.0811406825099334E-2</v>
      </c>
      <c r="AO207" s="154">
        <f t="shared" si="59"/>
        <v>0</v>
      </c>
    </row>
    <row r="208" spans="3:43" x14ac:dyDescent="0.25">
      <c r="C208" s="100"/>
      <c r="D208" s="2"/>
      <c r="E208" s="2"/>
      <c r="F208" s="146"/>
      <c r="G208" s="146"/>
    </row>
    <row r="209" spans="2:43" x14ac:dyDescent="0.25">
      <c r="B209" s="70" t="s">
        <v>230</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231</v>
      </c>
      <c r="G211" s="6" t="s">
        <v>54</v>
      </c>
      <c r="H211" s="108">
        <f t="array" ref="H211">SUM(IF(ISERROR($H$13:$AP$207), 1))</f>
        <v>0</v>
      </c>
      <c r="I211" s="3"/>
    </row>
    <row r="212" spans="2:43" x14ac:dyDescent="0.25">
      <c r="F212" s="3"/>
      <c r="G212" s="3"/>
      <c r="H212" s="3"/>
      <c r="I212" s="3"/>
    </row>
    <row r="213" spans="2:43" x14ac:dyDescent="0.25">
      <c r="B213" s="70" t="s">
        <v>105</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Header>&amp;L&amp;"Calibri"&amp;10&amp;KFF0000 Public&amp;1#_x000D_</oddHeader>
    <oddFooter>&amp;L_x000D_&amp;1#&amp;"Calibri"&amp;10&amp;KFF0000 Public</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(Yorkshire) - v0.1</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141</v>
      </c>
      <c r="C5" s="85"/>
      <c r="D5" s="85"/>
      <c r="E5" s="85"/>
      <c r="F5" s="85"/>
      <c r="G5" s="86"/>
      <c r="H5" s="86" t="s">
        <v>793</v>
      </c>
      <c r="J5" s="87" t="s">
        <v>794</v>
      </c>
      <c r="K5" s="87" t="s">
        <v>795</v>
      </c>
      <c r="L5" s="87" t="s">
        <v>796</v>
      </c>
      <c r="M5" s="87" t="s">
        <v>797</v>
      </c>
      <c r="N5" s="87" t="s">
        <v>798</v>
      </c>
      <c r="O5" s="87" t="s">
        <v>799</v>
      </c>
      <c r="P5" s="87" t="s">
        <v>800</v>
      </c>
      <c r="R5" s="86" t="s">
        <v>144</v>
      </c>
    </row>
    <row r="7" spans="1:44"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801</v>
      </c>
    </row>
    <row r="11" spans="1:44" x14ac:dyDescent="0.25">
      <c r="B11" s="70" t="s">
        <v>95</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802</v>
      </c>
    </row>
    <row r="16" spans="1:44" x14ac:dyDescent="0.25">
      <c r="F16" s="90" t="s">
        <v>1160</v>
      </c>
      <c r="G16" s="90"/>
      <c r="H16" s="90" t="s">
        <v>770</v>
      </c>
      <c r="I16" s="90"/>
      <c r="J16" s="371">
        <f t="array" ref="J16:P47">TRANSPOSE(Rounding!J150:AO156)</f>
        <v>5.2939999999999996</v>
      </c>
      <c r="K16" s="371">
        <v>1.7410000000000001</v>
      </c>
      <c r="L16" s="371">
        <v>0.25700000000000001</v>
      </c>
      <c r="M16" s="372">
        <v>16.989999999999998</v>
      </c>
      <c r="N16" s="373">
        <v>0</v>
      </c>
      <c r="O16" s="373">
        <v>0</v>
      </c>
      <c r="P16" s="371">
        <v>0</v>
      </c>
    </row>
    <row r="17" spans="6:16" x14ac:dyDescent="0.25">
      <c r="F17" t="s">
        <v>825</v>
      </c>
      <c r="H17" t="s">
        <v>770</v>
      </c>
      <c r="J17" s="374">
        <v>5.2939999999999996</v>
      </c>
      <c r="K17" s="374">
        <v>1.7410000000000001</v>
      </c>
      <c r="L17" s="374">
        <v>0.25700000000000001</v>
      </c>
      <c r="M17" s="375">
        <v>0</v>
      </c>
      <c r="N17" s="376">
        <v>0</v>
      </c>
      <c r="O17" s="376">
        <v>0</v>
      </c>
      <c r="P17" s="374">
        <v>0</v>
      </c>
    </row>
    <row r="18" spans="6:16" x14ac:dyDescent="0.25">
      <c r="F18" t="s">
        <v>1161</v>
      </c>
      <c r="H18" t="s">
        <v>770</v>
      </c>
      <c r="J18" s="374">
        <v>6.4189999999999996</v>
      </c>
      <c r="K18" s="374">
        <v>2.1110000000000002</v>
      </c>
      <c r="L18" s="374">
        <v>0.312</v>
      </c>
      <c r="M18" s="375">
        <v>12.3</v>
      </c>
      <c r="N18" s="376">
        <v>0</v>
      </c>
      <c r="O18" s="376">
        <v>0</v>
      </c>
      <c r="P18" s="374">
        <v>0</v>
      </c>
    </row>
    <row r="19" spans="6:16" x14ac:dyDescent="0.25">
      <c r="F19" t="s">
        <v>1162</v>
      </c>
      <c r="H19" t="s">
        <v>770</v>
      </c>
      <c r="J19" s="374">
        <v>6.4189999999999996</v>
      </c>
      <c r="K19" s="374">
        <v>2.1110000000000002</v>
      </c>
      <c r="L19" s="374">
        <v>0.312</v>
      </c>
      <c r="M19" s="375">
        <v>16.36</v>
      </c>
      <c r="N19" s="376">
        <v>0</v>
      </c>
      <c r="O19" s="376">
        <v>0</v>
      </c>
      <c r="P19" s="374">
        <v>0</v>
      </c>
    </row>
    <row r="20" spans="6:16" x14ac:dyDescent="0.25">
      <c r="F20" t="s">
        <v>1163</v>
      </c>
      <c r="H20" t="s">
        <v>770</v>
      </c>
      <c r="J20" s="374">
        <v>6.4189999999999996</v>
      </c>
      <c r="K20" s="374">
        <v>2.1110000000000002</v>
      </c>
      <c r="L20" s="374">
        <v>0.312</v>
      </c>
      <c r="M20" s="375">
        <v>22.65</v>
      </c>
      <c r="N20" s="376">
        <v>0</v>
      </c>
      <c r="O20" s="376">
        <v>0</v>
      </c>
      <c r="P20" s="374">
        <v>0</v>
      </c>
    </row>
    <row r="21" spans="6:16" x14ac:dyDescent="0.25">
      <c r="F21" t="s">
        <v>1164</v>
      </c>
      <c r="H21" t="s">
        <v>770</v>
      </c>
      <c r="J21" s="374">
        <v>6.4189999999999996</v>
      </c>
      <c r="K21" s="374">
        <v>2.1110000000000002</v>
      </c>
      <c r="L21" s="374">
        <v>0.312</v>
      </c>
      <c r="M21" s="375">
        <v>36.909999999999997</v>
      </c>
      <c r="N21" s="376">
        <v>0</v>
      </c>
      <c r="O21" s="376">
        <v>0</v>
      </c>
      <c r="P21" s="374">
        <v>0</v>
      </c>
    </row>
    <row r="22" spans="6:16" x14ac:dyDescent="0.25">
      <c r="F22" t="s">
        <v>1165</v>
      </c>
      <c r="H22" t="s">
        <v>770</v>
      </c>
      <c r="J22" s="374">
        <v>6.4189999999999996</v>
      </c>
      <c r="K22" s="374">
        <v>2.1110000000000002</v>
      </c>
      <c r="L22" s="374">
        <v>0.312</v>
      </c>
      <c r="M22" s="375">
        <v>78.25</v>
      </c>
      <c r="N22" s="376">
        <v>0</v>
      </c>
      <c r="O22" s="376">
        <v>0</v>
      </c>
      <c r="P22" s="374">
        <v>0</v>
      </c>
    </row>
    <row r="23" spans="6:16" x14ac:dyDescent="0.25">
      <c r="F23" t="s">
        <v>826</v>
      </c>
      <c r="H23" t="s">
        <v>770</v>
      </c>
      <c r="J23" s="374">
        <v>6.4189999999999996</v>
      </c>
      <c r="K23" s="374">
        <v>2.1110000000000002</v>
      </c>
      <c r="L23" s="374">
        <v>0.312</v>
      </c>
      <c r="M23" s="375">
        <v>0</v>
      </c>
      <c r="N23" s="376">
        <v>0</v>
      </c>
      <c r="O23" s="376">
        <v>0</v>
      </c>
      <c r="P23" s="374">
        <v>0</v>
      </c>
    </row>
    <row r="24" spans="6:16" x14ac:dyDescent="0.25">
      <c r="F24" t="s">
        <v>904</v>
      </c>
      <c r="H24" t="s">
        <v>770</v>
      </c>
      <c r="J24" s="374">
        <v>4.5</v>
      </c>
      <c r="K24" s="374">
        <v>1.4430000000000001</v>
      </c>
      <c r="L24" s="374">
        <v>0.20799999999999999</v>
      </c>
      <c r="M24" s="375">
        <v>16.48</v>
      </c>
      <c r="N24" s="376">
        <v>3.67</v>
      </c>
      <c r="O24" s="376">
        <v>3.67</v>
      </c>
      <c r="P24" s="374">
        <v>0.13300000000000001</v>
      </c>
    </row>
    <row r="25" spans="6:16" x14ac:dyDescent="0.25">
      <c r="F25" t="s">
        <v>905</v>
      </c>
      <c r="H25" t="s">
        <v>770</v>
      </c>
      <c r="J25" s="374">
        <v>4.5</v>
      </c>
      <c r="K25" s="374">
        <v>1.4430000000000001</v>
      </c>
      <c r="L25" s="374">
        <v>0.20799999999999999</v>
      </c>
      <c r="M25" s="375">
        <v>126.71</v>
      </c>
      <c r="N25" s="376">
        <v>3.67</v>
      </c>
      <c r="O25" s="376">
        <v>3.67</v>
      </c>
      <c r="P25" s="374">
        <v>0.13300000000000001</v>
      </c>
    </row>
    <row r="26" spans="6:16" x14ac:dyDescent="0.25">
      <c r="F26" t="s">
        <v>906</v>
      </c>
      <c r="H26" t="s">
        <v>770</v>
      </c>
      <c r="J26" s="374">
        <v>4.5</v>
      </c>
      <c r="K26" s="374">
        <v>1.4430000000000001</v>
      </c>
      <c r="L26" s="374">
        <v>0.20799999999999999</v>
      </c>
      <c r="M26" s="375">
        <v>231.22</v>
      </c>
      <c r="N26" s="376">
        <v>3.67</v>
      </c>
      <c r="O26" s="376">
        <v>3.67</v>
      </c>
      <c r="P26" s="374">
        <v>0.13300000000000001</v>
      </c>
    </row>
    <row r="27" spans="6:16" x14ac:dyDescent="0.25">
      <c r="F27" t="s">
        <v>907</v>
      </c>
      <c r="H27" t="s">
        <v>770</v>
      </c>
      <c r="J27" s="374">
        <v>4.5</v>
      </c>
      <c r="K27" s="374">
        <v>1.4430000000000001</v>
      </c>
      <c r="L27" s="374">
        <v>0.20799999999999999</v>
      </c>
      <c r="M27" s="375">
        <v>343.16</v>
      </c>
      <c r="N27" s="376">
        <v>3.67</v>
      </c>
      <c r="O27" s="376">
        <v>3.67</v>
      </c>
      <c r="P27" s="374">
        <v>0.13300000000000001</v>
      </c>
    </row>
    <row r="28" spans="6:16" x14ac:dyDescent="0.25">
      <c r="F28" t="s">
        <v>908</v>
      </c>
      <c r="H28" t="s">
        <v>770</v>
      </c>
      <c r="J28" s="374">
        <v>4.5</v>
      </c>
      <c r="K28" s="374">
        <v>1.4430000000000001</v>
      </c>
      <c r="L28" s="374">
        <v>0.20799999999999999</v>
      </c>
      <c r="M28" s="375">
        <v>719.99</v>
      </c>
      <c r="N28" s="376">
        <v>3.67</v>
      </c>
      <c r="O28" s="376">
        <v>3.67</v>
      </c>
      <c r="P28" s="374">
        <v>0.13300000000000001</v>
      </c>
    </row>
    <row r="29" spans="6:16" x14ac:dyDescent="0.25">
      <c r="F29" t="s">
        <v>909</v>
      </c>
      <c r="H29" t="s">
        <v>770</v>
      </c>
      <c r="J29" s="374">
        <v>2.83</v>
      </c>
      <c r="K29" s="374">
        <v>0.85399999999999998</v>
      </c>
      <c r="L29" s="374">
        <v>0.114</v>
      </c>
      <c r="M29" s="375">
        <v>16.48</v>
      </c>
      <c r="N29" s="376">
        <v>2.86</v>
      </c>
      <c r="O29" s="376">
        <v>2.86</v>
      </c>
      <c r="P29" s="374">
        <v>7.5999999999999998E-2</v>
      </c>
    </row>
    <row r="30" spans="6:16" x14ac:dyDescent="0.25">
      <c r="F30" t="s">
        <v>910</v>
      </c>
      <c r="H30" t="s">
        <v>770</v>
      </c>
      <c r="J30" s="374">
        <v>2.83</v>
      </c>
      <c r="K30" s="374">
        <v>0.85399999999999998</v>
      </c>
      <c r="L30" s="374">
        <v>0.114</v>
      </c>
      <c r="M30" s="375">
        <v>126.71</v>
      </c>
      <c r="N30" s="376">
        <v>2.86</v>
      </c>
      <c r="O30" s="376">
        <v>2.86</v>
      </c>
      <c r="P30" s="374">
        <v>7.5999999999999998E-2</v>
      </c>
    </row>
    <row r="31" spans="6:16" x14ac:dyDescent="0.25">
      <c r="F31" t="s">
        <v>911</v>
      </c>
      <c r="H31" t="s">
        <v>770</v>
      </c>
      <c r="J31" s="377">
        <v>2.83</v>
      </c>
      <c r="K31" s="377">
        <v>0.85399999999999998</v>
      </c>
      <c r="L31" s="377">
        <v>0.114</v>
      </c>
      <c r="M31" s="378">
        <v>231.22</v>
      </c>
      <c r="N31" s="379">
        <v>2.86</v>
      </c>
      <c r="O31" s="379">
        <v>2.86</v>
      </c>
      <c r="P31" s="377">
        <v>7.5999999999999998E-2</v>
      </c>
    </row>
    <row r="32" spans="6:16" x14ac:dyDescent="0.25">
      <c r="F32" t="s">
        <v>912</v>
      </c>
      <c r="H32" t="s">
        <v>770</v>
      </c>
      <c r="J32" s="377">
        <v>2.83</v>
      </c>
      <c r="K32" s="377">
        <v>0.85399999999999998</v>
      </c>
      <c r="L32" s="377">
        <v>0.114</v>
      </c>
      <c r="M32" s="378">
        <v>343.16</v>
      </c>
      <c r="N32" s="379">
        <v>2.86</v>
      </c>
      <c r="O32" s="379">
        <v>2.86</v>
      </c>
      <c r="P32" s="377">
        <v>7.5999999999999998E-2</v>
      </c>
    </row>
    <row r="33" spans="6:16" x14ac:dyDescent="0.25">
      <c r="F33" t="s">
        <v>913</v>
      </c>
      <c r="H33" t="s">
        <v>770</v>
      </c>
      <c r="J33" s="377">
        <v>2.83</v>
      </c>
      <c r="K33" s="377">
        <v>0.85399999999999998</v>
      </c>
      <c r="L33" s="377">
        <v>0.114</v>
      </c>
      <c r="M33" s="378">
        <v>719.99</v>
      </c>
      <c r="N33" s="379">
        <v>2.86</v>
      </c>
      <c r="O33" s="379">
        <v>2.86</v>
      </c>
      <c r="P33" s="377">
        <v>7.5999999999999998E-2</v>
      </c>
    </row>
    <row r="34" spans="6:16" x14ac:dyDescent="0.25">
      <c r="F34" t="s">
        <v>914</v>
      </c>
      <c r="H34" t="s">
        <v>770</v>
      </c>
      <c r="J34" s="377">
        <v>1.93</v>
      </c>
      <c r="K34" s="377">
        <v>0.54600000000000004</v>
      </c>
      <c r="L34" s="377">
        <v>6.7000000000000004E-2</v>
      </c>
      <c r="M34" s="378">
        <v>431.64</v>
      </c>
      <c r="N34" s="379">
        <v>3.36</v>
      </c>
      <c r="O34" s="379">
        <v>3.36</v>
      </c>
      <c r="P34" s="377">
        <v>4.7E-2</v>
      </c>
    </row>
    <row r="35" spans="6:16" x14ac:dyDescent="0.25">
      <c r="F35" t="s">
        <v>915</v>
      </c>
      <c r="H35" t="s">
        <v>770</v>
      </c>
      <c r="J35" s="377">
        <v>1.93</v>
      </c>
      <c r="K35" s="377">
        <v>0.54600000000000004</v>
      </c>
      <c r="L35" s="377">
        <v>6.7000000000000004E-2</v>
      </c>
      <c r="M35" s="378">
        <v>1094.1099999999999</v>
      </c>
      <c r="N35" s="379">
        <v>3.36</v>
      </c>
      <c r="O35" s="379">
        <v>3.36</v>
      </c>
      <c r="P35" s="377">
        <v>4.7E-2</v>
      </c>
    </row>
    <row r="36" spans="6:16" x14ac:dyDescent="0.25">
      <c r="F36" t="s">
        <v>916</v>
      </c>
      <c r="H36" t="s">
        <v>770</v>
      </c>
      <c r="J36" s="377">
        <v>1.93</v>
      </c>
      <c r="K36" s="377">
        <v>0.54600000000000004</v>
      </c>
      <c r="L36" s="377">
        <v>6.7000000000000004E-2</v>
      </c>
      <c r="M36" s="378">
        <v>2321.33</v>
      </c>
      <c r="N36" s="379">
        <v>3.36</v>
      </c>
      <c r="O36" s="379">
        <v>3.36</v>
      </c>
      <c r="P36" s="377">
        <v>4.7E-2</v>
      </c>
    </row>
    <row r="37" spans="6:16" x14ac:dyDescent="0.25">
      <c r="F37" t="s">
        <v>917</v>
      </c>
      <c r="H37" t="s">
        <v>770</v>
      </c>
      <c r="J37" s="377">
        <v>1.93</v>
      </c>
      <c r="K37" s="377">
        <v>0.54600000000000004</v>
      </c>
      <c r="L37" s="377">
        <v>6.7000000000000004E-2</v>
      </c>
      <c r="M37" s="378">
        <v>4527.07</v>
      </c>
      <c r="N37" s="379">
        <v>3.36</v>
      </c>
      <c r="O37" s="379">
        <v>3.36</v>
      </c>
      <c r="P37" s="377">
        <v>4.7E-2</v>
      </c>
    </row>
    <row r="38" spans="6:16" x14ac:dyDescent="0.25">
      <c r="F38" t="s">
        <v>918</v>
      </c>
      <c r="H38" t="s">
        <v>770</v>
      </c>
      <c r="J38" s="377">
        <v>1.93</v>
      </c>
      <c r="K38" s="377">
        <v>0.54600000000000004</v>
      </c>
      <c r="L38" s="377">
        <v>6.7000000000000004E-2</v>
      </c>
      <c r="M38" s="378">
        <v>10167.82</v>
      </c>
      <c r="N38" s="379">
        <v>3.36</v>
      </c>
      <c r="O38" s="379">
        <v>3.36</v>
      </c>
      <c r="P38" s="377">
        <v>4.7E-2</v>
      </c>
    </row>
    <row r="39" spans="6:16" x14ac:dyDescent="0.25">
      <c r="F39" t="s">
        <v>835</v>
      </c>
      <c r="H39" t="s">
        <v>770</v>
      </c>
      <c r="J39" s="377">
        <v>15.82</v>
      </c>
      <c r="K39" s="377">
        <v>2.145</v>
      </c>
      <c r="L39" s="377">
        <v>0.78500000000000003</v>
      </c>
      <c r="M39" s="378">
        <v>0</v>
      </c>
      <c r="N39" s="379">
        <v>0</v>
      </c>
      <c r="O39" s="379">
        <v>0</v>
      </c>
      <c r="P39" s="377">
        <v>0</v>
      </c>
    </row>
    <row r="40" spans="6:16" x14ac:dyDescent="0.25">
      <c r="F40" t="s">
        <v>827</v>
      </c>
      <c r="H40" t="s">
        <v>770</v>
      </c>
      <c r="J40" s="377">
        <v>-3.915</v>
      </c>
      <c r="K40" s="377">
        <v>-1.288</v>
      </c>
      <c r="L40" s="377">
        <v>-0.19</v>
      </c>
      <c r="M40" s="378">
        <v>0</v>
      </c>
      <c r="N40" s="379">
        <v>0</v>
      </c>
      <c r="O40" s="379">
        <v>0</v>
      </c>
      <c r="P40" s="377">
        <v>0</v>
      </c>
    </row>
    <row r="41" spans="6:16" x14ac:dyDescent="0.25">
      <c r="F41" t="s">
        <v>828</v>
      </c>
      <c r="H41" t="s">
        <v>770</v>
      </c>
      <c r="J41" s="377">
        <v>-3.2360000000000002</v>
      </c>
      <c r="K41" s="377">
        <v>-1.0489999999999999</v>
      </c>
      <c r="L41" s="377">
        <v>-0.152</v>
      </c>
      <c r="M41" s="378">
        <v>0</v>
      </c>
      <c r="N41" s="379">
        <v>0</v>
      </c>
      <c r="O41" s="379">
        <v>0</v>
      </c>
      <c r="P41" s="377">
        <v>0</v>
      </c>
    </row>
    <row r="42" spans="6:16" x14ac:dyDescent="0.25">
      <c r="F42" t="s">
        <v>829</v>
      </c>
      <c r="H42" t="s">
        <v>770</v>
      </c>
      <c r="J42" s="377">
        <v>-3.915</v>
      </c>
      <c r="K42" s="377">
        <v>-1.288</v>
      </c>
      <c r="L42" s="377">
        <v>-0.19</v>
      </c>
      <c r="M42" s="378">
        <v>0</v>
      </c>
      <c r="N42" s="379">
        <v>0</v>
      </c>
      <c r="O42" s="379">
        <v>0</v>
      </c>
      <c r="P42" s="377">
        <v>0.106</v>
      </c>
    </row>
    <row r="43" spans="6:16" x14ac:dyDescent="0.25">
      <c r="F43" t="s">
        <v>838</v>
      </c>
      <c r="H43" t="s">
        <v>770</v>
      </c>
      <c r="J43" s="377">
        <v>-3.915</v>
      </c>
      <c r="K43" s="377">
        <v>-1.288</v>
      </c>
      <c r="L43" s="377">
        <v>-0.19</v>
      </c>
      <c r="M43" s="378">
        <v>0</v>
      </c>
      <c r="N43" s="379">
        <v>0</v>
      </c>
      <c r="O43" s="379">
        <v>0</v>
      </c>
      <c r="P43" s="377">
        <v>0</v>
      </c>
    </row>
    <row r="44" spans="6:16" x14ac:dyDescent="0.25">
      <c r="F44" t="s">
        <v>830</v>
      </c>
      <c r="H44" t="s">
        <v>770</v>
      </c>
      <c r="J44" s="377">
        <v>-3.2360000000000002</v>
      </c>
      <c r="K44" s="377">
        <v>-1.0489999999999999</v>
      </c>
      <c r="L44" s="377">
        <v>-0.152</v>
      </c>
      <c r="M44" s="378">
        <v>0</v>
      </c>
      <c r="N44" s="379">
        <v>0</v>
      </c>
      <c r="O44" s="379">
        <v>0</v>
      </c>
      <c r="P44" s="377">
        <v>9.7000000000000003E-2</v>
      </c>
    </row>
    <row r="45" spans="6:16" x14ac:dyDescent="0.25">
      <c r="F45" t="s">
        <v>837</v>
      </c>
      <c r="H45" t="s">
        <v>770</v>
      </c>
      <c r="J45" s="377">
        <v>-3.2360000000000002</v>
      </c>
      <c r="K45" s="377">
        <v>-1.0489999999999999</v>
      </c>
      <c r="L45" s="377">
        <v>-0.152</v>
      </c>
      <c r="M45" s="378">
        <v>0</v>
      </c>
      <c r="N45" s="379">
        <v>0</v>
      </c>
      <c r="O45" s="379">
        <v>0</v>
      </c>
      <c r="P45" s="377">
        <v>0</v>
      </c>
    </row>
    <row r="46" spans="6:16" x14ac:dyDescent="0.25">
      <c r="F46" t="s">
        <v>831</v>
      </c>
      <c r="H46" t="s">
        <v>770</v>
      </c>
      <c r="J46" s="377">
        <v>-2.198</v>
      </c>
      <c r="K46" s="377">
        <v>-0.66300000000000003</v>
      </c>
      <c r="L46" s="377">
        <v>-8.8999999999999996E-2</v>
      </c>
      <c r="M46" s="378">
        <v>95.93</v>
      </c>
      <c r="N46" s="379">
        <v>0</v>
      </c>
      <c r="O46" s="379">
        <v>0</v>
      </c>
      <c r="P46" s="377">
        <v>8.5000000000000006E-2</v>
      </c>
    </row>
    <row r="47" spans="6:16" x14ac:dyDescent="0.25">
      <c r="F47" s="91" t="s">
        <v>836</v>
      </c>
      <c r="G47" s="91"/>
      <c r="H47" s="91" t="s">
        <v>770</v>
      </c>
      <c r="I47" s="91"/>
      <c r="J47" s="380">
        <v>-2.198</v>
      </c>
      <c r="K47" s="380">
        <v>-0.66300000000000003</v>
      </c>
      <c r="L47" s="380">
        <v>-8.8999999999999996E-2</v>
      </c>
      <c r="M47" s="381">
        <v>95.93</v>
      </c>
      <c r="N47" s="382">
        <v>0</v>
      </c>
      <c r="O47" s="382">
        <v>0</v>
      </c>
      <c r="P47" s="380">
        <v>0</v>
      </c>
    </row>
    <row r="48" spans="6:16" x14ac:dyDescent="0.25">
      <c r="F48" s="2"/>
      <c r="J48" s="47"/>
      <c r="K48" s="47"/>
      <c r="L48" s="47"/>
      <c r="M48" s="383"/>
      <c r="N48" s="383"/>
      <c r="O48" s="383"/>
      <c r="P48" s="47"/>
    </row>
    <row r="49" spans="4:16" x14ac:dyDescent="0.25">
      <c r="D49" s="60"/>
      <c r="E49" s="60" t="s">
        <v>803</v>
      </c>
      <c r="F49" s="2"/>
      <c r="J49" s="47"/>
      <c r="K49" s="47"/>
      <c r="L49" s="47"/>
      <c r="M49" s="383"/>
      <c r="N49" s="383"/>
      <c r="O49" s="383"/>
      <c r="P49" s="47"/>
    </row>
    <row r="50" spans="4:16" x14ac:dyDescent="0.25">
      <c r="F50" s="90" t="s">
        <v>1160</v>
      </c>
      <c r="G50" s="90"/>
      <c r="H50" s="90" t="s">
        <v>445</v>
      </c>
      <c r="I50" s="90"/>
      <c r="J50" s="371">
        <f t="array" ref="J50:P81">TRANSPOSE(Rounding!J159:AO165)</f>
        <v>3.1440000000000001</v>
      </c>
      <c r="K50" s="371">
        <v>1.034</v>
      </c>
      <c r="L50" s="371">
        <v>0.153</v>
      </c>
      <c r="M50" s="372">
        <v>10.09</v>
      </c>
      <c r="N50" s="373">
        <v>0</v>
      </c>
      <c r="O50" s="373">
        <v>0</v>
      </c>
      <c r="P50" s="371">
        <v>0</v>
      </c>
    </row>
    <row r="51" spans="4:16" x14ac:dyDescent="0.25">
      <c r="F51" t="s">
        <v>825</v>
      </c>
      <c r="H51" t="s">
        <v>445</v>
      </c>
      <c r="J51" s="374">
        <v>3.1440000000000001</v>
      </c>
      <c r="K51" s="374">
        <v>1.034</v>
      </c>
      <c r="L51" s="374">
        <v>0.153</v>
      </c>
      <c r="M51" s="375">
        <v>0</v>
      </c>
      <c r="N51" s="376">
        <v>0</v>
      </c>
      <c r="O51" s="376">
        <v>0</v>
      </c>
      <c r="P51" s="374">
        <v>0</v>
      </c>
    </row>
    <row r="52" spans="4:16" x14ac:dyDescent="0.25">
      <c r="F52" t="s">
        <v>1161</v>
      </c>
      <c r="H52" t="s">
        <v>445</v>
      </c>
      <c r="J52" s="374">
        <v>3.8119999999999998</v>
      </c>
      <c r="K52" s="374">
        <v>1.254</v>
      </c>
      <c r="L52" s="374">
        <v>0.185</v>
      </c>
      <c r="M52" s="375">
        <v>7.31</v>
      </c>
      <c r="N52" s="376">
        <v>0</v>
      </c>
      <c r="O52" s="376">
        <v>0</v>
      </c>
      <c r="P52" s="374">
        <v>0</v>
      </c>
    </row>
    <row r="53" spans="4:16" x14ac:dyDescent="0.25">
      <c r="F53" t="s">
        <v>1162</v>
      </c>
      <c r="H53" t="s">
        <v>445</v>
      </c>
      <c r="J53" s="374">
        <v>3.8119999999999998</v>
      </c>
      <c r="K53" s="374">
        <v>1.254</v>
      </c>
      <c r="L53" s="374">
        <v>0.185</v>
      </c>
      <c r="M53" s="375">
        <v>9.7100000000000009</v>
      </c>
      <c r="N53" s="376">
        <v>0</v>
      </c>
      <c r="O53" s="376">
        <v>0</v>
      </c>
      <c r="P53" s="374">
        <v>0</v>
      </c>
    </row>
    <row r="54" spans="4:16" x14ac:dyDescent="0.25">
      <c r="F54" t="s">
        <v>1163</v>
      </c>
      <c r="H54" t="s">
        <v>445</v>
      </c>
      <c r="J54" s="374">
        <v>3.8119999999999998</v>
      </c>
      <c r="K54" s="374">
        <v>1.254</v>
      </c>
      <c r="L54" s="374">
        <v>0.185</v>
      </c>
      <c r="M54" s="375">
        <v>13.45</v>
      </c>
      <c r="N54" s="376">
        <v>0</v>
      </c>
      <c r="O54" s="376">
        <v>0</v>
      </c>
      <c r="P54" s="374">
        <v>0</v>
      </c>
    </row>
    <row r="55" spans="4:16" x14ac:dyDescent="0.25">
      <c r="F55" t="s">
        <v>1164</v>
      </c>
      <c r="H55" t="s">
        <v>445</v>
      </c>
      <c r="J55" s="374">
        <v>3.8119999999999998</v>
      </c>
      <c r="K55" s="374">
        <v>1.254</v>
      </c>
      <c r="L55" s="374">
        <v>0.185</v>
      </c>
      <c r="M55" s="375">
        <v>21.92</v>
      </c>
      <c r="N55" s="376">
        <v>0</v>
      </c>
      <c r="O55" s="376">
        <v>0</v>
      </c>
      <c r="P55" s="374">
        <v>0</v>
      </c>
    </row>
    <row r="56" spans="4:16" x14ac:dyDescent="0.25">
      <c r="F56" t="s">
        <v>1165</v>
      </c>
      <c r="H56" t="s">
        <v>445</v>
      </c>
      <c r="J56" s="374">
        <v>3.8119999999999998</v>
      </c>
      <c r="K56" s="374">
        <v>1.254</v>
      </c>
      <c r="L56" s="374">
        <v>0.185</v>
      </c>
      <c r="M56" s="375">
        <v>46.47</v>
      </c>
      <c r="N56" s="376">
        <v>0</v>
      </c>
      <c r="O56" s="376">
        <v>0</v>
      </c>
      <c r="P56" s="374">
        <v>0</v>
      </c>
    </row>
    <row r="57" spans="4:16" x14ac:dyDescent="0.25">
      <c r="F57" t="s">
        <v>826</v>
      </c>
      <c r="H57" t="s">
        <v>445</v>
      </c>
      <c r="J57" s="374">
        <v>3.8119999999999998</v>
      </c>
      <c r="K57" s="374">
        <v>1.254</v>
      </c>
      <c r="L57" s="374">
        <v>0.185</v>
      </c>
      <c r="M57" s="375">
        <v>0</v>
      </c>
      <c r="N57" s="376">
        <v>0</v>
      </c>
      <c r="O57" s="376">
        <v>0</v>
      </c>
      <c r="P57" s="374">
        <v>0</v>
      </c>
    </row>
    <row r="58" spans="4:16" x14ac:dyDescent="0.25">
      <c r="F58" t="s">
        <v>904</v>
      </c>
      <c r="H58" t="s">
        <v>445</v>
      </c>
      <c r="J58" s="374">
        <v>2.6720000000000002</v>
      </c>
      <c r="K58" s="374">
        <v>0.85699999999999998</v>
      </c>
      <c r="L58" s="374">
        <v>0.123</v>
      </c>
      <c r="M58" s="375">
        <v>9.7899999999999991</v>
      </c>
      <c r="N58" s="376">
        <v>2.1800000000000002</v>
      </c>
      <c r="O58" s="376">
        <v>2.1800000000000002</v>
      </c>
      <c r="P58" s="374">
        <v>7.9000000000000001E-2</v>
      </c>
    </row>
    <row r="59" spans="4:16" x14ac:dyDescent="0.25">
      <c r="F59" t="s">
        <v>905</v>
      </c>
      <c r="H59" t="s">
        <v>445</v>
      </c>
      <c r="J59" s="374">
        <v>2.6720000000000002</v>
      </c>
      <c r="K59" s="374">
        <v>0.85699999999999998</v>
      </c>
      <c r="L59" s="374">
        <v>0.123</v>
      </c>
      <c r="M59" s="375">
        <v>75.25</v>
      </c>
      <c r="N59" s="376">
        <v>2.1800000000000002</v>
      </c>
      <c r="O59" s="376">
        <v>2.1800000000000002</v>
      </c>
      <c r="P59" s="374">
        <v>7.9000000000000001E-2</v>
      </c>
    </row>
    <row r="60" spans="4:16" x14ac:dyDescent="0.25">
      <c r="F60" t="s">
        <v>906</v>
      </c>
      <c r="H60" t="s">
        <v>445</v>
      </c>
      <c r="J60" s="374">
        <v>2.6720000000000002</v>
      </c>
      <c r="K60" s="374">
        <v>0.85699999999999998</v>
      </c>
      <c r="L60" s="374">
        <v>0.123</v>
      </c>
      <c r="M60" s="375">
        <v>137.32</v>
      </c>
      <c r="N60" s="376">
        <v>2.1800000000000002</v>
      </c>
      <c r="O60" s="376">
        <v>2.1800000000000002</v>
      </c>
      <c r="P60" s="374">
        <v>7.9000000000000001E-2</v>
      </c>
    </row>
    <row r="61" spans="4:16" x14ac:dyDescent="0.25">
      <c r="F61" t="s">
        <v>907</v>
      </c>
      <c r="H61" t="s">
        <v>445</v>
      </c>
      <c r="J61" s="374">
        <v>2.6720000000000002</v>
      </c>
      <c r="K61" s="374">
        <v>0.85699999999999998</v>
      </c>
      <c r="L61" s="374">
        <v>0.123</v>
      </c>
      <c r="M61" s="375">
        <v>203.8</v>
      </c>
      <c r="N61" s="376">
        <v>2.1800000000000002</v>
      </c>
      <c r="O61" s="376">
        <v>2.1800000000000002</v>
      </c>
      <c r="P61" s="374">
        <v>7.9000000000000001E-2</v>
      </c>
    </row>
    <row r="62" spans="4:16" x14ac:dyDescent="0.25">
      <c r="F62" t="s">
        <v>908</v>
      </c>
      <c r="H62" t="s">
        <v>445</v>
      </c>
      <c r="J62" s="374">
        <v>2.6720000000000002</v>
      </c>
      <c r="K62" s="374">
        <v>0.85699999999999998</v>
      </c>
      <c r="L62" s="374">
        <v>0.123</v>
      </c>
      <c r="M62" s="375">
        <v>427.59</v>
      </c>
      <c r="N62" s="376">
        <v>2.1800000000000002</v>
      </c>
      <c r="O62" s="376">
        <v>2.1800000000000002</v>
      </c>
      <c r="P62" s="374">
        <v>7.9000000000000001E-2</v>
      </c>
    </row>
    <row r="63" spans="4:16" x14ac:dyDescent="0.25">
      <c r="F63" t="s">
        <v>909</v>
      </c>
      <c r="H63" t="s">
        <v>445</v>
      </c>
      <c r="J63" s="384">
        <v>0</v>
      </c>
      <c r="K63" s="384">
        <v>0</v>
      </c>
      <c r="L63" s="384">
        <v>0</v>
      </c>
      <c r="M63" s="385">
        <v>0</v>
      </c>
      <c r="N63" s="386">
        <v>0</v>
      </c>
      <c r="O63" s="386">
        <v>0</v>
      </c>
      <c r="P63" s="384">
        <v>0</v>
      </c>
    </row>
    <row r="64" spans="4:16" x14ac:dyDescent="0.25">
      <c r="F64" t="s">
        <v>910</v>
      </c>
      <c r="H64" t="s">
        <v>445</v>
      </c>
      <c r="J64" s="384">
        <v>0</v>
      </c>
      <c r="K64" s="384">
        <v>0</v>
      </c>
      <c r="L64" s="384">
        <v>0</v>
      </c>
      <c r="M64" s="385">
        <v>0</v>
      </c>
      <c r="N64" s="386">
        <v>0</v>
      </c>
      <c r="O64" s="386">
        <v>0</v>
      </c>
      <c r="P64" s="384">
        <v>0</v>
      </c>
    </row>
    <row r="65" spans="6:16" x14ac:dyDescent="0.25">
      <c r="F65" t="s">
        <v>911</v>
      </c>
      <c r="H65" t="s">
        <v>445</v>
      </c>
      <c r="J65" s="387">
        <v>0</v>
      </c>
      <c r="K65" s="387">
        <v>0</v>
      </c>
      <c r="L65" s="387">
        <v>0</v>
      </c>
      <c r="M65" s="388">
        <v>0</v>
      </c>
      <c r="N65" s="389">
        <v>0</v>
      </c>
      <c r="O65" s="389">
        <v>0</v>
      </c>
      <c r="P65" s="387">
        <v>0</v>
      </c>
    </row>
    <row r="66" spans="6:16" x14ac:dyDescent="0.25">
      <c r="F66" t="s">
        <v>912</v>
      </c>
      <c r="H66" t="s">
        <v>445</v>
      </c>
      <c r="J66" s="387">
        <v>0</v>
      </c>
      <c r="K66" s="387">
        <v>0</v>
      </c>
      <c r="L66" s="387">
        <v>0</v>
      </c>
      <c r="M66" s="388">
        <v>0</v>
      </c>
      <c r="N66" s="389">
        <v>0</v>
      </c>
      <c r="O66" s="389">
        <v>0</v>
      </c>
      <c r="P66" s="387">
        <v>0</v>
      </c>
    </row>
    <row r="67" spans="6:16" x14ac:dyDescent="0.25">
      <c r="F67" t="s">
        <v>913</v>
      </c>
      <c r="H67" t="s">
        <v>445</v>
      </c>
      <c r="J67" s="387">
        <v>0</v>
      </c>
      <c r="K67" s="387">
        <v>0</v>
      </c>
      <c r="L67" s="387">
        <v>0</v>
      </c>
      <c r="M67" s="388">
        <v>0</v>
      </c>
      <c r="N67" s="389">
        <v>0</v>
      </c>
      <c r="O67" s="389">
        <v>0</v>
      </c>
      <c r="P67" s="387">
        <v>0</v>
      </c>
    </row>
    <row r="68" spans="6:16" x14ac:dyDescent="0.25">
      <c r="F68" t="s">
        <v>914</v>
      </c>
      <c r="H68" t="s">
        <v>445</v>
      </c>
      <c r="J68" s="387">
        <v>0</v>
      </c>
      <c r="K68" s="387">
        <v>0</v>
      </c>
      <c r="L68" s="387">
        <v>0</v>
      </c>
      <c r="M68" s="388">
        <v>0</v>
      </c>
      <c r="N68" s="389">
        <v>0</v>
      </c>
      <c r="O68" s="389">
        <v>0</v>
      </c>
      <c r="P68" s="387">
        <v>0</v>
      </c>
    </row>
    <row r="69" spans="6:16" x14ac:dyDescent="0.25">
      <c r="F69" t="s">
        <v>915</v>
      </c>
      <c r="H69" t="s">
        <v>445</v>
      </c>
      <c r="J69" s="387">
        <v>0</v>
      </c>
      <c r="K69" s="387">
        <v>0</v>
      </c>
      <c r="L69" s="387">
        <v>0</v>
      </c>
      <c r="M69" s="388">
        <v>0</v>
      </c>
      <c r="N69" s="389">
        <v>0</v>
      </c>
      <c r="O69" s="389">
        <v>0</v>
      </c>
      <c r="P69" s="387">
        <v>0</v>
      </c>
    </row>
    <row r="70" spans="6:16" x14ac:dyDescent="0.25">
      <c r="F70" t="s">
        <v>916</v>
      </c>
      <c r="H70" t="s">
        <v>445</v>
      </c>
      <c r="J70" s="387">
        <v>0</v>
      </c>
      <c r="K70" s="387">
        <v>0</v>
      </c>
      <c r="L70" s="387">
        <v>0</v>
      </c>
      <c r="M70" s="388">
        <v>0</v>
      </c>
      <c r="N70" s="389">
        <v>0</v>
      </c>
      <c r="O70" s="389">
        <v>0</v>
      </c>
      <c r="P70" s="387">
        <v>0</v>
      </c>
    </row>
    <row r="71" spans="6:16" x14ac:dyDescent="0.25">
      <c r="F71" t="s">
        <v>917</v>
      </c>
      <c r="H71" t="s">
        <v>445</v>
      </c>
      <c r="J71" s="387">
        <v>0</v>
      </c>
      <c r="K71" s="387">
        <v>0</v>
      </c>
      <c r="L71" s="387">
        <v>0</v>
      </c>
      <c r="M71" s="388">
        <v>0</v>
      </c>
      <c r="N71" s="389">
        <v>0</v>
      </c>
      <c r="O71" s="389">
        <v>0</v>
      </c>
      <c r="P71" s="387">
        <v>0</v>
      </c>
    </row>
    <row r="72" spans="6:16" x14ac:dyDescent="0.25">
      <c r="F72" t="s">
        <v>918</v>
      </c>
      <c r="H72" t="s">
        <v>445</v>
      </c>
      <c r="J72" s="387">
        <v>0</v>
      </c>
      <c r="K72" s="387">
        <v>0</v>
      </c>
      <c r="L72" s="387">
        <v>0</v>
      </c>
      <c r="M72" s="388">
        <v>0</v>
      </c>
      <c r="N72" s="389">
        <v>0</v>
      </c>
      <c r="O72" s="389">
        <v>0</v>
      </c>
      <c r="P72" s="387">
        <v>0</v>
      </c>
    </row>
    <row r="73" spans="6:16" x14ac:dyDescent="0.25">
      <c r="F73" t="s">
        <v>835</v>
      </c>
      <c r="H73" t="s">
        <v>445</v>
      </c>
      <c r="J73" s="377">
        <v>9.3949999999999996</v>
      </c>
      <c r="K73" s="377">
        <v>1.274</v>
      </c>
      <c r="L73" s="377">
        <v>0.46600000000000003</v>
      </c>
      <c r="M73" s="378">
        <v>0</v>
      </c>
      <c r="N73" s="379">
        <v>0</v>
      </c>
      <c r="O73" s="379">
        <v>0</v>
      </c>
      <c r="P73" s="377">
        <v>0</v>
      </c>
    </row>
    <row r="74" spans="6:16" x14ac:dyDescent="0.25">
      <c r="F74" t="s">
        <v>827</v>
      </c>
      <c r="H74" t="s">
        <v>445</v>
      </c>
      <c r="J74" s="377">
        <v>-3.915</v>
      </c>
      <c r="K74" s="377">
        <v>-1.288</v>
      </c>
      <c r="L74" s="377">
        <v>-0.19</v>
      </c>
      <c r="M74" s="378">
        <v>0</v>
      </c>
      <c r="N74" s="379">
        <v>0</v>
      </c>
      <c r="O74" s="379">
        <v>0</v>
      </c>
      <c r="P74" s="377">
        <v>0</v>
      </c>
    </row>
    <row r="75" spans="6:16" x14ac:dyDescent="0.25">
      <c r="F75" t="s">
        <v>828</v>
      </c>
      <c r="H75" t="s">
        <v>445</v>
      </c>
      <c r="J75" s="387">
        <v>0</v>
      </c>
      <c r="K75" s="387">
        <v>0</v>
      </c>
      <c r="L75" s="387">
        <v>0</v>
      </c>
      <c r="M75" s="388">
        <v>0</v>
      </c>
      <c r="N75" s="389">
        <v>0</v>
      </c>
      <c r="O75" s="389">
        <v>0</v>
      </c>
      <c r="P75" s="387">
        <v>0</v>
      </c>
    </row>
    <row r="76" spans="6:16" x14ac:dyDescent="0.25">
      <c r="F76" t="s">
        <v>829</v>
      </c>
      <c r="H76" t="s">
        <v>445</v>
      </c>
      <c r="J76" s="377">
        <v>-3.915</v>
      </c>
      <c r="K76" s="377">
        <v>-1.288</v>
      </c>
      <c r="L76" s="377">
        <v>-0.19</v>
      </c>
      <c r="M76" s="378">
        <v>0</v>
      </c>
      <c r="N76" s="379">
        <v>0</v>
      </c>
      <c r="O76" s="379">
        <v>0</v>
      </c>
      <c r="P76" s="377">
        <v>0.106</v>
      </c>
    </row>
    <row r="77" spans="6:16" x14ac:dyDescent="0.25">
      <c r="F77" t="s">
        <v>838</v>
      </c>
      <c r="H77" t="s">
        <v>445</v>
      </c>
      <c r="J77" s="387">
        <v>0</v>
      </c>
      <c r="K77" s="387">
        <v>0</v>
      </c>
      <c r="L77" s="387">
        <v>0</v>
      </c>
      <c r="M77" s="388">
        <v>0</v>
      </c>
      <c r="N77" s="389">
        <v>0</v>
      </c>
      <c r="O77" s="389">
        <v>0</v>
      </c>
      <c r="P77" s="387">
        <v>0</v>
      </c>
    </row>
    <row r="78" spans="6:16" x14ac:dyDescent="0.25">
      <c r="F78" t="s">
        <v>830</v>
      </c>
      <c r="H78" t="s">
        <v>445</v>
      </c>
      <c r="J78" s="387">
        <v>0</v>
      </c>
      <c r="K78" s="387">
        <v>0</v>
      </c>
      <c r="L78" s="387">
        <v>0</v>
      </c>
      <c r="M78" s="388">
        <v>0</v>
      </c>
      <c r="N78" s="389">
        <v>0</v>
      </c>
      <c r="O78" s="389">
        <v>0</v>
      </c>
      <c r="P78" s="387">
        <v>0</v>
      </c>
    </row>
    <row r="79" spans="6:16" x14ac:dyDescent="0.25">
      <c r="F79" t="s">
        <v>837</v>
      </c>
      <c r="H79" t="s">
        <v>445</v>
      </c>
      <c r="J79" s="387">
        <v>0</v>
      </c>
      <c r="K79" s="387">
        <v>0</v>
      </c>
      <c r="L79" s="387">
        <v>0</v>
      </c>
      <c r="M79" s="388">
        <v>0</v>
      </c>
      <c r="N79" s="389">
        <v>0</v>
      </c>
      <c r="O79" s="389">
        <v>0</v>
      </c>
      <c r="P79" s="387">
        <v>0</v>
      </c>
    </row>
    <row r="80" spans="6:16" x14ac:dyDescent="0.25">
      <c r="F80" t="s">
        <v>831</v>
      </c>
      <c r="H80" t="s">
        <v>445</v>
      </c>
      <c r="J80" s="387">
        <v>0</v>
      </c>
      <c r="K80" s="387">
        <v>0</v>
      </c>
      <c r="L80" s="387">
        <v>0</v>
      </c>
      <c r="M80" s="388">
        <v>0</v>
      </c>
      <c r="N80" s="389">
        <v>0</v>
      </c>
      <c r="O80" s="389">
        <v>0</v>
      </c>
      <c r="P80" s="387">
        <v>0</v>
      </c>
    </row>
    <row r="81" spans="4:16" x14ac:dyDescent="0.25">
      <c r="F81" s="91" t="s">
        <v>836</v>
      </c>
      <c r="G81" s="91"/>
      <c r="H81" s="91" t="s">
        <v>445</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804</v>
      </c>
      <c r="M83" s="393"/>
      <c r="N83" s="393"/>
      <c r="O83" s="393"/>
    </row>
    <row r="84" spans="4:16" x14ac:dyDescent="0.25">
      <c r="F84" s="90" t="s">
        <v>1160</v>
      </c>
      <c r="G84" s="90"/>
      <c r="H84" s="90" t="s">
        <v>446</v>
      </c>
      <c r="I84" s="90"/>
      <c r="J84" s="371">
        <f t="array" ref="J84:P115">TRANSPOSE(Rounding!J168:AO174)</f>
        <v>2.1840000000000002</v>
      </c>
      <c r="K84" s="371">
        <v>0.71799999999999997</v>
      </c>
      <c r="L84" s="371">
        <v>0.106</v>
      </c>
      <c r="M84" s="372">
        <v>7.01</v>
      </c>
      <c r="N84" s="373">
        <v>0</v>
      </c>
      <c r="O84" s="373">
        <v>0</v>
      </c>
      <c r="P84" s="371">
        <v>0</v>
      </c>
    </row>
    <row r="85" spans="4:16" x14ac:dyDescent="0.25">
      <c r="F85" t="s">
        <v>825</v>
      </c>
      <c r="H85" t="s">
        <v>446</v>
      </c>
      <c r="J85" s="374">
        <v>2.1840000000000002</v>
      </c>
      <c r="K85" s="374">
        <v>0.71799999999999997</v>
      </c>
      <c r="L85" s="374">
        <v>0.106</v>
      </c>
      <c r="M85" s="375">
        <v>0</v>
      </c>
      <c r="N85" s="376">
        <v>0</v>
      </c>
      <c r="O85" s="376">
        <v>0</v>
      </c>
      <c r="P85" s="374">
        <v>0</v>
      </c>
    </row>
    <row r="86" spans="4:16" x14ac:dyDescent="0.25">
      <c r="F86" t="s">
        <v>1161</v>
      </c>
      <c r="H86" t="s">
        <v>446</v>
      </c>
      <c r="J86" s="374">
        <v>2.6480000000000001</v>
      </c>
      <c r="K86" s="374">
        <v>0.871</v>
      </c>
      <c r="L86" s="374">
        <v>0.129</v>
      </c>
      <c r="M86" s="375">
        <v>5.07</v>
      </c>
      <c r="N86" s="376">
        <v>0</v>
      </c>
      <c r="O86" s="376">
        <v>0</v>
      </c>
      <c r="P86" s="374">
        <v>0</v>
      </c>
    </row>
    <row r="87" spans="4:16" x14ac:dyDescent="0.25">
      <c r="F87" t="s">
        <v>1162</v>
      </c>
      <c r="H87" t="s">
        <v>446</v>
      </c>
      <c r="J87" s="374">
        <v>2.6480000000000001</v>
      </c>
      <c r="K87" s="374">
        <v>0.871</v>
      </c>
      <c r="L87" s="374">
        <v>0.129</v>
      </c>
      <c r="M87" s="375">
        <v>6.75</v>
      </c>
      <c r="N87" s="376">
        <v>0</v>
      </c>
      <c r="O87" s="376">
        <v>0</v>
      </c>
      <c r="P87" s="374">
        <v>0</v>
      </c>
    </row>
    <row r="88" spans="4:16" x14ac:dyDescent="0.25">
      <c r="F88" t="s">
        <v>1163</v>
      </c>
      <c r="H88" t="s">
        <v>446</v>
      </c>
      <c r="J88" s="374">
        <v>2.6480000000000001</v>
      </c>
      <c r="K88" s="374">
        <v>0.871</v>
      </c>
      <c r="L88" s="374">
        <v>0.129</v>
      </c>
      <c r="M88" s="375">
        <v>9.34</v>
      </c>
      <c r="N88" s="376">
        <v>0</v>
      </c>
      <c r="O88" s="376">
        <v>0</v>
      </c>
      <c r="P88" s="374">
        <v>0</v>
      </c>
    </row>
    <row r="89" spans="4:16" x14ac:dyDescent="0.25">
      <c r="F89" t="s">
        <v>1164</v>
      </c>
      <c r="H89" t="s">
        <v>446</v>
      </c>
      <c r="J89" s="374">
        <v>2.6480000000000001</v>
      </c>
      <c r="K89" s="374">
        <v>0.871</v>
      </c>
      <c r="L89" s="374">
        <v>0.129</v>
      </c>
      <c r="M89" s="375">
        <v>15.23</v>
      </c>
      <c r="N89" s="376">
        <v>0</v>
      </c>
      <c r="O89" s="376">
        <v>0</v>
      </c>
      <c r="P89" s="374">
        <v>0</v>
      </c>
    </row>
    <row r="90" spans="4:16" x14ac:dyDescent="0.25">
      <c r="F90" t="s">
        <v>1165</v>
      </c>
      <c r="H90" t="s">
        <v>446</v>
      </c>
      <c r="J90" s="374">
        <v>2.6480000000000001</v>
      </c>
      <c r="K90" s="374">
        <v>0.871</v>
      </c>
      <c r="L90" s="374">
        <v>0.129</v>
      </c>
      <c r="M90" s="375">
        <v>32.28</v>
      </c>
      <c r="N90" s="376">
        <v>0</v>
      </c>
      <c r="O90" s="376">
        <v>0</v>
      </c>
      <c r="P90" s="374">
        <v>0</v>
      </c>
    </row>
    <row r="91" spans="4:16" x14ac:dyDescent="0.25">
      <c r="F91" t="s">
        <v>826</v>
      </c>
      <c r="H91" t="s">
        <v>446</v>
      </c>
      <c r="J91" s="374">
        <v>2.6480000000000001</v>
      </c>
      <c r="K91" s="374">
        <v>0.871</v>
      </c>
      <c r="L91" s="374">
        <v>0.129</v>
      </c>
      <c r="M91" s="375">
        <v>0</v>
      </c>
      <c r="N91" s="376">
        <v>0</v>
      </c>
      <c r="O91" s="376">
        <v>0</v>
      </c>
      <c r="P91" s="374">
        <v>0</v>
      </c>
    </row>
    <row r="92" spans="4:16" x14ac:dyDescent="0.25">
      <c r="F92" t="s">
        <v>904</v>
      </c>
      <c r="H92" t="s">
        <v>446</v>
      </c>
      <c r="J92" s="374">
        <v>1.857</v>
      </c>
      <c r="K92" s="374">
        <v>0.59499999999999997</v>
      </c>
      <c r="L92" s="374">
        <v>8.5999999999999993E-2</v>
      </c>
      <c r="M92" s="375">
        <v>6.8</v>
      </c>
      <c r="N92" s="376">
        <v>1.51</v>
      </c>
      <c r="O92" s="376">
        <v>1.51</v>
      </c>
      <c r="P92" s="374">
        <v>5.5E-2</v>
      </c>
    </row>
    <row r="93" spans="4:16" x14ac:dyDescent="0.25">
      <c r="F93" t="s">
        <v>905</v>
      </c>
      <c r="H93" t="s">
        <v>446</v>
      </c>
      <c r="J93" s="374">
        <v>1.857</v>
      </c>
      <c r="K93" s="374">
        <v>0.59499999999999997</v>
      </c>
      <c r="L93" s="374">
        <v>8.5999999999999993E-2</v>
      </c>
      <c r="M93" s="375">
        <v>52.28</v>
      </c>
      <c r="N93" s="376">
        <v>1.51</v>
      </c>
      <c r="O93" s="376">
        <v>1.51</v>
      </c>
      <c r="P93" s="374">
        <v>5.5E-2</v>
      </c>
    </row>
    <row r="94" spans="4:16" x14ac:dyDescent="0.25">
      <c r="F94" t="s">
        <v>906</v>
      </c>
      <c r="H94" t="s">
        <v>446</v>
      </c>
      <c r="J94" s="374">
        <v>1.857</v>
      </c>
      <c r="K94" s="374">
        <v>0.59499999999999997</v>
      </c>
      <c r="L94" s="374">
        <v>8.5999999999999993E-2</v>
      </c>
      <c r="M94" s="375">
        <v>95.4</v>
      </c>
      <c r="N94" s="376">
        <v>1.51</v>
      </c>
      <c r="O94" s="376">
        <v>1.51</v>
      </c>
      <c r="P94" s="374">
        <v>5.5E-2</v>
      </c>
    </row>
    <row r="95" spans="4:16" x14ac:dyDescent="0.25">
      <c r="F95" t="s">
        <v>907</v>
      </c>
      <c r="H95" t="s">
        <v>446</v>
      </c>
      <c r="J95" s="374">
        <v>1.857</v>
      </c>
      <c r="K95" s="374">
        <v>0.59499999999999997</v>
      </c>
      <c r="L95" s="374">
        <v>8.5999999999999993E-2</v>
      </c>
      <c r="M95" s="375">
        <v>141.58000000000001</v>
      </c>
      <c r="N95" s="376">
        <v>1.51</v>
      </c>
      <c r="O95" s="376">
        <v>1.51</v>
      </c>
      <c r="P95" s="374">
        <v>5.5E-2</v>
      </c>
    </row>
    <row r="96" spans="4:16" x14ac:dyDescent="0.25">
      <c r="F96" t="s">
        <v>908</v>
      </c>
      <c r="H96" t="s">
        <v>446</v>
      </c>
      <c r="J96" s="374">
        <v>1.857</v>
      </c>
      <c r="K96" s="374">
        <v>0.59499999999999997</v>
      </c>
      <c r="L96" s="374">
        <v>8.5999999999999993E-2</v>
      </c>
      <c r="M96" s="375">
        <v>297.05</v>
      </c>
      <c r="N96" s="376">
        <v>1.51</v>
      </c>
      <c r="O96" s="376">
        <v>1.51</v>
      </c>
      <c r="P96" s="374">
        <v>5.5E-2</v>
      </c>
    </row>
    <row r="97" spans="6:16" x14ac:dyDescent="0.25">
      <c r="F97" t="s">
        <v>909</v>
      </c>
      <c r="H97" t="s">
        <v>446</v>
      </c>
      <c r="J97" s="374">
        <v>1.9750000000000001</v>
      </c>
      <c r="K97" s="374">
        <v>0.59599999999999997</v>
      </c>
      <c r="L97" s="374">
        <v>0.08</v>
      </c>
      <c r="M97" s="375">
        <v>11.5</v>
      </c>
      <c r="N97" s="376">
        <v>2</v>
      </c>
      <c r="O97" s="376">
        <v>2</v>
      </c>
      <c r="P97" s="374">
        <v>5.2999999999999999E-2</v>
      </c>
    </row>
    <row r="98" spans="6:16" x14ac:dyDescent="0.25">
      <c r="F98" t="s">
        <v>910</v>
      </c>
      <c r="H98" t="s">
        <v>446</v>
      </c>
      <c r="J98" s="374">
        <v>1.9750000000000001</v>
      </c>
      <c r="K98" s="374">
        <v>0.59599999999999997</v>
      </c>
      <c r="L98" s="374">
        <v>0.08</v>
      </c>
      <c r="M98" s="375">
        <v>88.43</v>
      </c>
      <c r="N98" s="376">
        <v>2</v>
      </c>
      <c r="O98" s="376">
        <v>2</v>
      </c>
      <c r="P98" s="374">
        <v>5.2999999999999999E-2</v>
      </c>
    </row>
    <row r="99" spans="6:16" x14ac:dyDescent="0.25">
      <c r="F99" t="s">
        <v>911</v>
      </c>
      <c r="H99" t="s">
        <v>446</v>
      </c>
      <c r="J99" s="377">
        <v>1.9750000000000001</v>
      </c>
      <c r="K99" s="377">
        <v>0.59599999999999997</v>
      </c>
      <c r="L99" s="377">
        <v>0.08</v>
      </c>
      <c r="M99" s="378">
        <v>161.37</v>
      </c>
      <c r="N99" s="379">
        <v>2</v>
      </c>
      <c r="O99" s="379">
        <v>2</v>
      </c>
      <c r="P99" s="377">
        <v>5.2999999999999999E-2</v>
      </c>
    </row>
    <row r="100" spans="6:16" x14ac:dyDescent="0.25">
      <c r="F100" t="s">
        <v>912</v>
      </c>
      <c r="H100" t="s">
        <v>446</v>
      </c>
      <c r="J100" s="377">
        <v>1.9750000000000001</v>
      </c>
      <c r="K100" s="377">
        <v>0.59599999999999997</v>
      </c>
      <c r="L100" s="377">
        <v>0.08</v>
      </c>
      <c r="M100" s="378">
        <v>239.49</v>
      </c>
      <c r="N100" s="379">
        <v>2</v>
      </c>
      <c r="O100" s="379">
        <v>2</v>
      </c>
      <c r="P100" s="377">
        <v>5.2999999999999999E-2</v>
      </c>
    </row>
    <row r="101" spans="6:16" x14ac:dyDescent="0.25">
      <c r="F101" t="s">
        <v>913</v>
      </c>
      <c r="H101" t="s">
        <v>446</v>
      </c>
      <c r="J101" s="377">
        <v>1.9750000000000001</v>
      </c>
      <c r="K101" s="377">
        <v>0.59599999999999997</v>
      </c>
      <c r="L101" s="377">
        <v>0.08</v>
      </c>
      <c r="M101" s="378">
        <v>502.49</v>
      </c>
      <c r="N101" s="379">
        <v>2</v>
      </c>
      <c r="O101" s="379">
        <v>2</v>
      </c>
      <c r="P101" s="377">
        <v>5.2999999999999999E-2</v>
      </c>
    </row>
    <row r="102" spans="6:16" x14ac:dyDescent="0.25">
      <c r="F102" t="s">
        <v>914</v>
      </c>
      <c r="H102" t="s">
        <v>446</v>
      </c>
      <c r="J102" s="377">
        <v>1.6870000000000001</v>
      </c>
      <c r="K102" s="377">
        <v>0.47699999999999998</v>
      </c>
      <c r="L102" s="377">
        <v>5.8999999999999997E-2</v>
      </c>
      <c r="M102" s="378">
        <v>377.22</v>
      </c>
      <c r="N102" s="379">
        <v>2.94</v>
      </c>
      <c r="O102" s="379">
        <v>2.94</v>
      </c>
      <c r="P102" s="377">
        <v>4.1000000000000002E-2</v>
      </c>
    </row>
    <row r="103" spans="6:16" x14ac:dyDescent="0.25">
      <c r="F103" t="s">
        <v>915</v>
      </c>
      <c r="H103" t="s">
        <v>446</v>
      </c>
      <c r="J103" s="377">
        <v>1.6870000000000001</v>
      </c>
      <c r="K103" s="377">
        <v>0.47699999999999998</v>
      </c>
      <c r="L103" s="377">
        <v>5.8999999999999997E-2</v>
      </c>
      <c r="M103" s="378">
        <v>956.18</v>
      </c>
      <c r="N103" s="379">
        <v>2.94</v>
      </c>
      <c r="O103" s="379">
        <v>2.94</v>
      </c>
      <c r="P103" s="377">
        <v>4.1000000000000002E-2</v>
      </c>
    </row>
    <row r="104" spans="6:16" x14ac:dyDescent="0.25">
      <c r="F104" t="s">
        <v>916</v>
      </c>
      <c r="H104" t="s">
        <v>446</v>
      </c>
      <c r="J104" s="377">
        <v>1.6870000000000001</v>
      </c>
      <c r="K104" s="377">
        <v>0.47699999999999998</v>
      </c>
      <c r="L104" s="377">
        <v>5.8999999999999997E-2</v>
      </c>
      <c r="M104" s="378">
        <v>2028.69</v>
      </c>
      <c r="N104" s="379">
        <v>2.94</v>
      </c>
      <c r="O104" s="379">
        <v>2.94</v>
      </c>
      <c r="P104" s="377">
        <v>4.1000000000000002E-2</v>
      </c>
    </row>
    <row r="105" spans="6:16" x14ac:dyDescent="0.25">
      <c r="F105" t="s">
        <v>917</v>
      </c>
      <c r="H105" t="s">
        <v>446</v>
      </c>
      <c r="J105" s="377">
        <v>1.6870000000000001</v>
      </c>
      <c r="K105" s="377">
        <v>0.47699999999999998</v>
      </c>
      <c r="L105" s="377">
        <v>5.8999999999999997E-2</v>
      </c>
      <c r="M105" s="378">
        <v>3956.37</v>
      </c>
      <c r="N105" s="379">
        <v>2.94</v>
      </c>
      <c r="O105" s="379">
        <v>2.94</v>
      </c>
      <c r="P105" s="377">
        <v>4.1000000000000002E-2</v>
      </c>
    </row>
    <row r="106" spans="6:16" x14ac:dyDescent="0.25">
      <c r="F106" t="s">
        <v>918</v>
      </c>
      <c r="H106" t="s">
        <v>446</v>
      </c>
      <c r="J106" s="377">
        <v>1.6870000000000001</v>
      </c>
      <c r="K106" s="377">
        <v>0.47699999999999998</v>
      </c>
      <c r="L106" s="377">
        <v>5.8999999999999997E-2</v>
      </c>
      <c r="M106" s="378">
        <v>8886.02</v>
      </c>
      <c r="N106" s="379">
        <v>2.94</v>
      </c>
      <c r="O106" s="379">
        <v>2.94</v>
      </c>
      <c r="P106" s="377">
        <v>4.1000000000000002E-2</v>
      </c>
    </row>
    <row r="107" spans="6:16" x14ac:dyDescent="0.25">
      <c r="F107" t="s">
        <v>835</v>
      </c>
      <c r="H107" t="s">
        <v>446</v>
      </c>
      <c r="J107" s="377">
        <v>6.5270000000000001</v>
      </c>
      <c r="K107" s="377">
        <v>0.88500000000000001</v>
      </c>
      <c r="L107" s="377">
        <v>0.32400000000000001</v>
      </c>
      <c r="M107" s="378">
        <v>0</v>
      </c>
      <c r="N107" s="379">
        <v>0</v>
      </c>
      <c r="O107" s="379">
        <v>0</v>
      </c>
      <c r="P107" s="377">
        <v>0</v>
      </c>
    </row>
    <row r="108" spans="6:16" x14ac:dyDescent="0.25">
      <c r="F108" t="s">
        <v>827</v>
      </c>
      <c r="H108" t="s">
        <v>446</v>
      </c>
      <c r="J108" s="377">
        <v>-3.915</v>
      </c>
      <c r="K108" s="377">
        <v>-1.288</v>
      </c>
      <c r="L108" s="377">
        <v>-0.19</v>
      </c>
      <c r="M108" s="378">
        <v>0</v>
      </c>
      <c r="N108" s="379">
        <v>0</v>
      </c>
      <c r="O108" s="379">
        <v>0</v>
      </c>
      <c r="P108" s="377">
        <v>0</v>
      </c>
    </row>
    <row r="109" spans="6:16" x14ac:dyDescent="0.25">
      <c r="F109" t="s">
        <v>828</v>
      </c>
      <c r="H109" t="s">
        <v>446</v>
      </c>
      <c r="J109" s="377">
        <v>-3.2360000000000002</v>
      </c>
      <c r="K109" s="377">
        <v>-1.0489999999999999</v>
      </c>
      <c r="L109" s="377">
        <v>-0.152</v>
      </c>
      <c r="M109" s="378">
        <v>0</v>
      </c>
      <c r="N109" s="379">
        <v>0</v>
      </c>
      <c r="O109" s="379">
        <v>0</v>
      </c>
      <c r="P109" s="377">
        <v>0</v>
      </c>
    </row>
    <row r="110" spans="6:16" x14ac:dyDescent="0.25">
      <c r="F110" t="s">
        <v>829</v>
      </c>
      <c r="H110" t="s">
        <v>446</v>
      </c>
      <c r="J110" s="377">
        <v>-3.915</v>
      </c>
      <c r="K110" s="377">
        <v>-1.288</v>
      </c>
      <c r="L110" s="377">
        <v>-0.19</v>
      </c>
      <c r="M110" s="378">
        <v>0</v>
      </c>
      <c r="N110" s="379">
        <v>0</v>
      </c>
      <c r="O110" s="379">
        <v>0</v>
      </c>
      <c r="P110" s="377">
        <v>0.106</v>
      </c>
    </row>
    <row r="111" spans="6:16" x14ac:dyDescent="0.25">
      <c r="F111" t="s">
        <v>838</v>
      </c>
      <c r="H111" t="s">
        <v>446</v>
      </c>
      <c r="J111" s="387">
        <v>0</v>
      </c>
      <c r="K111" s="387">
        <v>0</v>
      </c>
      <c r="L111" s="387">
        <v>0</v>
      </c>
      <c r="M111" s="388">
        <v>0</v>
      </c>
      <c r="N111" s="389">
        <v>0</v>
      </c>
      <c r="O111" s="389">
        <v>0</v>
      </c>
      <c r="P111" s="387">
        <v>0</v>
      </c>
    </row>
    <row r="112" spans="6:16" x14ac:dyDescent="0.25">
      <c r="F112" t="s">
        <v>830</v>
      </c>
      <c r="H112" t="s">
        <v>446</v>
      </c>
      <c r="J112" s="377">
        <v>-3.2360000000000002</v>
      </c>
      <c r="K112" s="377">
        <v>-1.0489999999999999</v>
      </c>
      <c r="L112" s="377">
        <v>-0.152</v>
      </c>
      <c r="M112" s="378">
        <v>0</v>
      </c>
      <c r="N112" s="379">
        <v>0</v>
      </c>
      <c r="O112" s="379">
        <v>0</v>
      </c>
      <c r="P112" s="377">
        <v>9.7000000000000003E-2</v>
      </c>
    </row>
    <row r="113" spans="2:19" x14ac:dyDescent="0.25">
      <c r="F113" t="s">
        <v>837</v>
      </c>
      <c r="H113" t="s">
        <v>446</v>
      </c>
      <c r="J113" s="387">
        <v>0</v>
      </c>
      <c r="K113" s="387">
        <v>0</v>
      </c>
      <c r="L113" s="387">
        <v>0</v>
      </c>
      <c r="M113" s="388">
        <v>0</v>
      </c>
      <c r="N113" s="389">
        <v>0</v>
      </c>
      <c r="O113" s="389">
        <v>0</v>
      </c>
      <c r="P113" s="387">
        <v>0</v>
      </c>
    </row>
    <row r="114" spans="2:19" x14ac:dyDescent="0.25">
      <c r="F114" t="s">
        <v>831</v>
      </c>
      <c r="H114" t="s">
        <v>446</v>
      </c>
      <c r="J114" s="377">
        <v>-2.198</v>
      </c>
      <c r="K114" s="377">
        <v>-0.66300000000000003</v>
      </c>
      <c r="L114" s="377">
        <v>-8.8999999999999996E-2</v>
      </c>
      <c r="M114" s="378">
        <v>0</v>
      </c>
      <c r="N114" s="379">
        <v>0</v>
      </c>
      <c r="O114" s="379">
        <v>0</v>
      </c>
      <c r="P114" s="377">
        <v>8.5000000000000006E-2</v>
      </c>
    </row>
    <row r="115" spans="2:19" x14ac:dyDescent="0.25">
      <c r="F115" s="91" t="s">
        <v>836</v>
      </c>
      <c r="G115" s="91"/>
      <c r="H115" s="91" t="s">
        <v>446</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230</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231</v>
      </c>
      <c r="G119" s="6" t="s">
        <v>54</v>
      </c>
      <c r="H119" s="108">
        <f t="array" ref="H119">SUM(IF(ISERROR(J16:P99), 1))</f>
        <v>0</v>
      </c>
      <c r="M119" s="393"/>
      <c r="N119" s="393"/>
      <c r="O119" s="393"/>
    </row>
    <row r="120" spans="2:19" x14ac:dyDescent="0.25">
      <c r="M120" s="393"/>
      <c r="N120" s="393"/>
      <c r="O120" s="393"/>
    </row>
    <row r="121" spans="2:19" x14ac:dyDescent="0.25">
      <c r="B121" s="70" t="s">
        <v>105</v>
      </c>
      <c r="C121" s="70"/>
      <c r="D121" s="70"/>
      <c r="E121" s="70"/>
      <c r="F121" s="70"/>
      <c r="G121" s="70"/>
      <c r="H121" s="70"/>
      <c r="I121" s="70"/>
      <c r="J121" s="70"/>
      <c r="K121" s="70"/>
      <c r="L121" s="155"/>
      <c r="M121" s="395"/>
      <c r="N121" s="395"/>
      <c r="O121" s="395"/>
      <c r="P121" s="155"/>
      <c r="Q121" s="155"/>
      <c r="R121" s="155"/>
    </row>
  </sheetData>
  <sheetProtection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Northern Powergrid (Yorkshire) - v0.1</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141</v>
      </c>
      <c r="C5" s="85"/>
      <c r="D5" s="85"/>
      <c r="E5" s="85"/>
      <c r="F5" s="85"/>
      <c r="G5" s="86" t="s">
        <v>142</v>
      </c>
      <c r="H5" s="133" t="s">
        <v>143</v>
      </c>
      <c r="AN5" s="86" t="s">
        <v>144</v>
      </c>
    </row>
    <row r="7" spans="1:40" x14ac:dyDescent="0.25">
      <c r="B7" s="70" t="s">
        <v>9</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805</v>
      </c>
      <c r="E9"/>
    </row>
    <row r="10" spans="1:40" x14ac:dyDescent="0.25">
      <c r="C10" s="71" t="s">
        <v>806</v>
      </c>
      <c r="E10"/>
    </row>
    <row r="12" spans="1:40" x14ac:dyDescent="0.25">
      <c r="B12" s="70" t="s">
        <v>807</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808</v>
      </c>
      <c r="E16"/>
    </row>
    <row r="17" spans="2:40" x14ac:dyDescent="0.25">
      <c r="D17" s="71"/>
      <c r="E17"/>
    </row>
    <row r="18" spans="2:40" x14ac:dyDescent="0.25">
      <c r="E18" s="60" t="s">
        <v>809</v>
      </c>
    </row>
    <row r="19" spans="2:40" x14ac:dyDescent="0.25">
      <c r="F19" s="93" t="s">
        <v>191</v>
      </c>
      <c r="G19" s="90" t="s">
        <v>276</v>
      </c>
      <c r="H19" s="396">
        <f t="array" ref="H19:H23">TRANSPOSE('Unit costs'!L108:P108)</f>
        <v>378969653.97090429</v>
      </c>
    </row>
    <row r="20" spans="2:40" x14ac:dyDescent="0.25">
      <c r="E20"/>
      <c r="F20" s="89" t="s">
        <v>192</v>
      </c>
      <c r="G20" t="s">
        <v>276</v>
      </c>
      <c r="H20" s="397">
        <v>151658184.81236148</v>
      </c>
    </row>
    <row r="21" spans="2:40" x14ac:dyDescent="0.25">
      <c r="E21"/>
      <c r="F21" s="89" t="s">
        <v>193</v>
      </c>
      <c r="G21" t="s">
        <v>276</v>
      </c>
      <c r="H21" s="397">
        <v>524085119.81567377</v>
      </c>
    </row>
    <row r="22" spans="2:40" x14ac:dyDescent="0.25">
      <c r="E22"/>
      <c r="F22" s="89" t="s">
        <v>194</v>
      </c>
      <c r="G22" t="s">
        <v>276</v>
      </c>
      <c r="H22" s="397">
        <v>282351351.82698816</v>
      </c>
    </row>
    <row r="23" spans="2:40" x14ac:dyDescent="0.25">
      <c r="E23"/>
      <c r="F23" s="96" t="s">
        <v>195</v>
      </c>
      <c r="G23" s="91" t="s">
        <v>276</v>
      </c>
      <c r="H23" s="398">
        <v>0</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1153</v>
      </c>
      <c r="E27"/>
    </row>
    <row r="28" spans="2:40" x14ac:dyDescent="0.25">
      <c r="D28" s="71"/>
      <c r="E28"/>
    </row>
    <row r="29" spans="2:40" x14ac:dyDescent="0.25">
      <c r="D29" s="71"/>
      <c r="E29" t="s">
        <v>319</v>
      </c>
      <c r="G29" t="str">
        <f>'General inputs'!G50</f>
        <v>£</v>
      </c>
      <c r="H29" s="399">
        <f>'General inputs'!H50</f>
        <v>3612859.803660627</v>
      </c>
    </row>
    <row r="30" spans="2:40" x14ac:dyDescent="0.25">
      <c r="D30" s="71"/>
      <c r="E30"/>
    </row>
    <row r="31" spans="2:40" x14ac:dyDescent="0.25">
      <c r="B31" s="70" t="s">
        <v>810</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893</v>
      </c>
      <c r="E35"/>
    </row>
    <row r="37" spans="3:40" ht="45" x14ac:dyDescent="0.25">
      <c r="C37" s="118"/>
      <c r="E37" s="60" t="s">
        <v>811</v>
      </c>
      <c r="J37" s="312" t="s">
        <v>1160</v>
      </c>
      <c r="K37" s="312" t="s">
        <v>825</v>
      </c>
      <c r="L37" s="312" t="s">
        <v>1161</v>
      </c>
      <c r="M37" s="312" t="s">
        <v>1162</v>
      </c>
      <c r="N37" s="312" t="s">
        <v>1163</v>
      </c>
      <c r="O37" s="312" t="s">
        <v>1164</v>
      </c>
      <c r="P37" s="312" t="s">
        <v>1165</v>
      </c>
      <c r="Q37" s="312" t="s">
        <v>826</v>
      </c>
      <c r="R37" s="312" t="s">
        <v>904</v>
      </c>
      <c r="S37" s="312" t="s">
        <v>905</v>
      </c>
      <c r="T37" s="312" t="s">
        <v>906</v>
      </c>
      <c r="U37" s="312" t="s">
        <v>907</v>
      </c>
      <c r="V37" s="312" t="s">
        <v>908</v>
      </c>
      <c r="W37" s="312" t="s">
        <v>909</v>
      </c>
      <c r="X37" s="312" t="s">
        <v>910</v>
      </c>
      <c r="Y37" s="312" t="s">
        <v>911</v>
      </c>
      <c r="Z37" s="312" t="s">
        <v>912</v>
      </c>
      <c r="AA37" s="312" t="s">
        <v>913</v>
      </c>
      <c r="AB37" s="312" t="s">
        <v>914</v>
      </c>
      <c r="AC37" s="312" t="s">
        <v>915</v>
      </c>
      <c r="AD37" s="312" t="s">
        <v>916</v>
      </c>
      <c r="AE37" s="312" t="s">
        <v>917</v>
      </c>
      <c r="AF37" s="312" t="s">
        <v>918</v>
      </c>
      <c r="AG37" s="312" t="s">
        <v>835</v>
      </c>
      <c r="AH37" s="312" t="s">
        <v>827</v>
      </c>
      <c r="AI37" s="312" t="s">
        <v>828</v>
      </c>
      <c r="AJ37" s="312" t="s">
        <v>829</v>
      </c>
      <c r="AK37" s="312" t="s">
        <v>830</v>
      </c>
      <c r="AL37" s="312" t="s">
        <v>831</v>
      </c>
    </row>
    <row r="38" spans="3:40" x14ac:dyDescent="0.25">
      <c r="C38" s="118"/>
      <c r="D38"/>
      <c r="F38" s="400" t="s">
        <v>155</v>
      </c>
      <c r="G38" s="400" t="s">
        <v>268</v>
      </c>
      <c r="H38" s="264" t="s">
        <v>770</v>
      </c>
      <c r="I38" s="264"/>
      <c r="J38" s="401">
        <f>Rounding!J110</f>
        <v>5.2938591475870105</v>
      </c>
      <c r="K38" s="401">
        <f>Rounding!K110</f>
        <v>5.2938591475870105</v>
      </c>
      <c r="L38" s="401">
        <f>Rounding!L110</f>
        <v>6.4186667388773344</v>
      </c>
      <c r="M38" s="401">
        <f>Rounding!M110</f>
        <v>6.4186667388773344</v>
      </c>
      <c r="N38" s="401">
        <f>Rounding!N110</f>
        <v>6.4186667388773344</v>
      </c>
      <c r="O38" s="401">
        <f>Rounding!O110</f>
        <v>6.4186667388773344</v>
      </c>
      <c r="P38" s="401">
        <f>Rounding!P110</f>
        <v>6.4186667388773344</v>
      </c>
      <c r="Q38" s="401">
        <f>Rounding!Q110</f>
        <v>6.4186667388773344</v>
      </c>
      <c r="R38" s="401">
        <f>Rounding!R110</f>
        <v>4.4997596707397127</v>
      </c>
      <c r="S38" s="401">
        <f>Rounding!S110</f>
        <v>4.4997596707397127</v>
      </c>
      <c r="T38" s="401">
        <f>Rounding!T110</f>
        <v>4.4997596707397127</v>
      </c>
      <c r="U38" s="401">
        <f>Rounding!U110</f>
        <v>4.4997596707397127</v>
      </c>
      <c r="V38" s="401">
        <f>Rounding!V110</f>
        <v>4.4997596707397127</v>
      </c>
      <c r="W38" s="401">
        <f>Rounding!W110</f>
        <v>2.8296793840814214</v>
      </c>
      <c r="X38" s="401">
        <f>Rounding!X110</f>
        <v>2.8296793840814214</v>
      </c>
      <c r="Y38" s="401">
        <f>Rounding!Y110</f>
        <v>2.8296793840814214</v>
      </c>
      <c r="Z38" s="401">
        <f>Rounding!Z110</f>
        <v>2.8296793840814214</v>
      </c>
      <c r="AA38" s="401">
        <f>Rounding!AA110</f>
        <v>2.8296793840814214</v>
      </c>
      <c r="AB38" s="401">
        <f>Rounding!AB110</f>
        <v>1.9303039613019599</v>
      </c>
      <c r="AC38" s="401">
        <f>Rounding!AC110</f>
        <v>1.9303039613019599</v>
      </c>
      <c r="AD38" s="401">
        <f>Rounding!AD110</f>
        <v>1.9303039613019599</v>
      </c>
      <c r="AE38" s="401">
        <f>Rounding!AE110</f>
        <v>1.9303039613019599</v>
      </c>
      <c r="AF38" s="401">
        <f>Rounding!AF110</f>
        <v>1.9303039613019599</v>
      </c>
      <c r="AG38" s="401">
        <f>Rounding!AG110</f>
        <v>15.820158846719314</v>
      </c>
      <c r="AH38" s="401">
        <f>Rounding!AH110</f>
        <v>-3.9153163284981733</v>
      </c>
      <c r="AI38" s="401">
        <f>Rounding!AI110</f>
        <v>-3.2363520194065214</v>
      </c>
      <c r="AJ38" s="401">
        <f>Rounding!AJ110</f>
        <v>-3.9153163284981733</v>
      </c>
      <c r="AK38" s="401">
        <f>Rounding!AL110</f>
        <v>-3.2363520194065214</v>
      </c>
      <c r="AL38" s="401">
        <f>Rounding!AN110</f>
        <v>-2.1978270768307269</v>
      </c>
    </row>
    <row r="39" spans="3:40" x14ac:dyDescent="0.25">
      <c r="C39" s="118"/>
      <c r="D39"/>
      <c r="F39" s="402" t="s">
        <v>156</v>
      </c>
      <c r="G39" s="402" t="s">
        <v>268</v>
      </c>
      <c r="H39" s="266" t="s">
        <v>770</v>
      </c>
      <c r="I39" s="266"/>
      <c r="J39" s="403">
        <f>Rounding!J111</f>
        <v>1.7412053834091776</v>
      </c>
      <c r="K39" s="403">
        <f>Rounding!K111</f>
        <v>1.7412053834091776</v>
      </c>
      <c r="L39" s="403">
        <f>Rounding!L111</f>
        <v>2.1111663095790658</v>
      </c>
      <c r="M39" s="403">
        <f>Rounding!M111</f>
        <v>2.1111663095790658</v>
      </c>
      <c r="N39" s="403">
        <f>Rounding!N111</f>
        <v>2.1111663095790658</v>
      </c>
      <c r="O39" s="403">
        <f>Rounding!O111</f>
        <v>2.1111663095790658</v>
      </c>
      <c r="P39" s="403">
        <f>Rounding!P111</f>
        <v>2.1111663095790658</v>
      </c>
      <c r="Q39" s="403">
        <f>Rounding!Q111</f>
        <v>2.1111663095790658</v>
      </c>
      <c r="R39" s="403">
        <f>Rounding!R111</f>
        <v>1.4431517765522237</v>
      </c>
      <c r="S39" s="403">
        <f>Rounding!S111</f>
        <v>1.4431517765522237</v>
      </c>
      <c r="T39" s="403">
        <f>Rounding!T111</f>
        <v>1.4431517765522237</v>
      </c>
      <c r="U39" s="403">
        <f>Rounding!U111</f>
        <v>1.4431517765522237</v>
      </c>
      <c r="V39" s="403">
        <f>Rounding!V111</f>
        <v>1.4431517765522237</v>
      </c>
      <c r="W39" s="403">
        <f>Rounding!W111</f>
        <v>0.85352965281035553</v>
      </c>
      <c r="X39" s="403">
        <f>Rounding!X111</f>
        <v>0.85352965281035553</v>
      </c>
      <c r="Y39" s="403">
        <f>Rounding!Y111</f>
        <v>0.85352965281035553</v>
      </c>
      <c r="Z39" s="403">
        <f>Rounding!Z111</f>
        <v>0.85352965281035553</v>
      </c>
      <c r="AA39" s="403">
        <f>Rounding!AA111</f>
        <v>0.85352965281035553</v>
      </c>
      <c r="AB39" s="403">
        <f>Rounding!AB111</f>
        <v>0.54619707647398175</v>
      </c>
      <c r="AC39" s="403">
        <f>Rounding!AC111</f>
        <v>0.54619707647398175</v>
      </c>
      <c r="AD39" s="403">
        <f>Rounding!AD111</f>
        <v>0.54619707647398175</v>
      </c>
      <c r="AE39" s="403">
        <f>Rounding!AE111</f>
        <v>0.54619707647398175</v>
      </c>
      <c r="AF39" s="403">
        <f>Rounding!AF111</f>
        <v>0.54619707647398175</v>
      </c>
      <c r="AG39" s="403">
        <f>Rounding!AG111</f>
        <v>2.1454869911103511</v>
      </c>
      <c r="AH39" s="403">
        <f>Rounding!AH111</f>
        <v>-1.287788299399371</v>
      </c>
      <c r="AI39" s="403">
        <f>Rounding!AI111</f>
        <v>-1.0485928038384174</v>
      </c>
      <c r="AJ39" s="403">
        <f>Rounding!AJ111</f>
        <v>-1.287788299399371</v>
      </c>
      <c r="AK39" s="403">
        <f>Rounding!AL111</f>
        <v>-1.0485928038384174</v>
      </c>
      <c r="AL39" s="403">
        <f>Rounding!AN111</f>
        <v>-0.66294103578575292</v>
      </c>
    </row>
    <row r="40" spans="3:40" x14ac:dyDescent="0.25">
      <c r="C40" s="118"/>
      <c r="D40"/>
      <c r="F40" s="402" t="s">
        <v>157</v>
      </c>
      <c r="G40" s="402" t="s">
        <v>268</v>
      </c>
      <c r="H40" s="266" t="s">
        <v>770</v>
      </c>
      <c r="I40" s="266"/>
      <c r="J40" s="403">
        <f>Rounding!J112</f>
        <v>0.25725070876601308</v>
      </c>
      <c r="K40" s="403">
        <f>Rounding!K112</f>
        <v>0.25725070876601308</v>
      </c>
      <c r="L40" s="403">
        <f>Rounding!L112</f>
        <v>0.3119098037698384</v>
      </c>
      <c r="M40" s="403">
        <f>Rounding!M112</f>
        <v>0.3119098037698384</v>
      </c>
      <c r="N40" s="403">
        <f>Rounding!N112</f>
        <v>0.3119098037698384</v>
      </c>
      <c r="O40" s="403">
        <f>Rounding!O112</f>
        <v>0.3119098037698384</v>
      </c>
      <c r="P40" s="403">
        <f>Rounding!P112</f>
        <v>0.3119098037698384</v>
      </c>
      <c r="Q40" s="403">
        <f>Rounding!Q112</f>
        <v>0.3119098037698384</v>
      </c>
      <c r="R40" s="403">
        <f>Rounding!R112</f>
        <v>0.20756011439443356</v>
      </c>
      <c r="S40" s="403">
        <f>Rounding!S112</f>
        <v>0.20756011439443356</v>
      </c>
      <c r="T40" s="403">
        <f>Rounding!T112</f>
        <v>0.20756011439443356</v>
      </c>
      <c r="U40" s="403">
        <f>Rounding!U112</f>
        <v>0.20756011439443356</v>
      </c>
      <c r="V40" s="403">
        <f>Rounding!V112</f>
        <v>0.20756011439443356</v>
      </c>
      <c r="W40" s="403">
        <f>Rounding!W112</f>
        <v>0.11426321740343361</v>
      </c>
      <c r="X40" s="403">
        <f>Rounding!X112</f>
        <v>0.11426321740343361</v>
      </c>
      <c r="Y40" s="403">
        <f>Rounding!Y112</f>
        <v>0.11426321740343361</v>
      </c>
      <c r="Z40" s="403">
        <f>Rounding!Z112</f>
        <v>0.11426321740343361</v>
      </c>
      <c r="AA40" s="403">
        <f>Rounding!AA112</f>
        <v>0.11426321740343361</v>
      </c>
      <c r="AB40" s="403">
        <f>Rounding!AB112</f>
        <v>6.7090042106194347E-2</v>
      </c>
      <c r="AC40" s="403">
        <f>Rounding!AC112</f>
        <v>6.7090042106194347E-2</v>
      </c>
      <c r="AD40" s="403">
        <f>Rounding!AD112</f>
        <v>6.7090042106194347E-2</v>
      </c>
      <c r="AE40" s="403">
        <f>Rounding!AE112</f>
        <v>6.7090042106194347E-2</v>
      </c>
      <c r="AF40" s="403">
        <f>Rounding!AF112</f>
        <v>6.7090042106194347E-2</v>
      </c>
      <c r="AG40" s="403">
        <f>Rounding!AG112</f>
        <v>0.78456393691528126</v>
      </c>
      <c r="AH40" s="403">
        <f>Rounding!AH112</f>
        <v>-0.19026156013395229</v>
      </c>
      <c r="AI40" s="403">
        <f>Rounding!AI112</f>
        <v>-0.15248656530221741</v>
      </c>
      <c r="AJ40" s="403">
        <f>Rounding!AJ112</f>
        <v>-0.19026156013395229</v>
      </c>
      <c r="AK40" s="403">
        <f>Rounding!AL112</f>
        <v>-0.15248656530221741</v>
      </c>
      <c r="AL40" s="403">
        <f>Rounding!AN112</f>
        <v>-8.874885066761197E-2</v>
      </c>
    </row>
    <row r="41" spans="3:40" x14ac:dyDescent="0.25">
      <c r="C41" s="118"/>
      <c r="D41"/>
      <c r="F41" s="402" t="s">
        <v>158</v>
      </c>
      <c r="G41" s="402" t="s">
        <v>269</v>
      </c>
      <c r="H41" t="s">
        <v>770</v>
      </c>
      <c r="J41" s="399">
        <f>Rounding!J113</f>
        <v>16.994249399480449</v>
      </c>
      <c r="K41" s="399">
        <f>Rounding!K113</f>
        <v>0</v>
      </c>
      <c r="L41" s="399">
        <f>Rounding!L113</f>
        <v>12.30635267121273</v>
      </c>
      <c r="M41" s="399">
        <f>Rounding!M113</f>
        <v>16.358423566633245</v>
      </c>
      <c r="N41" s="399">
        <f>Rounding!N113</f>
        <v>22.652312843070295</v>
      </c>
      <c r="O41" s="399">
        <f>Rounding!O113</f>
        <v>36.91455580284665</v>
      </c>
      <c r="P41" s="399">
        <f>Rounding!P113</f>
        <v>78.248890561398483</v>
      </c>
      <c r="Q41" s="399">
        <f>Rounding!Q113</f>
        <v>0</v>
      </c>
      <c r="R41" s="399">
        <f>Rounding!R113</f>
        <v>16.484720441239212</v>
      </c>
      <c r="S41" s="399">
        <f>Rounding!S113</f>
        <v>126.71195676559589</v>
      </c>
      <c r="T41" s="399">
        <f>Rounding!T113</f>
        <v>231.22239496885547</v>
      </c>
      <c r="U41" s="399">
        <f>Rounding!U113</f>
        <v>343.16092242287743</v>
      </c>
      <c r="V41" s="399">
        <f>Rounding!V113</f>
        <v>719.99006030796056</v>
      </c>
      <c r="W41" s="399">
        <f>Rounding!W113</f>
        <v>16.484720441239212</v>
      </c>
      <c r="X41" s="399">
        <f>Rounding!X113</f>
        <v>126.71195676559586</v>
      </c>
      <c r="Y41" s="399">
        <f>Rounding!Y113</f>
        <v>231.22239496885547</v>
      </c>
      <c r="Z41" s="399">
        <f>Rounding!Z113</f>
        <v>343.16092242287732</v>
      </c>
      <c r="AA41" s="399">
        <f>Rounding!AA113</f>
        <v>719.99006030796045</v>
      </c>
      <c r="AB41" s="399">
        <f>Rounding!AB113</f>
        <v>431.6399417186995</v>
      </c>
      <c r="AC41" s="399">
        <f>Rounding!AC113</f>
        <v>1094.1080311148753</v>
      </c>
      <c r="AD41" s="399">
        <f>Rounding!AD113</f>
        <v>2321.3336590753465</v>
      </c>
      <c r="AE41" s="399">
        <f>Rounding!AE113</f>
        <v>4527.0763207129676</v>
      </c>
      <c r="AF41" s="399">
        <f>Rounding!AF113</f>
        <v>10167.827058841594</v>
      </c>
      <c r="AG41" s="399">
        <f>Rounding!AG113</f>
        <v>0</v>
      </c>
      <c r="AH41" s="399">
        <f>Rounding!AH113</f>
        <v>0</v>
      </c>
      <c r="AI41" s="399">
        <f>Rounding!AI113</f>
        <v>0</v>
      </c>
      <c r="AJ41" s="399">
        <f>Rounding!AJ113</f>
        <v>0</v>
      </c>
      <c r="AK41" s="399">
        <f>Rounding!AL113</f>
        <v>0</v>
      </c>
      <c r="AL41" s="399">
        <f>Rounding!AN113</f>
        <v>95.926460844785012</v>
      </c>
    </row>
    <row r="42" spans="3:40" x14ac:dyDescent="0.25">
      <c r="C42" s="118"/>
      <c r="D42"/>
      <c r="F42" s="402" t="s">
        <v>159</v>
      </c>
      <c r="G42" s="402" t="s">
        <v>270</v>
      </c>
      <c r="H42" t="s">
        <v>770</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3.6682304258861356</v>
      </c>
      <c r="S42" s="399">
        <f>Rounding!S114</f>
        <v>3.6682304258861356</v>
      </c>
      <c r="T42" s="399">
        <f>Rounding!T114</f>
        <v>3.6682304258861356</v>
      </c>
      <c r="U42" s="399">
        <f>Rounding!U114</f>
        <v>3.6682304258861356</v>
      </c>
      <c r="V42" s="399">
        <f>Rounding!V114</f>
        <v>3.6682304258861356</v>
      </c>
      <c r="W42" s="399">
        <f>Rounding!W114</f>
        <v>2.862433987174307</v>
      </c>
      <c r="X42" s="399">
        <f>Rounding!X114</f>
        <v>2.862433987174307</v>
      </c>
      <c r="Y42" s="399">
        <f>Rounding!Y114</f>
        <v>2.862433987174307</v>
      </c>
      <c r="Z42" s="399">
        <f>Rounding!Z114</f>
        <v>2.862433987174307</v>
      </c>
      <c r="AA42" s="399">
        <f>Rounding!AA114</f>
        <v>2.862433987174307</v>
      </c>
      <c r="AB42" s="399">
        <f>Rounding!AB114</f>
        <v>3.3605627625627932</v>
      </c>
      <c r="AC42" s="399">
        <f>Rounding!AC114</f>
        <v>3.3605627625627932</v>
      </c>
      <c r="AD42" s="399">
        <f>Rounding!AD114</f>
        <v>3.3605627625627932</v>
      </c>
      <c r="AE42" s="399">
        <f>Rounding!AE114</f>
        <v>3.3605627625627932</v>
      </c>
      <c r="AF42" s="399">
        <f>Rounding!AF114</f>
        <v>3.3605627625627932</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160</v>
      </c>
      <c r="G43" s="402" t="s">
        <v>270</v>
      </c>
      <c r="H43" t="s">
        <v>770</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3.6682304258861356</v>
      </c>
      <c r="S43" s="399">
        <f>Rounding!S115</f>
        <v>3.6682304258861356</v>
      </c>
      <c r="T43" s="399">
        <f>Rounding!T115</f>
        <v>3.6682304258861356</v>
      </c>
      <c r="U43" s="399">
        <f>Rounding!U115</f>
        <v>3.6682304258861356</v>
      </c>
      <c r="V43" s="399">
        <f>Rounding!V115</f>
        <v>3.6682304258861356</v>
      </c>
      <c r="W43" s="399">
        <f>Rounding!W115</f>
        <v>2.862433987174307</v>
      </c>
      <c r="X43" s="399">
        <f>Rounding!X115</f>
        <v>2.862433987174307</v>
      </c>
      <c r="Y43" s="399">
        <f>Rounding!Y115</f>
        <v>2.862433987174307</v>
      </c>
      <c r="Z43" s="399">
        <f>Rounding!Z115</f>
        <v>2.862433987174307</v>
      </c>
      <c r="AA43" s="399">
        <f>Rounding!AA115</f>
        <v>2.862433987174307</v>
      </c>
      <c r="AB43" s="399">
        <f>Rounding!AB115</f>
        <v>3.3605627625627932</v>
      </c>
      <c r="AC43" s="399">
        <f>Rounding!AC115</f>
        <v>3.3605627625627932</v>
      </c>
      <c r="AD43" s="399">
        <f>Rounding!AD115</f>
        <v>3.3605627625627932</v>
      </c>
      <c r="AE43" s="399">
        <f>Rounding!AE115</f>
        <v>3.3605627625627932</v>
      </c>
      <c r="AF43" s="399">
        <f>Rounding!AF115</f>
        <v>3.3605627625627932</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161</v>
      </c>
      <c r="G44" s="404" t="s">
        <v>271</v>
      </c>
      <c r="H44" s="268" t="s">
        <v>770</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0.13347738083351493</v>
      </c>
      <c r="S44" s="405">
        <f>Rounding!S116</f>
        <v>0.13347738083351493</v>
      </c>
      <c r="T44" s="405">
        <f>Rounding!T116</f>
        <v>0.13347738083351493</v>
      </c>
      <c r="U44" s="405">
        <f>Rounding!U116</f>
        <v>0.13347738083351493</v>
      </c>
      <c r="V44" s="405">
        <f>Rounding!V116</f>
        <v>0.13347738083351493</v>
      </c>
      <c r="W44" s="405">
        <f>Rounding!W116</f>
        <v>7.6325289559681084E-2</v>
      </c>
      <c r="X44" s="405">
        <f>Rounding!X116</f>
        <v>7.6325289559681084E-2</v>
      </c>
      <c r="Y44" s="405">
        <f>Rounding!Y116</f>
        <v>7.6325289559681084E-2</v>
      </c>
      <c r="Z44" s="405">
        <f>Rounding!Z116</f>
        <v>7.6325289559681084E-2</v>
      </c>
      <c r="AA44" s="405">
        <f>Rounding!AA116</f>
        <v>7.6325289559681084E-2</v>
      </c>
      <c r="AB44" s="405">
        <f>Rounding!AB116</f>
        <v>4.7259125728394052E-2</v>
      </c>
      <c r="AC44" s="405">
        <f>Rounding!AC116</f>
        <v>4.7259125728394052E-2</v>
      </c>
      <c r="AD44" s="405">
        <f>Rounding!AD116</f>
        <v>4.7259125728394052E-2</v>
      </c>
      <c r="AE44" s="405">
        <f>Rounding!AE116</f>
        <v>4.7259125728394052E-2</v>
      </c>
      <c r="AF44" s="405">
        <f>Rounding!AF116</f>
        <v>4.7259125728394052E-2</v>
      </c>
      <c r="AG44" s="405">
        <f>Rounding!AG116</f>
        <v>0</v>
      </c>
      <c r="AH44" s="405">
        <f>Rounding!AH116</f>
        <v>0</v>
      </c>
      <c r="AI44" s="405">
        <f>Rounding!AI116</f>
        <v>0</v>
      </c>
      <c r="AJ44" s="405">
        <f>Rounding!AJ116</f>
        <v>0.10555146965941306</v>
      </c>
      <c r="AK44" s="405">
        <f>Rounding!AL116</f>
        <v>9.6832806963468576E-2</v>
      </c>
      <c r="AL44" s="405">
        <f>Rounding!AN116</f>
        <v>8.46405248447962E-2</v>
      </c>
    </row>
    <row r="45" spans="3:40" x14ac:dyDescent="0.25">
      <c r="D45"/>
      <c r="E45"/>
      <c r="F45" s="406"/>
    </row>
    <row r="46" spans="3:40" x14ac:dyDescent="0.25">
      <c r="D46" s="71" t="s">
        <v>892</v>
      </c>
      <c r="E46"/>
    </row>
    <row r="48" spans="3:40" ht="60" customHeight="1" x14ac:dyDescent="0.25">
      <c r="D48"/>
      <c r="E48"/>
      <c r="F48" s="406"/>
      <c r="J48" s="312" t="s">
        <v>1160</v>
      </c>
      <c r="K48" s="312" t="s">
        <v>825</v>
      </c>
      <c r="L48" s="312" t="s">
        <v>1161</v>
      </c>
      <c r="M48" s="312" t="s">
        <v>1162</v>
      </c>
      <c r="N48" s="312" t="s">
        <v>1163</v>
      </c>
      <c r="O48" s="312" t="s">
        <v>1164</v>
      </c>
      <c r="P48" s="312" t="s">
        <v>1165</v>
      </c>
      <c r="Q48" s="312" t="s">
        <v>826</v>
      </c>
      <c r="R48" s="312" t="s">
        <v>904</v>
      </c>
      <c r="S48" s="312" t="s">
        <v>905</v>
      </c>
      <c r="T48" s="312" t="s">
        <v>906</v>
      </c>
      <c r="U48" s="312" t="s">
        <v>907</v>
      </c>
      <c r="V48" s="312" t="s">
        <v>908</v>
      </c>
      <c r="W48" s="312" t="s">
        <v>909</v>
      </c>
      <c r="X48" s="312" t="s">
        <v>910</v>
      </c>
      <c r="Y48" s="312" t="s">
        <v>911</v>
      </c>
      <c r="Z48" s="312" t="s">
        <v>912</v>
      </c>
      <c r="AA48" s="312" t="s">
        <v>913</v>
      </c>
      <c r="AB48" s="312" t="s">
        <v>914</v>
      </c>
      <c r="AC48" s="312" t="s">
        <v>915</v>
      </c>
      <c r="AD48" s="312" t="s">
        <v>916</v>
      </c>
      <c r="AE48" s="312" t="s">
        <v>917</v>
      </c>
      <c r="AF48" s="312" t="s">
        <v>918</v>
      </c>
      <c r="AG48" s="312" t="s">
        <v>835</v>
      </c>
      <c r="AH48" s="312" t="s">
        <v>827</v>
      </c>
      <c r="AI48" s="312" t="s">
        <v>828</v>
      </c>
      <c r="AJ48" s="312" t="s">
        <v>829</v>
      </c>
      <c r="AK48" s="312" t="s">
        <v>830</v>
      </c>
      <c r="AL48" s="312" t="s">
        <v>831</v>
      </c>
    </row>
    <row r="49" spans="2:40" x14ac:dyDescent="0.25">
      <c r="D49"/>
      <c r="E49" t="s">
        <v>889</v>
      </c>
      <c r="F49" s="406"/>
      <c r="G49" t="s">
        <v>269</v>
      </c>
      <c r="J49" s="397">
        <f>Rounding!J47</f>
        <v>-2.3693159876904436E-3</v>
      </c>
      <c r="K49" s="397">
        <f>Rounding!K47</f>
        <v>0</v>
      </c>
      <c r="L49" s="397">
        <f>Rounding!L47</f>
        <v>-2.3693159876904436E-3</v>
      </c>
      <c r="M49" s="397">
        <f>Rounding!M47</f>
        <v>-2.3693159876904436E-3</v>
      </c>
      <c r="N49" s="397">
        <f>Rounding!N47</f>
        <v>-2.3693159876904436E-3</v>
      </c>
      <c r="O49" s="397">
        <f>Rounding!O47</f>
        <v>-2.3693159876904436E-3</v>
      </c>
      <c r="P49" s="397">
        <f>Rounding!P47</f>
        <v>-2.3693159876904436E-3</v>
      </c>
      <c r="Q49" s="397">
        <f>Rounding!Q47</f>
        <v>0</v>
      </c>
      <c r="R49" s="397">
        <f>Rounding!R47</f>
        <v>-2.3693159876904436E-3</v>
      </c>
      <c r="S49" s="397">
        <f>Rounding!S47</f>
        <v>-2.3693159876904436E-3</v>
      </c>
      <c r="T49" s="397">
        <f>Rounding!T47</f>
        <v>-2.3693159876904436E-3</v>
      </c>
      <c r="U49" s="397">
        <f>Rounding!U47</f>
        <v>-2.3693159876904436E-3</v>
      </c>
      <c r="V49" s="397">
        <f>Rounding!V47</f>
        <v>-2.3693159876904436E-3</v>
      </c>
      <c r="W49" s="397">
        <f>Rounding!W47</f>
        <v>-2.3693159876904436E-3</v>
      </c>
      <c r="X49" s="397">
        <f>Rounding!X47</f>
        <v>-2.3693159876904436E-3</v>
      </c>
      <c r="Y49" s="397">
        <f>Rounding!Y47</f>
        <v>-2.3693159876904436E-3</v>
      </c>
      <c r="Z49" s="397">
        <f>Rounding!Z47</f>
        <v>-2.3693159876904436E-3</v>
      </c>
      <c r="AA49" s="397">
        <f>Rounding!AA47</f>
        <v>-2.3693159876904436E-3</v>
      </c>
      <c r="AB49" s="397">
        <f>Rounding!AB47</f>
        <v>-2.3693159876904436E-3</v>
      </c>
      <c r="AC49" s="397">
        <f>Rounding!AC47</f>
        <v>-2.3693159876904436E-3</v>
      </c>
      <c r="AD49" s="397">
        <f>Rounding!AD47</f>
        <v>-2.3693159876904436E-3</v>
      </c>
      <c r="AE49" s="397">
        <f>Rounding!AE47</f>
        <v>-2.3693159876904436E-3</v>
      </c>
      <c r="AF49" s="397">
        <f>Rounding!AF47</f>
        <v>-2.3693159876904436E-3</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812</v>
      </c>
      <c r="E53"/>
    </row>
    <row r="55" spans="2:40" x14ac:dyDescent="0.25">
      <c r="D55"/>
      <c r="F55" s="2"/>
      <c r="G55" s="2"/>
      <c r="H55" s="2"/>
      <c r="I55" s="2"/>
      <c r="J55" s="102" t="s">
        <v>190</v>
      </c>
      <c r="K55" s="102" t="s">
        <v>191</v>
      </c>
      <c r="L55" s="102" t="s">
        <v>192</v>
      </c>
      <c r="M55" s="102" t="s">
        <v>193</v>
      </c>
      <c r="N55" s="102" t="s">
        <v>194</v>
      </c>
      <c r="O55" s="102" t="s">
        <v>195</v>
      </c>
      <c r="P55" s="102" t="s">
        <v>196</v>
      </c>
      <c r="Q55" s="102" t="s">
        <v>197</v>
      </c>
      <c r="R55" s="102" t="s">
        <v>198</v>
      </c>
      <c r="S55" s="102" t="s">
        <v>374</v>
      </c>
      <c r="T55" s="102" t="s">
        <v>375</v>
      </c>
    </row>
    <row r="56" spans="2:40" x14ac:dyDescent="0.25">
      <c r="D56"/>
      <c r="E56" s="407" t="s">
        <v>823</v>
      </c>
      <c r="F56" s="407"/>
      <c r="G56" s="96" t="s">
        <v>166</v>
      </c>
      <c r="H56" s="91"/>
      <c r="I56" s="91"/>
      <c r="J56" s="408"/>
      <c r="K56" s="409">
        <f t="array" ref="K56:O56">TRANSPOSE('System peak demand'!H227:H231)</f>
        <v>0.53947503375864536</v>
      </c>
      <c r="L56" s="409">
        <v>0.53947503375864536</v>
      </c>
      <c r="M56" s="409">
        <v>1.0832536933546688</v>
      </c>
      <c r="N56" s="409">
        <v>1.0832536933546688</v>
      </c>
      <c r="O56" s="409">
        <v>0.53947503375864536</v>
      </c>
      <c r="P56" s="408"/>
      <c r="Q56" s="408"/>
      <c r="R56" s="408"/>
      <c r="S56" s="408"/>
      <c r="T56" s="408"/>
    </row>
    <row r="57" spans="2:40" x14ac:dyDescent="0.25">
      <c r="D57"/>
      <c r="E57" s="410" t="s">
        <v>824</v>
      </c>
      <c r="F57" s="410"/>
      <c r="G57" s="151" t="s">
        <v>517</v>
      </c>
      <c r="H57" s="151"/>
      <c r="I57" s="151"/>
      <c r="J57" s="411">
        <f t="array" ref="J57:O57">TRANSPOSE('System peak demand'!H154:H159)</f>
        <v>3022674.1426482899</v>
      </c>
      <c r="K57" s="411">
        <v>2983189.8825656469</v>
      </c>
      <c r="L57" s="411">
        <v>2974328.9225184214</v>
      </c>
      <c r="M57" s="411">
        <v>2903716.9133875039</v>
      </c>
      <c r="N57" s="411">
        <v>2886619.4634558805</v>
      </c>
      <c r="O57" s="411">
        <v>0</v>
      </c>
      <c r="P57" s="237"/>
      <c r="Q57" s="237"/>
      <c r="R57" s="237"/>
      <c r="S57" s="237"/>
      <c r="T57" s="237"/>
    </row>
    <row r="58" spans="2:40" x14ac:dyDescent="0.25">
      <c r="D58"/>
      <c r="E58" s="410" t="s">
        <v>813</v>
      </c>
      <c r="F58" s="410"/>
      <c r="G58" s="151" t="s">
        <v>276</v>
      </c>
      <c r="H58" s="151"/>
      <c r="I58" s="151"/>
      <c r="J58" s="237"/>
      <c r="K58" s="411">
        <f>'Unit costs'!L108</f>
        <v>378969653.97090429</v>
      </c>
      <c r="L58" s="411">
        <f>'Unit costs'!M108</f>
        <v>151658184.81236148</v>
      </c>
      <c r="M58" s="411">
        <f>'Unit costs'!N108</f>
        <v>524085119.81567377</v>
      </c>
      <c r="N58" s="411">
        <f>'Unit costs'!O108</f>
        <v>282351351.82698816</v>
      </c>
      <c r="O58" s="411">
        <f>'Unit costs'!P108</f>
        <v>0</v>
      </c>
      <c r="P58" s="411">
        <f>'Unit costs'!Q108</f>
        <v>850579742.08412981</v>
      </c>
      <c r="Q58" s="411">
        <f>'Unit costs'!R108</f>
        <v>244780736.20715559</v>
      </c>
      <c r="R58" s="411">
        <f>'Unit costs'!S108</f>
        <v>442757220.24811745</v>
      </c>
      <c r="S58" s="411">
        <f>'Unit costs'!T108</f>
        <v>3617474285.1969399</v>
      </c>
      <c r="T58" s="411">
        <f>'Unit costs'!U108</f>
        <v>128594981.64682969</v>
      </c>
    </row>
    <row r="59" spans="2:40" x14ac:dyDescent="0.25">
      <c r="D59"/>
      <c r="E59" s="412" t="s">
        <v>390</v>
      </c>
      <c r="F59" s="412"/>
      <c r="G59" s="90" t="s">
        <v>282</v>
      </c>
      <c r="H59" s="90"/>
      <c r="I59" s="90"/>
      <c r="J59" s="396">
        <f>'Load &amp; loss characteristics'!K29</f>
        <v>1</v>
      </c>
      <c r="K59" s="396">
        <f>'Load &amp; loss characteristics'!L29</f>
        <v>1.0069999999999999</v>
      </c>
      <c r="L59" s="396">
        <f>'Load &amp; loss characteristics'!M29</f>
        <v>1.01</v>
      </c>
      <c r="M59" s="396">
        <f>'Load &amp; loss characteristics'!N29</f>
        <v>1.0129999999999999</v>
      </c>
      <c r="N59" s="396">
        <f>'Load &amp; loss characteristics'!O29</f>
        <v>1.0189999999999999</v>
      </c>
      <c r="O59" s="396">
        <f>'Load &amp; loss characteristics'!P29</f>
        <v>1.0189999999999999</v>
      </c>
      <c r="P59" s="112"/>
      <c r="Q59" s="112"/>
      <c r="R59" s="112"/>
      <c r="S59" s="112"/>
      <c r="T59" s="112"/>
    </row>
    <row r="60" spans="2:40" x14ac:dyDescent="0.25">
      <c r="D60"/>
      <c r="E60"/>
      <c r="F60" s="406"/>
    </row>
    <row r="61" spans="2:40" x14ac:dyDescent="0.25">
      <c r="B61" s="70" t="s">
        <v>814</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815</v>
      </c>
      <c r="E65"/>
    </row>
    <row r="67" spans="3:40" ht="45" x14ac:dyDescent="0.25">
      <c r="F67" s="2"/>
      <c r="G67" s="2"/>
      <c r="H67" s="2"/>
      <c r="I67" s="2"/>
      <c r="J67" s="312" t="s">
        <v>1160</v>
      </c>
      <c r="K67" s="312" t="s">
        <v>825</v>
      </c>
      <c r="L67" s="312" t="s">
        <v>1161</v>
      </c>
      <c r="M67" s="312" t="s">
        <v>1162</v>
      </c>
      <c r="N67" s="312" t="s">
        <v>1163</v>
      </c>
      <c r="O67" s="312" t="s">
        <v>1164</v>
      </c>
      <c r="P67" s="312" t="s">
        <v>1165</v>
      </c>
      <c r="Q67" s="312" t="s">
        <v>826</v>
      </c>
      <c r="R67" s="312" t="s">
        <v>904</v>
      </c>
      <c r="S67" s="312" t="s">
        <v>905</v>
      </c>
      <c r="T67" s="312" t="s">
        <v>906</v>
      </c>
      <c r="U67" s="312" t="s">
        <v>907</v>
      </c>
      <c r="V67" s="312" t="s">
        <v>908</v>
      </c>
      <c r="W67" s="312" t="s">
        <v>909</v>
      </c>
      <c r="X67" s="312" t="s">
        <v>910</v>
      </c>
      <c r="Y67" s="312" t="s">
        <v>911</v>
      </c>
      <c r="Z67" s="312" t="s">
        <v>912</v>
      </c>
      <c r="AA67" s="312" t="s">
        <v>913</v>
      </c>
      <c r="AB67" s="312" t="s">
        <v>914</v>
      </c>
      <c r="AC67" s="312" t="s">
        <v>915</v>
      </c>
      <c r="AD67" s="312" t="s">
        <v>916</v>
      </c>
      <c r="AE67" s="312" t="s">
        <v>917</v>
      </c>
      <c r="AF67" s="312" t="s">
        <v>918</v>
      </c>
      <c r="AG67" s="312" t="s">
        <v>835</v>
      </c>
      <c r="AH67" s="312" t="s">
        <v>827</v>
      </c>
      <c r="AI67" s="312" t="s">
        <v>828</v>
      </c>
      <c r="AJ67" s="312" t="s">
        <v>829</v>
      </c>
      <c r="AK67" s="312" t="s">
        <v>830</v>
      </c>
      <c r="AL67" s="312" t="s">
        <v>831</v>
      </c>
    </row>
    <row r="68" spans="3:40" x14ac:dyDescent="0.25">
      <c r="C68" s="118"/>
      <c r="D68"/>
      <c r="E68" s="91" t="s">
        <v>768</v>
      </c>
      <c r="F68" s="91"/>
      <c r="G68" s="139" t="s">
        <v>276</v>
      </c>
      <c r="H68" s="91" t="s">
        <v>770</v>
      </c>
      <c r="I68" s="91"/>
      <c r="J68" s="398">
        <f>'Net revenue summary'!J140</f>
        <v>105.08660160356214</v>
      </c>
      <c r="K68" s="398">
        <f>'Net revenue summary'!K140</f>
        <v>21.515650702161906</v>
      </c>
      <c r="L68" s="398">
        <f>'Net revenue summary'!L140</f>
        <v>207.54129056048123</v>
      </c>
      <c r="M68" s="398">
        <f>'Net revenue summary'!M140</f>
        <v>110.16081566121476</v>
      </c>
      <c r="N68" s="398">
        <f>'Net revenue summary'!N140</f>
        <v>216.10187499575716</v>
      </c>
      <c r="O68" s="398">
        <f>'Net revenue summary'!O140</f>
        <v>448.7717132100916</v>
      </c>
      <c r="P68" s="398">
        <f>'Net revenue summary'!P140</f>
        <v>1110.2056114205509</v>
      </c>
      <c r="Q68" s="398">
        <f>'Net revenue summary'!Q140</f>
        <v>79.198229574959768</v>
      </c>
      <c r="R68" s="398">
        <f>'Net revenue summary'!R140</f>
        <v>493.79576257124501</v>
      </c>
      <c r="S68" s="398">
        <f>'Net revenue summary'!S140</f>
        <v>2091.6466459912117</v>
      </c>
      <c r="T68" s="398">
        <f>'Net revenue summary'!T140</f>
        <v>4303.3479964606022</v>
      </c>
      <c r="U68" s="398">
        <f>'Net revenue summary'!U140</f>
        <v>6661.8738360492553</v>
      </c>
      <c r="V68" s="398">
        <f>'Net revenue summary'!V140</f>
        <v>12729.302649005334</v>
      </c>
      <c r="W68" s="398">
        <f>'Net revenue summary'!W140</f>
        <v>349.21989620040353</v>
      </c>
      <c r="X68" s="398">
        <f>'Net revenue summary'!X140</f>
        <v>5826.0222330045526</v>
      </c>
      <c r="Y68" s="398">
        <f>'Net revenue summary'!Y140</f>
        <v>4478.7017974479131</v>
      </c>
      <c r="Z68" s="398">
        <f>'Net revenue summary'!Z140</f>
        <v>6141.9077136225224</v>
      </c>
      <c r="AA68" s="398">
        <f>'Net revenue summary'!AA140</f>
        <v>12680.579453279372</v>
      </c>
      <c r="AB68" s="398">
        <f>'Net revenue summary'!AB140</f>
        <v>3844.2372720900548</v>
      </c>
      <c r="AC68" s="398">
        <f>'Net revenue summary'!AC140</f>
        <v>9464.1356474099211</v>
      </c>
      <c r="AD68" s="398">
        <f>'Net revenue summary'!AD140</f>
        <v>23551.453412590516</v>
      </c>
      <c r="AE68" s="398">
        <f>'Net revenue summary'!AE140</f>
        <v>47069.548107271796</v>
      </c>
      <c r="AF68" s="398">
        <f>'Net revenue summary'!AF140</f>
        <v>109819.14346892276</v>
      </c>
      <c r="AG68" s="398">
        <f>'Net revenue summary'!AG140</f>
        <v>4149.6669678936159</v>
      </c>
      <c r="AH68" s="398">
        <f>'Net revenue summary'!AH140</f>
        <v>-63.805522876841266</v>
      </c>
      <c r="AI68" s="398">
        <f>'Net revenue summary'!AI140</f>
        <v>0</v>
      </c>
      <c r="AJ68" s="398">
        <f>'Net revenue summary'!AJ140</f>
        <v>-809.39860958995826</v>
      </c>
      <c r="AK68" s="398">
        <f>'Net revenue summary'!AL140</f>
        <v>-2068.4066205277772</v>
      </c>
      <c r="AL68" s="398">
        <f>'Net revenue summary'!AN140</f>
        <v>-16824.643472814685</v>
      </c>
    </row>
    <row r="69" spans="3:40" x14ac:dyDescent="0.25">
      <c r="C69" s="118"/>
      <c r="D69"/>
      <c r="E69" s="151" t="s">
        <v>773</v>
      </c>
      <c r="F69" s="151"/>
      <c r="G69" s="360" t="s">
        <v>268</v>
      </c>
      <c r="H69" s="413" t="s">
        <v>770</v>
      </c>
      <c r="I69" s="413"/>
      <c r="J69" s="414">
        <f>'Net revenue summary'!J146</f>
        <v>3.6394928098990649</v>
      </c>
      <c r="K69" s="414">
        <f>'Net revenue summary'!K146</f>
        <v>0.77473480096570591</v>
      </c>
      <c r="L69" s="414">
        <f>'Net revenue summary'!L146</f>
        <v>2.3729282033667798</v>
      </c>
      <c r="M69" s="414">
        <f>'Net revenue summary'!M146</f>
        <v>3.937596116473272</v>
      </c>
      <c r="N69" s="414">
        <f>'Net revenue summary'!N146</f>
        <v>2.9131099373228704</v>
      </c>
      <c r="O69" s="414">
        <f>'Net revenue summary'!O146</f>
        <v>2.5393293216561519</v>
      </c>
      <c r="P69" s="414">
        <f>'Net revenue summary'!P146</f>
        <v>2.345947215848168</v>
      </c>
      <c r="Q69" s="414">
        <f>'Net revenue summary'!Q146</f>
        <v>1.0027191612866135</v>
      </c>
      <c r="R69" s="414">
        <f>'Net revenue summary'!R146</f>
        <v>11.979564921760613</v>
      </c>
      <c r="S69" s="414">
        <f>'Net revenue summary'!S146</f>
        <v>2.6703594162516771</v>
      </c>
      <c r="T69" s="414">
        <f>'Net revenue summary'!T146</f>
        <v>2.7934441268538097</v>
      </c>
      <c r="U69" s="414">
        <f>'Net revenue summary'!U146</f>
        <v>2.8448709728330468</v>
      </c>
      <c r="V69" s="414">
        <f>'Net revenue summary'!V146</f>
        <v>2.8814792704169925</v>
      </c>
      <c r="W69" s="414">
        <f>'Net revenue summary'!W146</f>
        <v>37.363271745430652</v>
      </c>
      <c r="X69" s="414">
        <f>'Net revenue summary'!X146</f>
        <v>0.89689252062018743</v>
      </c>
      <c r="Y69" s="414">
        <f>'Net revenue summary'!Y146</f>
        <v>1.4411952545620006</v>
      </c>
      <c r="Z69" s="414">
        <f>'Net revenue summary'!Z146</f>
        <v>1.477544497838672</v>
      </c>
      <c r="AA69" s="414">
        <f>'Net revenue summary'!AA146</f>
        <v>1.7538416445290568</v>
      </c>
      <c r="AB69" s="414">
        <f>'Net revenue summary'!AB146</f>
        <v>4.9595098733704193</v>
      </c>
      <c r="AC69" s="414">
        <f>'Net revenue summary'!AC146</f>
        <v>1.9818248500371751</v>
      </c>
      <c r="AD69" s="414">
        <f>'Net revenue summary'!AD146</f>
        <v>1.7171776942734851</v>
      </c>
      <c r="AE69" s="414">
        <f>'Net revenue summary'!AE146</f>
        <v>1.5812538479882765</v>
      </c>
      <c r="AF69" s="414">
        <f>'Net revenue summary'!AF146</f>
        <v>1.5458532182646898</v>
      </c>
      <c r="AG69" s="414">
        <f>'Net revenue summary'!AG146</f>
        <v>1.8925720229312983</v>
      </c>
      <c r="AH69" s="414">
        <f>'Net revenue summary'!AH146</f>
        <v>-1.2376437382774126</v>
      </c>
      <c r="AI69" s="414">
        <f>'Net revenue summary'!AI146</f>
        <v>0</v>
      </c>
      <c r="AJ69" s="414">
        <f>'Net revenue summary'!AJ146</f>
        <v>-1.0422322319960218</v>
      </c>
      <c r="AK69" s="414">
        <f>'Net revenue summary'!AL146</f>
        <v>-0.76815055633184559</v>
      </c>
      <c r="AL69" s="414">
        <f>'Net revenue summary'!AN146</f>
        <v>-0.59634369634988538</v>
      </c>
    </row>
    <row r="70" spans="3:40" x14ac:dyDescent="0.25">
      <c r="C70" s="118"/>
      <c r="D70"/>
      <c r="E70" s="151" t="s">
        <v>782</v>
      </c>
      <c r="F70" s="151"/>
      <c r="G70" s="151" t="s">
        <v>166</v>
      </c>
      <c r="H70" s="151" t="s">
        <v>770</v>
      </c>
      <c r="I70" s="151"/>
      <c r="J70" s="415">
        <f>'Net revenue summary'!J172</f>
        <v>-0.22076208252819857</v>
      </c>
      <c r="K70" s="415">
        <f>'Net revenue summary'!K172</f>
        <v>0.2137178267031119</v>
      </c>
      <c r="L70" s="415">
        <f>'Net revenue summary'!L172</f>
        <v>0.73121495008613624</v>
      </c>
      <c r="M70" s="415">
        <f>'Net revenue summary'!M172</f>
        <v>8.2016109272055521E-2</v>
      </c>
      <c r="N70" s="415">
        <f>'Net revenue summary'!N172</f>
        <v>-0.21226549848255458</v>
      </c>
      <c r="O70" s="415">
        <f>'Net revenue summary'!O172</f>
        <v>-0.30396349825368502</v>
      </c>
      <c r="P70" s="415">
        <f>'Net revenue summary'!P172</f>
        <v>-0.39580781798529285</v>
      </c>
      <c r="Q70" s="415">
        <f>'Net revenue summary'!Q172</f>
        <v>0.33804358585284777</v>
      </c>
      <c r="R70" s="415">
        <f>'Net revenue summary'!R172</f>
        <v>1.4629331032378388</v>
      </c>
      <c r="S70" s="415">
        <f>'Net revenue summary'!S172</f>
        <v>-0.26285442671641851</v>
      </c>
      <c r="T70" s="415">
        <f>'Net revenue summary'!T172</f>
        <v>-0.22485339183837896</v>
      </c>
      <c r="U70" s="415">
        <f>'Net revenue summary'!U172</f>
        <v>-0.21653357204280543</v>
      </c>
      <c r="V70" s="415">
        <f>'Net revenue summary'!V172</f>
        <v>-0.29156758291312906</v>
      </c>
      <c r="W70" s="415">
        <f>'Net revenue summary'!W172</f>
        <v>0.6417497181262124</v>
      </c>
      <c r="X70" s="415">
        <f>'Net revenue summary'!X172</f>
        <v>-5.1797911060247399E-2</v>
      </c>
      <c r="Y70" s="415">
        <f>'Net revenue summary'!Y172</f>
        <v>-0.26786638696473525</v>
      </c>
      <c r="Z70" s="415">
        <f>'Net revenue summary'!Z172</f>
        <v>-0.32328019295703703</v>
      </c>
      <c r="AA70" s="415">
        <f>'Net revenue summary'!AA172</f>
        <v>-0.28202201113771108</v>
      </c>
      <c r="AB70" s="415">
        <f>'Net revenue summary'!AB172</f>
        <v>0.79708170534675049</v>
      </c>
      <c r="AC70" s="415">
        <f>'Net revenue summary'!AC172</f>
        <v>-0.40118005481715879</v>
      </c>
      <c r="AD70" s="415">
        <f>'Net revenue summary'!AD172</f>
        <v>-0.46735526721910409</v>
      </c>
      <c r="AE70" s="415">
        <f>'Net revenue summary'!AE172</f>
        <v>-0.49156336585402455</v>
      </c>
      <c r="AF70" s="415">
        <f>'Net revenue summary'!AF172</f>
        <v>-0.50379333259237402</v>
      </c>
      <c r="AG70" s="415">
        <f>'Net revenue summary'!AG172</f>
        <v>-0.48452999134545116</v>
      </c>
      <c r="AH70" s="415">
        <f>'Net revenue summary'!AH172</f>
        <v>14.39328429091614</v>
      </c>
      <c r="AI70" s="415" t="str">
        <f>'Net revenue summary'!AI172</f>
        <v>-</v>
      </c>
      <c r="AJ70" s="415">
        <f>'Net revenue summary'!AJ172</f>
        <v>0.56726148182576008</v>
      </c>
      <c r="AK70" s="415">
        <f>'Net revenue summary'!AL172</f>
        <v>0.67945141174089418</v>
      </c>
      <c r="AL70" s="415">
        <f>'Net revenue summary'!AN172</f>
        <v>0.3313230150675906</v>
      </c>
    </row>
    <row r="71" spans="3:40" x14ac:dyDescent="0.25">
      <c r="C71" s="118"/>
      <c r="D71"/>
      <c r="E71" s="90" t="s">
        <v>783</v>
      </c>
      <c r="F71" s="90"/>
      <c r="G71" s="90" t="s">
        <v>268</v>
      </c>
      <c r="H71" s="264" t="s">
        <v>770</v>
      </c>
      <c r="I71" s="264"/>
      <c r="J71" s="416">
        <f>'Net revenue summary'!J174</f>
        <v>-1.0310869043263642</v>
      </c>
      <c r="K71" s="416">
        <f>'Net revenue summary'!K174</f>
        <v>0.13641938372398968</v>
      </c>
      <c r="L71" s="416">
        <f>'Net revenue summary'!L174</f>
        <v>1.0022560039101409</v>
      </c>
      <c r="M71" s="416">
        <f>'Net revenue summary'!M174</f>
        <v>0.29846719525752802</v>
      </c>
      <c r="N71" s="416">
        <f>'Net revenue summary'!N174</f>
        <v>-0.78497606971532174</v>
      </c>
      <c r="O71" s="416">
        <f>'Net revenue summary'!O174</f>
        <v>-1.1089410137143676</v>
      </c>
      <c r="P71" s="416">
        <f>'Net revenue summary'!P174</f>
        <v>-1.5368359211753817</v>
      </c>
      <c r="Q71" s="416">
        <f>'Net revenue summary'!Q174</f>
        <v>0.25332715949506035</v>
      </c>
      <c r="R71" s="416">
        <f>'Net revenue summary'!R174</f>
        <v>7.1156224516984121</v>
      </c>
      <c r="S71" s="416">
        <f>'Net revenue summary'!S174</f>
        <v>-0.95220783916394214</v>
      </c>
      <c r="T71" s="416">
        <f>'Net revenue summary'!T174</f>
        <v>-0.81031817751708934</v>
      </c>
      <c r="U71" s="416">
        <f>'Net revenue summary'!U174</f>
        <v>-0.78626224655804511</v>
      </c>
      <c r="V71" s="416">
        <f>'Net revenue summary'!V174</f>
        <v>-1.1859225041458639</v>
      </c>
      <c r="W71" s="416">
        <f>'Net revenue summary'!W174</f>
        <v>14.605069729063207</v>
      </c>
      <c r="X71" s="416">
        <f>'Net revenue summary'!X174</f>
        <v>-4.8994997538586306E-2</v>
      </c>
      <c r="Y71" s="416">
        <f>'Net revenue summary'!Y174</f>
        <v>-0.52729141085296705</v>
      </c>
      <c r="Z71" s="416">
        <f>'Net revenue summary'!Z174</f>
        <v>-0.70584733207545824</v>
      </c>
      <c r="AA71" s="416">
        <f>'Net revenue summary'!AA174</f>
        <v>-0.68890962603315364</v>
      </c>
      <c r="AB71" s="416">
        <f>'Net revenue summary'!AB174</f>
        <v>2.1997522849342985</v>
      </c>
      <c r="AC71" s="416">
        <f>'Net revenue summary'!AC174</f>
        <v>-1.3277256517118157</v>
      </c>
      <c r="AD71" s="416">
        <f>'Net revenue summary'!AD174</f>
        <v>-1.5066929057571141</v>
      </c>
      <c r="AE71" s="416">
        <f>'Net revenue summary'!AE174</f>
        <v>-1.5287774554096769</v>
      </c>
      <c r="AF71" s="416">
        <f>'Net revenue summary'!AF174</f>
        <v>-1.569488271080506</v>
      </c>
      <c r="AG71" s="416">
        <f>'Net revenue summary'!AG174</f>
        <v>-1.7789743156640054</v>
      </c>
      <c r="AH71" s="416">
        <f>'Net revenue summary'!AH174</f>
        <v>-1.157242199860574</v>
      </c>
      <c r="AI71" s="416" t="str">
        <f>'Net revenue summary'!AI174</f>
        <v>-</v>
      </c>
      <c r="AJ71" s="416">
        <f>'Net revenue summary'!AJ174</f>
        <v>-0.37723009669063068</v>
      </c>
      <c r="AK71" s="416">
        <f>'Net revenue summary'!AL174</f>
        <v>-0.31076872857441595</v>
      </c>
      <c r="AL71" s="416">
        <f>'Net revenue summary'!AN174</f>
        <v>-0.14841055796001887</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816</v>
      </c>
      <c r="E75"/>
    </row>
    <row r="76" spans="3:40" x14ac:dyDescent="0.25">
      <c r="D76" s="71" t="s">
        <v>817</v>
      </c>
      <c r="E76"/>
    </row>
    <row r="78" spans="3:40" ht="45" x14ac:dyDescent="0.25">
      <c r="E78"/>
      <c r="J78" s="312" t="s">
        <v>1160</v>
      </c>
      <c r="K78" s="312" t="s">
        <v>825</v>
      </c>
      <c r="L78" s="312" t="s">
        <v>1161</v>
      </c>
      <c r="M78" s="312" t="s">
        <v>1162</v>
      </c>
      <c r="N78" s="312" t="s">
        <v>1163</v>
      </c>
      <c r="O78" s="312" t="s">
        <v>1164</v>
      </c>
      <c r="P78" s="312" t="s">
        <v>1165</v>
      </c>
      <c r="Q78" s="312" t="s">
        <v>826</v>
      </c>
      <c r="R78" s="312" t="s">
        <v>904</v>
      </c>
      <c r="S78" s="312" t="s">
        <v>905</v>
      </c>
      <c r="T78" s="312" t="s">
        <v>906</v>
      </c>
      <c r="U78" s="312" t="s">
        <v>907</v>
      </c>
      <c r="V78" s="312" t="s">
        <v>908</v>
      </c>
      <c r="W78" s="312" t="s">
        <v>909</v>
      </c>
      <c r="X78" s="312" t="s">
        <v>910</v>
      </c>
      <c r="Y78" s="312" t="s">
        <v>911</v>
      </c>
      <c r="Z78" s="312" t="s">
        <v>912</v>
      </c>
      <c r="AA78" s="312" t="s">
        <v>913</v>
      </c>
      <c r="AB78" s="312" t="s">
        <v>914</v>
      </c>
      <c r="AC78" s="312" t="s">
        <v>915</v>
      </c>
      <c r="AD78" s="312" t="s">
        <v>916</v>
      </c>
      <c r="AE78" s="312" t="s">
        <v>917</v>
      </c>
      <c r="AF78" s="312" t="s">
        <v>918</v>
      </c>
      <c r="AG78" s="312" t="s">
        <v>835</v>
      </c>
      <c r="AH78" s="312" t="s">
        <v>827</v>
      </c>
      <c r="AI78" s="312" t="s">
        <v>828</v>
      </c>
      <c r="AJ78" s="312" t="s">
        <v>829</v>
      </c>
      <c r="AK78" s="312" t="s">
        <v>830</v>
      </c>
      <c r="AL78" s="312" t="s">
        <v>831</v>
      </c>
    </row>
    <row r="79" spans="3:40" x14ac:dyDescent="0.25">
      <c r="C79" s="118"/>
      <c r="D79"/>
      <c r="E79" s="90" t="s">
        <v>791</v>
      </c>
      <c r="F79" s="90"/>
      <c r="G79" s="93" t="s">
        <v>166</v>
      </c>
      <c r="H79" s="90" t="s">
        <v>445</v>
      </c>
      <c r="I79" s="90"/>
      <c r="J79" s="417">
        <f>'Net revenue summary'!J206</f>
        <v>0.40606320477337465</v>
      </c>
      <c r="K79" s="417">
        <f>'Net revenue summary'!K206</f>
        <v>0.40576021415185182</v>
      </c>
      <c r="L79" s="417">
        <f>'Net revenue summary'!L206</f>
        <v>0.40602772828168376</v>
      </c>
      <c r="M79" s="417">
        <f>'Net revenue summary'!M206</f>
        <v>0.40631712882719112</v>
      </c>
      <c r="N79" s="417">
        <f>'Net revenue summary'!N206</f>
        <v>0.40614684524516659</v>
      </c>
      <c r="O79" s="417">
        <f>'Net revenue summary'!O206</f>
        <v>0.40612649117508398</v>
      </c>
      <c r="P79" s="417">
        <f>'Net revenue summary'!P206</f>
        <v>0.40613294752258028</v>
      </c>
      <c r="Q79" s="417">
        <f>'Net revenue summary'!Q206</f>
        <v>0.4062558012621455</v>
      </c>
      <c r="R79" s="417">
        <f>'Net revenue summary'!R206</f>
        <v>0.40602766424108594</v>
      </c>
      <c r="S79" s="417">
        <f>'Net revenue summary'!S206</f>
        <v>0.40618746926132004</v>
      </c>
      <c r="T79" s="417">
        <f>'Net revenue summary'!T206</f>
        <v>0.40617485348059518</v>
      </c>
      <c r="U79" s="417">
        <f>'Net revenue summary'!U206</f>
        <v>0.40617009785127062</v>
      </c>
      <c r="V79" s="417">
        <f>'Net revenue summary'!V206</f>
        <v>0.40617077498360477</v>
      </c>
      <c r="W79" s="418"/>
      <c r="X79" s="418"/>
      <c r="Y79" s="418"/>
      <c r="Z79" s="418"/>
      <c r="AA79" s="418"/>
      <c r="AB79" s="418"/>
      <c r="AC79" s="418"/>
      <c r="AD79" s="418"/>
      <c r="AE79" s="418"/>
      <c r="AF79" s="418"/>
      <c r="AG79" s="417">
        <f>'Net revenue summary'!AG206</f>
        <v>0.40618575331700135</v>
      </c>
      <c r="AH79" s="417">
        <f>'Net revenue summary'!AH206</f>
        <v>0</v>
      </c>
      <c r="AI79" s="418"/>
      <c r="AJ79" s="417">
        <f>'Net revenue summary'!AJ206</f>
        <v>0</v>
      </c>
      <c r="AK79" s="418"/>
      <c r="AL79" s="418"/>
    </row>
    <row r="80" spans="3:40" x14ac:dyDescent="0.25">
      <c r="C80" s="118"/>
      <c r="D80"/>
      <c r="E80" s="91" t="s">
        <v>792</v>
      </c>
      <c r="F80" s="91"/>
      <c r="G80" s="96" t="s">
        <v>166</v>
      </c>
      <c r="H80" s="91" t="s">
        <v>446</v>
      </c>
      <c r="I80" s="91"/>
      <c r="J80" s="419">
        <f>'Net revenue summary'!J207</f>
        <v>0.58745189693192446</v>
      </c>
      <c r="K80" s="419">
        <f>'Net revenue summary'!K207</f>
        <v>0.58756071522880926</v>
      </c>
      <c r="L80" s="419">
        <f>'Net revenue summary'!L207</f>
        <v>0.58746289973325494</v>
      </c>
      <c r="M80" s="419">
        <f>'Net revenue summary'!M207</f>
        <v>0.58738773302638736</v>
      </c>
      <c r="N80" s="419">
        <f>'Net revenue summary'!N207</f>
        <v>0.58746815957403187</v>
      </c>
      <c r="O80" s="419">
        <f>'Net revenue summary'!O207</f>
        <v>0.58736500148182069</v>
      </c>
      <c r="P80" s="419">
        <f>'Net revenue summary'!P207</f>
        <v>0.58738785641481162</v>
      </c>
      <c r="Q80" s="419">
        <f>'Net revenue summary'!Q207</f>
        <v>0.5872276220133581</v>
      </c>
      <c r="R80" s="419">
        <f>'Net revenue summary'!R207</f>
        <v>0.58830472946476797</v>
      </c>
      <c r="S80" s="419">
        <f>'Net revenue summary'!S207</f>
        <v>0.58777327258229684</v>
      </c>
      <c r="T80" s="419">
        <f>'Net revenue summary'!T207</f>
        <v>0.58782208943579384</v>
      </c>
      <c r="U80" s="419">
        <f>'Net revenue summary'!U207</f>
        <v>0.58784768273775534</v>
      </c>
      <c r="V80" s="419">
        <f>'Net revenue summary'!V207</f>
        <v>0.58783552148058416</v>
      </c>
      <c r="W80" s="419">
        <f>'Net revenue summary'!W207</f>
        <v>0.30097470926370973</v>
      </c>
      <c r="X80" s="419">
        <f>'Net revenue summary'!X207</f>
        <v>0.30172761004765325</v>
      </c>
      <c r="Y80" s="419">
        <f>'Net revenue summary'!Y207</f>
        <v>0.30155660064327433</v>
      </c>
      <c r="Z80" s="419">
        <f>'Net revenue summary'!Z207</f>
        <v>0.30155792479500848</v>
      </c>
      <c r="AA80" s="419">
        <f>'Net revenue summary'!AA207</f>
        <v>0.30145253597406191</v>
      </c>
      <c r="AB80" s="419">
        <f>'Net revenue summary'!AB207</f>
        <v>0.12549282141558915</v>
      </c>
      <c r="AC80" s="419">
        <f>'Net revenue summary'!AC207</f>
        <v>0.12561791139381287</v>
      </c>
      <c r="AD80" s="419">
        <f>'Net revenue summary'!AD207</f>
        <v>0.12556860040379653</v>
      </c>
      <c r="AE80" s="419">
        <f>'Net revenue summary'!AE207</f>
        <v>0.12556221294637715</v>
      </c>
      <c r="AF80" s="419">
        <f>'Net revenue summary'!AF207</f>
        <v>0.12553385307025533</v>
      </c>
      <c r="AG80" s="419">
        <f>'Net revenue summary'!AG207</f>
        <v>0.58737066343651856</v>
      </c>
      <c r="AH80" s="419">
        <f>'Net revenue summary'!AH207</f>
        <v>0</v>
      </c>
      <c r="AI80" s="419">
        <f>'Net revenue summary'!AI207</f>
        <v>0</v>
      </c>
      <c r="AJ80" s="419">
        <f>'Net revenue summary'!AJ207</f>
        <v>0</v>
      </c>
      <c r="AK80" s="419">
        <f>'Net revenue summary'!AL207</f>
        <v>-2.1985394282408079E-16</v>
      </c>
      <c r="AL80" s="419">
        <f>'Net revenue summary'!AN207</f>
        <v>-2.0811406825099334E-2</v>
      </c>
    </row>
    <row r="82" spans="2:40" x14ac:dyDescent="0.25">
      <c r="B82" s="70" t="s">
        <v>230</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231</v>
      </c>
      <c r="G84" s="6" t="s">
        <v>54</v>
      </c>
      <c r="H84" s="108">
        <f t="array" ref="H84">SUM(IF(ISERROR(H19:AL81), 1))</f>
        <v>0</v>
      </c>
    </row>
    <row r="86" spans="2:40" x14ac:dyDescent="0.25">
      <c r="B86" s="70" t="s">
        <v>105</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http://purl.org/dc/dcmitype/"/>
    <ds:schemaRef ds:uri="http://schemas.microsoft.com/office/2006/metadata/properties"/>
    <ds:schemaRef ds:uri="dcbf8a88-e063-4a69-82e9-42d02808f636"/>
    <ds:schemaRef ds:uri="df11e38d-df47-44a9-bb81-9cb5331e96c9"/>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Howe, Pamela (Northern Powergrid)</cp:lastModifiedBy>
  <cp:revision/>
  <dcterms:created xsi:type="dcterms:W3CDTF">2017-07-12T09:37:31Z</dcterms:created>
  <dcterms:modified xsi:type="dcterms:W3CDTF">2023-12-20T09:56:56Z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470929aa-a896-46d9-af86-3bd9f038f6c1_Enabled">
    <vt:lpwstr>true</vt:lpwstr>
  </property>
  <property fmtid="{D5CDD505-2E9C-101B-9397-08002B2CF9AE}" pid="4" name="MSIP_Label_470929aa-a896-46d9-af86-3bd9f038f6c1_SetDate">
    <vt:lpwstr>2023-11-23T09:24:49Z</vt:lpwstr>
  </property>
  <property fmtid="{D5CDD505-2E9C-101B-9397-08002B2CF9AE}" pid="5" name="MSIP_Label_470929aa-a896-46d9-af86-3bd9f038f6c1_Method">
    <vt:lpwstr>Privileged</vt:lpwstr>
  </property>
  <property fmtid="{D5CDD505-2E9C-101B-9397-08002B2CF9AE}" pid="6" name="MSIP_Label_470929aa-a896-46d9-af86-3bd9f038f6c1_Name">
    <vt:lpwstr>Public</vt:lpwstr>
  </property>
  <property fmtid="{D5CDD505-2E9C-101B-9397-08002B2CF9AE}" pid="7" name="MSIP_Label_470929aa-a896-46d9-af86-3bd9f038f6c1_SiteId">
    <vt:lpwstr>7c1f6b10-192b-4a83-9d32-81ef58325c37</vt:lpwstr>
  </property>
  <property fmtid="{D5CDD505-2E9C-101B-9397-08002B2CF9AE}" pid="8" name="MSIP_Label_470929aa-a896-46d9-af86-3bd9f038f6c1_ActionId">
    <vt:lpwstr>56233f2b-c32c-4d88-95a3-11c797ba7944</vt:lpwstr>
  </property>
  <property fmtid="{D5CDD505-2E9C-101B-9397-08002B2CF9AE}" pid="9" name="MSIP_Label_470929aa-a896-46d9-af86-3bd9f038f6c1_ContentBits">
    <vt:lpwstr>3</vt:lpwstr>
  </property>
</Properties>
</file>