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T:\Charge_Setting\2026-2027\Common (NE&amp;YE)\08. Website Material - Internal\"/>
    </mc:Choice>
  </mc:AlternateContent>
  <xr:revisionPtr revIDLastSave="0" documentId="13_ncr:1_{4E80092C-F149-4A8A-8844-7F4FA9DE060A}" xr6:coauthVersionLast="47" xr6:coauthVersionMax="47" xr10:uidLastSave="{00000000-0000-0000-0000-000000000000}"/>
  <workbookProtection lockStructure="1"/>
  <bookViews>
    <workbookView xWindow="-120" yWindow="-120" windowWidth="51840" windowHeight="21240" tabRatio="702"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2" i="89" l="1"/>
  <c r="H29" i="82" s="1"/>
  <c r="H56" i="89"/>
  <c r="H57" i="89" s="1"/>
  <c r="H90" i="89"/>
  <c r="H31" i="112" s="1"/>
  <c r="H89" i="89"/>
  <c r="H30" i="112" s="1"/>
  <c r="H66" i="89"/>
  <c r="H64" i="41" l="1"/>
  <c r="H65" i="41"/>
  <c r="H69" i="89"/>
  <c r="H72" i="89" s="1"/>
  <c r="H77" i="89" s="1"/>
  <c r="H81" i="89" s="1"/>
  <c r="H82" i="89" s="1"/>
  <c r="H86" i="89" s="1"/>
  <c r="H61" i="41" l="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Q36" i="105"/>
  <c r="Q141" i="105" s="1"/>
  <c r="AO36" i="105"/>
  <c r="AO141" i="105" s="1"/>
  <c r="AO174" i="105"/>
  <c r="AL47" i="105"/>
  <c r="AO47" i="105"/>
  <c r="AO142" i="105" s="1"/>
  <c r="AN47" i="105"/>
  <c r="AN142" i="105" s="1"/>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L20" i="112"/>
  <c r="K20" i="112"/>
  <c r="A2" i="112"/>
  <c r="A1" i="112"/>
  <c r="C16" i="112" s="1"/>
  <c r="G195" i="85" s="1"/>
  <c r="M50" i="112" l="1"/>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W249" i="22" l="1"/>
  <c r="X286" i="22"/>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04" i="81" l="1"/>
  <c r="G156" i="85" s="1"/>
  <c r="C62" i="8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G152" i="85"/>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3"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K354" i="22" l="1"/>
  <c r="K487" i="22" s="1"/>
  <c r="K54"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V131" i="80" l="1"/>
  <c r="X165" i="72"/>
  <c r="X200" i="72" s="1"/>
  <c r="X230" i="72" s="1"/>
  <c r="V85" i="80"/>
  <c r="W84" i="80"/>
  <c r="W144" i="80" s="1"/>
  <c r="W170" i="80" s="1"/>
  <c r="W130" i="80"/>
  <c r="W82" i="80"/>
  <c r="U105" i="80"/>
  <c r="U82" i="80"/>
  <c r="W105" i="80"/>
  <c r="T167" i="72"/>
  <c r="T202" i="72" s="1"/>
  <c r="T232" i="72" s="1"/>
  <c r="X166" i="72"/>
  <c r="X201" i="72" s="1"/>
  <c r="X231" i="72" s="1"/>
  <c r="W218" i="83"/>
  <c r="W90"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W195" i="71"/>
  <c r="X188" i="71"/>
  <c r="W188" i="71"/>
  <c r="W157" i="71"/>
  <c r="U128" i="71"/>
  <c r="V145" i="80" l="1"/>
  <c r="V171" i="80" s="1"/>
  <c r="W142" i="80"/>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33" i="80" s="1"/>
  <c r="H216" i="80"/>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7" i="80"/>
  <c r="H228"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K88" i="83" l="1"/>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W121" i="105" l="1"/>
  <c r="W199" i="105"/>
  <c r="L111" i="105"/>
  <c r="L188" i="105"/>
  <c r="L110" i="105"/>
  <c r="L187" i="105"/>
  <c r="L121" i="105"/>
  <c r="L199" i="105"/>
  <c r="L120" i="105"/>
  <c r="L198" i="105"/>
  <c r="W120" i="105"/>
  <c r="W19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W119" i="105" l="1"/>
  <c r="W197" i="105"/>
  <c r="L109" i="105"/>
  <c r="L186" i="105"/>
  <c r="L119" i="105"/>
  <c r="L197"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L108" i="105"/>
  <c r="L185" i="105"/>
  <c r="W118" i="105"/>
  <c r="W196"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W116" i="105"/>
  <c r="W194" i="105"/>
  <c r="L116" i="105"/>
  <c r="L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15" i="105" l="1"/>
  <c r="L193" i="105"/>
  <c r="W115" i="105"/>
  <c r="W193" i="105"/>
  <c r="L105" i="105"/>
  <c r="L182" i="105"/>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I71" i="82"/>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L148" i="105" l="1"/>
  <c r="AL142" i="105"/>
  <c r="W117" i="105"/>
  <c r="W122" i="105" s="1"/>
  <c r="W195" i="105"/>
  <c r="W200" i="105" s="1"/>
  <c r="L117" i="105"/>
  <c r="L122" i="105" s="1"/>
  <c r="L195" i="105"/>
  <c r="L200" i="105" s="1"/>
  <c r="L107" i="105"/>
  <c r="L112" i="105" s="1"/>
  <c r="L184" i="105"/>
  <c r="L189" i="105" s="1"/>
  <c r="L172" i="105"/>
  <c r="L70" i="82" s="1"/>
  <c r="L174" i="105"/>
  <c r="L71" i="82" s="1"/>
  <c r="L146" i="105"/>
  <c r="L69" i="82" s="1"/>
  <c r="L140" i="105"/>
  <c r="R117" i="105"/>
  <c r="R195" i="105"/>
  <c r="Q174" i="105"/>
  <c r="Q71" i="82" s="1"/>
  <c r="Q172" i="105"/>
  <c r="Q70" i="82" s="1"/>
  <c r="AH148" i="105"/>
  <c r="AH142" i="105"/>
  <c r="AB117" i="105"/>
  <c r="AB122" i="105" s="1"/>
  <c r="AB195" i="105"/>
  <c r="AB200" i="105" s="1"/>
  <c r="AH147" i="105"/>
  <c r="AH141" i="105"/>
  <c r="U118" i="105"/>
  <c r="T249" i="41"/>
  <c r="T267" i="41" s="1"/>
  <c r="T250" i="41"/>
  <c r="T268" i="41" s="1"/>
  <c r="T273" i="41" s="1"/>
  <c r="X249" i="41"/>
  <c r="X267" i="41" s="1"/>
  <c r="N250" i="41"/>
  <c r="N268" i="41" s="1"/>
  <c r="N251" i="41"/>
  <c r="N269" i="41" s="1"/>
  <c r="N274" i="41" s="1"/>
  <c r="N279" i="41" s="1"/>
  <c r="N284" i="41" s="1"/>
  <c r="N362" i="41" s="1"/>
  <c r="N364" i="41" s="1"/>
  <c r="N366" i="41" s="1"/>
  <c r="AC249" i="41"/>
  <c r="AC267" i="41" s="1"/>
  <c r="J250" i="41"/>
  <c r="J268" i="41" s="1"/>
  <c r="J273" i="41" s="1"/>
  <c r="J278" i="41" s="1"/>
  <c r="J283" i="41" s="1"/>
  <c r="J251" i="41"/>
  <c r="J269" i="41" s="1"/>
  <c r="U108" i="105"/>
  <c r="AC250" i="41"/>
  <c r="AC268"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F249" i="41"/>
  <c r="AF267" i="41" s="1"/>
  <c r="AF272" i="41" s="1"/>
  <c r="Z250" i="41"/>
  <c r="Z268" i="41" s="1"/>
  <c r="Z273" i="41" s="1"/>
  <c r="AE250" i="41"/>
  <c r="AE268" i="41" s="1"/>
  <c r="AE273" i="41" s="1"/>
  <c r="AF250" i="41"/>
  <c r="AF268" i="41" s="1"/>
  <c r="AF273" i="41" s="1"/>
  <c r="Z251" i="41"/>
  <c r="Z269" i="41" s="1"/>
  <c r="Z274" i="41" s="1"/>
  <c r="Y249" i="41"/>
  <c r="Y267" i="41" s="1"/>
  <c r="Y272" i="41" s="1"/>
  <c r="U249" i="41"/>
  <c r="U267" i="41" s="1"/>
  <c r="U272" i="41" s="1"/>
  <c r="Y250" i="41"/>
  <c r="Y268" i="41" s="1"/>
  <c r="Y273" i="41" s="1"/>
  <c r="U250" i="41"/>
  <c r="U268" i="41" s="1"/>
  <c r="U273" i="41" s="1"/>
  <c r="AD249" i="41"/>
  <c r="AD267" i="41" s="1"/>
  <c r="AD272" i="41" s="1"/>
  <c r="AD250" i="41"/>
  <c r="AD268" i="41" s="1"/>
  <c r="AD27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77" i="41" s="1"/>
  <c r="O282" i="41" s="1"/>
  <c r="O250" i="41"/>
  <c r="O268" i="41" s="1"/>
  <c r="O273" i="41" s="1"/>
  <c r="O278" i="41" s="1"/>
  <c r="O283" i="41" s="1"/>
  <c r="V249" i="41"/>
  <c r="V267" i="41" s="1"/>
  <c r="V272" i="41" s="1"/>
  <c r="AA118" i="105"/>
  <c r="S251" i="41"/>
  <c r="S269" i="41" s="1"/>
  <c r="S274" i="41" s="1"/>
  <c r="Y279" i="41" s="1"/>
  <c r="Y284" i="41" s="1"/>
  <c r="Y362" i="41" s="1"/>
  <c r="P249" i="41"/>
  <c r="P267" i="41" s="1"/>
  <c r="P272" i="41" s="1"/>
  <c r="P277" i="41" s="1"/>
  <c r="P282" i="41" s="1"/>
  <c r="H98" i="105"/>
  <c r="AA250" i="41"/>
  <c r="AA268" i="41" s="1"/>
  <c r="AA273" i="41" s="1"/>
  <c r="S185" i="105"/>
  <c r="S108" i="105"/>
  <c r="AE196" i="105"/>
  <c r="AE118" i="105"/>
  <c r="J118" i="105"/>
  <c r="P250" i="41"/>
  <c r="P268" i="41" s="1"/>
  <c r="P273" i="41" s="1"/>
  <c r="P278" i="41" s="1"/>
  <c r="P283" i="41" s="1"/>
  <c r="P274" i="41"/>
  <c r="P279" i="41" s="1"/>
  <c r="P284" i="41" s="1"/>
  <c r="P362" i="41" s="1"/>
  <c r="P364" i="41" s="1"/>
  <c r="P366" i="41" s="1"/>
  <c r="J108" i="105"/>
  <c r="V196" i="105"/>
  <c r="V118" i="105"/>
  <c r="X272" i="41"/>
  <c r="S277" i="41" s="1"/>
  <c r="S282" i="41" s="1"/>
  <c r="AD274" i="41"/>
  <c r="AD279" i="41" s="1"/>
  <c r="AD284" i="41" s="1"/>
  <c r="AD362" i="41" s="1"/>
  <c r="AD364" i="41" s="1"/>
  <c r="AD366" i="41" s="1"/>
  <c r="AC272" i="41"/>
  <c r="AC277" i="41" s="1"/>
  <c r="AC282" i="41" s="1"/>
  <c r="T272" i="41"/>
  <c r="V273" i="41"/>
  <c r="AC274" i="41"/>
  <c r="AC279" i="41" s="1"/>
  <c r="AC284" i="41" s="1"/>
  <c r="AC362" i="41" s="1"/>
  <c r="AC364" i="41" s="1"/>
  <c r="AC366" i="41" s="1"/>
  <c r="Z272" i="41"/>
  <c r="AE274" i="41"/>
  <c r="AE279" i="41" s="1"/>
  <c r="AE284" i="41" s="1"/>
  <c r="AE362" i="41" s="1"/>
  <c r="AE364" i="41" s="1"/>
  <c r="AE366" i="41" s="1"/>
  <c r="O274" i="41"/>
  <c r="O279" i="41" s="1"/>
  <c r="O284" i="41" s="1"/>
  <c r="O362" i="41" s="1"/>
  <c r="O364" i="41" s="1"/>
  <c r="O366" i="41" s="1"/>
  <c r="U274" i="41"/>
  <c r="AC273" i="41"/>
  <c r="AC278" i="41" s="1"/>
  <c r="AC283" i="41" s="1"/>
  <c r="N272" i="41"/>
  <c r="N277" i="41" s="1"/>
  <c r="N282" i="41" s="1"/>
  <c r="N273" i="41"/>
  <c r="N278" i="41" s="1"/>
  <c r="N283" i="41" s="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AE278" i="41" l="1"/>
  <c r="AE283" i="41" s="1"/>
  <c r="AD277" i="41"/>
  <c r="AD282" i="41" s="1"/>
  <c r="AF277" i="41"/>
  <c r="AF282" i="41" s="1"/>
  <c r="AE277" i="41"/>
  <c r="AE282" i="41" s="1"/>
  <c r="AE298" i="41" s="1"/>
  <c r="AE300" i="41" s="1"/>
  <c r="AE302" i="41" s="1"/>
  <c r="AE304" i="41" s="1"/>
  <c r="AD278" i="41"/>
  <c r="AD283" i="41" s="1"/>
  <c r="T279" i="41"/>
  <c r="T284" i="41" s="1"/>
  <c r="T362" i="41" s="1"/>
  <c r="Y364" i="41" s="1"/>
  <c r="Y366" i="41" s="1"/>
  <c r="AF278" i="41"/>
  <c r="AF283" i="41" s="1"/>
  <c r="AF279" i="41"/>
  <c r="AF284" i="41" s="1"/>
  <c r="AF362" i="41" s="1"/>
  <c r="AF364" i="41" s="1"/>
  <c r="AF366" i="41" s="1"/>
  <c r="W172" i="105"/>
  <c r="W70" i="82" s="1"/>
  <c r="W174" i="105"/>
  <c r="W71" i="82" s="1"/>
  <c r="W146" i="105"/>
  <c r="W69" i="82" s="1"/>
  <c r="W140" i="105"/>
  <c r="L207" i="105"/>
  <c r="L80" i="82" s="1"/>
  <c r="L206" i="105"/>
  <c r="L79" i="82" s="1"/>
  <c r="L68" i="82"/>
  <c r="Z278" i="41"/>
  <c r="Z283" i="41" s="1"/>
  <c r="M298" i="41"/>
  <c r="M300" i="41" s="1"/>
  <c r="M302" i="41" s="1"/>
  <c r="M304" i="41" s="1"/>
  <c r="M391" i="41" s="1"/>
  <c r="N330" i="41"/>
  <c r="N332" i="41" s="1"/>
  <c r="N334" i="41" s="1"/>
  <c r="S278" i="41"/>
  <c r="S283" i="41" s="1"/>
  <c r="X277" i="41"/>
  <c r="X282" i="41" s="1"/>
  <c r="AB174" i="105"/>
  <c r="AB71" i="82" s="1"/>
  <c r="AB146" i="105"/>
  <c r="AB69" i="82" s="1"/>
  <c r="AB140" i="105"/>
  <c r="AB172" i="105"/>
  <c r="AB70" i="82" s="1"/>
  <c r="Y278" i="41"/>
  <c r="Y283" i="41" s="1"/>
  <c r="Y330" i="41" s="1"/>
  <c r="U277" i="41"/>
  <c r="U282" i="41" s="1"/>
  <c r="X278" i="41"/>
  <c r="X283" i="41" s="1"/>
  <c r="U278" i="41"/>
  <c r="U283" i="41" s="1"/>
  <c r="AD257" i="41" a="1"/>
  <c r="AD257" i="41" s="1"/>
  <c r="AD262" i="41" s="1"/>
  <c r="AD321" i="41" s="1"/>
  <c r="AD323" i="41" s="1"/>
  <c r="AD325" i="41" s="1"/>
  <c r="AD327" i="41" s="1"/>
  <c r="O330" i="41"/>
  <c r="O332" i="41" s="1"/>
  <c r="O334" i="41" s="1"/>
  <c r="AE330" i="41"/>
  <c r="AD258" i="41" a="1"/>
  <c r="AD258" i="41" s="1"/>
  <c r="AD263" i="41" s="1"/>
  <c r="AJ258" i="41" a="1"/>
  <c r="AJ258" i="41" s="1"/>
  <c r="AJ263" i="41" s="1"/>
  <c r="AJ399" i="41" s="1"/>
  <c r="AC257" i="41" a="1"/>
  <c r="AC257" i="41" s="1"/>
  <c r="AC262" i="41" s="1"/>
  <c r="AC321" i="41" s="1"/>
  <c r="AC323" i="41" s="1"/>
  <c r="AC325" i="41" s="1"/>
  <c r="AC327" i="41" s="1"/>
  <c r="T278" i="41"/>
  <c r="T283"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V257" i="41" a="1"/>
  <c r="V257" i="41" s="1"/>
  <c r="V262" i="41" s="1"/>
  <c r="P257" i="41" a="1"/>
  <c r="P257" i="41" s="1"/>
  <c r="P262" i="41" s="1"/>
  <c r="P321" i="41" s="1"/>
  <c r="P323"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P330" i="41"/>
  <c r="P332" i="41" s="1"/>
  <c r="P33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T298" i="41" s="1"/>
  <c r="Z277" i="41"/>
  <c r="Z282" i="41" s="1"/>
  <c r="AA278" i="41"/>
  <c r="AA283" i="41" s="1"/>
  <c r="V278" i="41"/>
  <c r="V283" i="41" s="1"/>
  <c r="V277" i="41"/>
  <c r="V282"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AG107" i="105"/>
  <c r="AG117" i="105"/>
  <c r="K33" i="65"/>
  <c r="K111" i="65" s="1"/>
  <c r="K32" i="65"/>
  <c r="K110" i="65" s="1"/>
  <c r="AF321" i="41" l="1"/>
  <c r="AF323" i="41" s="1"/>
  <c r="AF325" i="41" s="1"/>
  <c r="AF327" i="41" s="1"/>
  <c r="T364" i="41"/>
  <c r="T366" i="41" s="1"/>
  <c r="T330" i="41"/>
  <c r="AF330" i="41"/>
  <c r="AF332" i="41" s="1"/>
  <c r="AF334" i="41" s="1"/>
  <c r="AF298" i="41"/>
  <c r="AF300" i="41" s="1"/>
  <c r="AF302" i="41" s="1"/>
  <c r="AF304" i="41" s="1"/>
  <c r="L398" i="41"/>
  <c r="AE332" i="41"/>
  <c r="AE334" i="41" s="1"/>
  <c r="AF336" i="41"/>
  <c r="AF392" i="41" s="1"/>
  <c r="M309" i="41"/>
  <c r="M307" i="41"/>
  <c r="W207" i="105"/>
  <c r="W80" i="82" s="1"/>
  <c r="W206" i="105"/>
  <c r="W68" i="82"/>
  <c r="N336" i="41"/>
  <c r="N392" i="41" s="1"/>
  <c r="AH398" i="41"/>
  <c r="AH422" i="41" s="1"/>
  <c r="AH426" i="41" s="1"/>
  <c r="R398" i="41"/>
  <c r="R422" i="41" s="1"/>
  <c r="R426" i="41" s="1"/>
  <c r="Y298" i="41"/>
  <c r="U321" i="41"/>
  <c r="U323" i="41" s="1"/>
  <c r="V330" i="41"/>
  <c r="AJ353" i="41"/>
  <c r="AJ355" i="41" s="1"/>
  <c r="AI353" i="41"/>
  <c r="AI355" i="41" s="1"/>
  <c r="AB68" i="82"/>
  <c r="AB207" i="105"/>
  <c r="AB80" i="82" s="1"/>
  <c r="AB206" i="105"/>
  <c r="AA321" i="41"/>
  <c r="AA323" i="41" s="1"/>
  <c r="AD353" i="41"/>
  <c r="AD355" i="41" s="1"/>
  <c r="AD357" i="41" s="1"/>
  <c r="AD359" i="41" s="1"/>
  <c r="AD368" i="41" s="1"/>
  <c r="AD393" i="41" s="1"/>
  <c r="Q321" i="41"/>
  <c r="Q323" i="41" s="1"/>
  <c r="O336" i="41"/>
  <c r="O392"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I422" i="41"/>
  <c r="AI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P336" i="41"/>
  <c r="P392"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AE368" i="41" s="1"/>
  <c r="AE393" i="41" s="1"/>
  <c r="X353" i="41"/>
  <c r="X355" i="41" s="1"/>
  <c r="Z321" i="41"/>
  <c r="Z323" i="41" s="1"/>
  <c r="AE321" i="41"/>
  <c r="AE323" i="41" s="1"/>
  <c r="AE325" i="41" s="1"/>
  <c r="AE327"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V325" i="41" s="1"/>
  <c r="V327" i="41" s="1"/>
  <c r="AG308" i="41"/>
  <c r="AA330" i="41"/>
  <c r="W353" i="41"/>
  <c r="W355" i="41" s="1"/>
  <c r="AM422" i="41"/>
  <c r="AM426" i="41" s="1"/>
  <c r="AM353" i="41"/>
  <c r="AM355" i="41" s="1"/>
  <c r="L422" i="41"/>
  <c r="L426"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E391" i="41"/>
  <c r="AE307" i="41"/>
  <c r="AE309" i="41"/>
  <c r="T321" i="41"/>
  <c r="T323" i="41" s="1"/>
  <c r="AF307" i="41"/>
  <c r="Z298" i="41"/>
  <c r="T353" i="41"/>
  <c r="T355" i="41" s="1"/>
  <c r="P391" i="41"/>
  <c r="P308" i="41"/>
  <c r="P307" i="41"/>
  <c r="P309" i="41"/>
  <c r="Z364" i="41"/>
  <c r="Z366" i="41" s="1"/>
  <c r="U364" i="41"/>
  <c r="U366" i="41" s="1"/>
  <c r="U330" i="41"/>
  <c r="S330" i="41"/>
  <c r="T332" i="41" s="1"/>
  <c r="T334" i="41" s="1"/>
  <c r="AD336" i="41"/>
  <c r="AD300" i="41"/>
  <c r="AD302" i="41" s="1"/>
  <c r="AD304" i="41" s="1"/>
  <c r="V298" i="41"/>
  <c r="O307" i="41"/>
  <c r="V364" i="41"/>
  <c r="V366" i="41" s="1"/>
  <c r="AA364" i="41"/>
  <c r="AA366" i="41" s="1"/>
  <c r="Z330" i="41"/>
  <c r="AE308" i="41"/>
  <c r="S364" i="41"/>
  <c r="S366" i="41" s="1"/>
  <c r="X364" i="41"/>
  <c r="X366" i="41" s="1"/>
  <c r="AC336" i="41"/>
  <c r="Y332" i="41"/>
  <c r="Y334" i="41" s="1"/>
  <c r="AC307" i="41"/>
  <c r="N309" i="41"/>
  <c r="J362" i="41"/>
  <c r="J364" i="41" s="1"/>
  <c r="J366" i="41" s="1"/>
  <c r="J368" i="41" s="1"/>
  <c r="J330" i="41"/>
  <c r="J332" i="41" s="1"/>
  <c r="J334" i="41" s="1"/>
  <c r="J336" i="41" s="1"/>
  <c r="J298" i="41"/>
  <c r="N308" i="41"/>
  <c r="Z353" i="41"/>
  <c r="Z355" i="41" s="1"/>
  <c r="V353" i="41"/>
  <c r="V355" i="41" s="1"/>
  <c r="S298" i="41"/>
  <c r="T300" i="41" s="1"/>
  <c r="T302" i="41" s="1"/>
  <c r="T304" i="41" s="1"/>
  <c r="O309" i="41"/>
  <c r="AC309" i="41"/>
  <c r="U298" i="41"/>
  <c r="X298" i="41"/>
  <c r="AF308" i="41"/>
  <c r="O30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AE336" i="41" l="1"/>
  <c r="AE392" i="41" s="1"/>
  <c r="AF341" i="41"/>
  <c r="AF340" i="41"/>
  <c r="M311" i="41"/>
  <c r="M384" i="41" s="1"/>
  <c r="O325" i="41"/>
  <c r="O327" i="41" s="1"/>
  <c r="Y300" i="41"/>
  <c r="Y302" i="41" s="1"/>
  <c r="N325" i="41"/>
  <c r="N327" i="41" s="1"/>
  <c r="P325" i="41"/>
  <c r="P327" i="41" s="1"/>
  <c r="N341" i="41"/>
  <c r="N340" i="41"/>
  <c r="U325" i="41"/>
  <c r="U327" i="41" s="1"/>
  <c r="Y304" i="41"/>
  <c r="Y391" i="41" s="1"/>
  <c r="V332" i="41"/>
  <c r="V334" i="41" s="1"/>
  <c r="V336" i="41" s="1"/>
  <c r="W325" i="41"/>
  <c r="W327" i="41" s="1"/>
  <c r="Z325" i="41"/>
  <c r="Z327" i="41" s="1"/>
  <c r="O340" i="41"/>
  <c r="O341" i="41"/>
  <c r="AG343" i="41"/>
  <c r="AG385" i="41" s="1"/>
  <c r="P341" i="41"/>
  <c r="P340" i="41"/>
  <c r="AJ325" i="41"/>
  <c r="AJ327" i="41" s="1"/>
  <c r="AM325" i="41"/>
  <c r="AM327" i="41" s="1"/>
  <c r="AD373" i="41"/>
  <c r="AD375" i="41" s="1"/>
  <c r="AD386" i="41" s="1"/>
  <c r="AE373" i="41"/>
  <c r="AE375" i="41" s="1"/>
  <c r="AE386" i="41" s="1"/>
  <c r="M373" i="41"/>
  <c r="M375" i="41" s="1"/>
  <c r="M386" i="41" s="1"/>
  <c r="M341" i="41"/>
  <c r="P373" i="41"/>
  <c r="P375" i="41" s="1"/>
  <c r="P386" i="41" s="1"/>
  <c r="M340" i="41"/>
  <c r="AC373" i="41"/>
  <c r="AC375" i="41" s="1"/>
  <c r="AC386" i="41" s="1"/>
  <c r="N373" i="41"/>
  <c r="N375" i="41" s="1"/>
  <c r="N386" i="41" s="1"/>
  <c r="Z357" i="41"/>
  <c r="Z359" i="41" s="1"/>
  <c r="O373" i="41"/>
  <c r="O375" i="41" s="1"/>
  <c r="O386"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F343" i="41"/>
  <c r="AF385" i="41" s="1"/>
  <c r="AE340" i="41"/>
  <c r="AE341"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T391" i="41"/>
  <c r="T307" i="41"/>
  <c r="T309" i="41"/>
  <c r="T308" i="4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Z368" i="41"/>
  <c r="J393" i="41"/>
  <c r="J373" i="41"/>
  <c r="J375" i="41" s="1"/>
  <c r="J392" i="41"/>
  <c r="J341" i="41"/>
  <c r="J340" i="41"/>
  <c r="AC392" i="41"/>
  <c r="AC340" i="41"/>
  <c r="AC341" i="41"/>
  <c r="O311" i="41"/>
  <c r="O384" i="41" s="1"/>
  <c r="AD391" i="41"/>
  <c r="AD308" i="41"/>
  <c r="AD307" i="41"/>
  <c r="AD309" i="41"/>
  <c r="X332" i="41"/>
  <c r="X334" i="41" s="1"/>
  <c r="S332" i="41"/>
  <c r="S334" i="41" s="1"/>
  <c r="S336" i="41" s="1"/>
  <c r="U332" i="41"/>
  <c r="U334" i="41" s="1"/>
  <c r="U336" i="41" s="1"/>
  <c r="Z332" i="41"/>
  <c r="Z334" i="41" s="1"/>
  <c r="Z336" i="41" s="1"/>
  <c r="AA182" i="105"/>
  <c r="AA189" i="105" s="1"/>
  <c r="AA105" i="105"/>
  <c r="AA112" i="105" s="1"/>
  <c r="K106" i="105"/>
  <c r="K105" i="105"/>
  <c r="K116" i="105"/>
  <c r="K194" i="105"/>
  <c r="K115" i="105"/>
  <c r="K34" i="65"/>
  <c r="K112" i="65" s="1"/>
  <c r="K40" i="82" s="1"/>
  <c r="AJ33" i="65"/>
  <c r="AJ111" i="65" s="1"/>
  <c r="AJ39" i="82" s="1"/>
  <c r="R33" i="65"/>
  <c r="R111" i="65" s="1"/>
  <c r="R39" i="82" s="1"/>
  <c r="N343" i="41" l="1"/>
  <c r="N385" i="41" s="1"/>
  <c r="N388" i="41" s="1"/>
  <c r="N395" i="41" s="1"/>
  <c r="N400" i="41" s="1"/>
  <c r="N403" i="41" s="1"/>
  <c r="N412" i="41" s="1"/>
  <c r="Y309" i="41"/>
  <c r="Y307" i="41"/>
  <c r="Y308" i="41"/>
  <c r="X336" i="41"/>
  <c r="X392" i="41" s="1"/>
  <c r="O343" i="41"/>
  <c r="O385" i="41" s="1"/>
  <c r="O388" i="41" s="1"/>
  <c r="O395" i="41" s="1"/>
  <c r="AG388" i="41"/>
  <c r="AG395" i="41" s="1"/>
  <c r="AG398" i="41" s="1"/>
  <c r="P343" i="41"/>
  <c r="P385" i="41" s="1"/>
  <c r="P388" i="41" s="1"/>
  <c r="P395" i="41" s="1"/>
  <c r="P398" i="41" s="1"/>
  <c r="M343" i="41"/>
  <c r="M385" i="41" s="1"/>
  <c r="M388" i="41" s="1"/>
  <c r="M395" i="41" s="1"/>
  <c r="M399" i="41" s="1"/>
  <c r="M404" i="41" s="1"/>
  <c r="M413" i="41" s="1"/>
  <c r="AE343" i="41"/>
  <c r="AE385" i="41" s="1"/>
  <c r="AE388" i="41" s="1"/>
  <c r="AE395" i="41" s="1"/>
  <c r="AE399" i="41" s="1"/>
  <c r="AE404" i="41" s="1"/>
  <c r="AE413" i="41" s="1"/>
  <c r="T373" i="41"/>
  <c r="T375" i="41" s="1"/>
  <c r="T386"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U373" i="41"/>
  <c r="U375" i="41" s="1"/>
  <c r="U386" i="41" s="1"/>
  <c r="AC343" i="41"/>
  <c r="AC385" i="41" s="1"/>
  <c r="AC388" i="41" s="1"/>
  <c r="AC395" i="41" s="1"/>
  <c r="J386" i="4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Z392" i="41"/>
  <c r="Z340" i="41"/>
  <c r="Z341" i="41"/>
  <c r="AA393" i="41"/>
  <c r="AA373" i="41"/>
  <c r="AA375" i="41" s="1"/>
  <c r="AA386" i="41" s="1"/>
  <c r="J391" i="41"/>
  <c r="J307" i="41"/>
  <c r="J308" i="41"/>
  <c r="J309" i="41"/>
  <c r="Z391" i="41"/>
  <c r="Z309" i="41"/>
  <c r="Z308" i="41"/>
  <c r="Z307" i="41"/>
  <c r="T311" i="41"/>
  <c r="T384" i="41" s="1"/>
  <c r="S392" i="41"/>
  <c r="S341" i="41"/>
  <c r="S340" i="41"/>
  <c r="U392" i="41"/>
  <c r="U341" i="41"/>
  <c r="U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Y311" i="41" l="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M400" i="41"/>
  <c r="M403" i="41" s="1"/>
  <c r="M412" i="41" s="1"/>
  <c r="AG400" i="41"/>
  <c r="M398" i="41"/>
  <c r="AF398" i="41"/>
  <c r="AE400" i="41"/>
  <c r="AE403" i="41" s="1"/>
  <c r="AE412" i="41" s="1"/>
  <c r="AF399" i="41"/>
  <c r="AF404" i="41" s="1"/>
  <c r="AF413" i="41" s="1"/>
  <c r="AE398" i="41"/>
  <c r="T343" i="41"/>
  <c r="T385" i="41" s="1"/>
  <c r="T388" i="41" s="1"/>
  <c r="T395" i="41" s="1"/>
  <c r="Y343" i="41"/>
  <c r="Y385" i="41" s="1"/>
  <c r="AA341" i="41"/>
  <c r="AA340" i="41"/>
  <c r="P399" i="41"/>
  <c r="P404" i="41" s="1"/>
  <c r="P413" i="41" s="1"/>
  <c r="P400" i="41"/>
  <c r="P403" i="41" s="1"/>
  <c r="P412" i="41" s="1"/>
  <c r="N398" i="41"/>
  <c r="N405" i="41" s="1"/>
  <c r="N414" i="41" s="1"/>
  <c r="N399" i="41"/>
  <c r="N404" i="41" s="1"/>
  <c r="N413" i="41" s="1"/>
  <c r="V343" i="41"/>
  <c r="V385" i="41" s="1"/>
  <c r="Z343" i="41"/>
  <c r="Z385" i="41" s="1"/>
  <c r="S343" i="41"/>
  <c r="S385" i="41" s="1"/>
  <c r="Z311" i="41"/>
  <c r="Z384" i="41" s="1"/>
  <c r="P405" i="41"/>
  <c r="P414" i="41" s="1"/>
  <c r="X311" i="41"/>
  <c r="X384" i="41" s="1"/>
  <c r="AA311" i="41"/>
  <c r="AA384" i="41" s="1"/>
  <c r="H428" i="41"/>
  <c r="M405" i="41"/>
  <c r="M414" i="41" s="1"/>
  <c r="AD388" i="41"/>
  <c r="AD395" i="41" s="1"/>
  <c r="AD399" i="41" s="1"/>
  <c r="AD404" i="41" s="1"/>
  <c r="AD413" i="41" s="1"/>
  <c r="U343" i="41"/>
  <c r="U385"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AG422" i="41" l="1"/>
  <c r="AG426" i="41" s="1"/>
  <c r="AJ148" i="105"/>
  <c r="AJ142" i="105"/>
  <c r="K147" i="105"/>
  <c r="K141" i="105"/>
  <c r="Y388" i="41"/>
  <c r="Y395" i="41" s="1"/>
  <c r="Y398" i="41" s="1"/>
  <c r="X343" i="41"/>
  <c r="X385" i="41" s="1"/>
  <c r="X388" i="41" s="1"/>
  <c r="X395" i="41" s="1"/>
  <c r="AE422" i="41"/>
  <c r="AE426" i="41" s="1"/>
  <c r="M422" i="41"/>
  <c r="M426" i="41" s="1"/>
  <c r="AF422" i="41"/>
  <c r="AF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Z388" i="41"/>
  <c r="Z395" i="41" s="1"/>
  <c r="Z398" i="41" s="1"/>
  <c r="Z405" i="41" s="1"/>
  <c r="Z414" i="41" s="1"/>
  <c r="N422" i="41"/>
  <c r="N426" i="41" s="1"/>
  <c r="P422" i="41"/>
  <c r="P426" i="41" s="1"/>
  <c r="K68" i="82"/>
  <c r="K206" i="105"/>
  <c r="K79" i="82" s="1"/>
  <c r="K207" i="105"/>
  <c r="K80" i="82" s="1"/>
  <c r="V388" i="41"/>
  <c r="V395" i="41" s="1"/>
  <c r="V399" i="41" s="1"/>
  <c r="V404" i="41" s="1"/>
  <c r="V413" i="41" s="1"/>
  <c r="AD400" i="41"/>
  <c r="AD403" i="41" s="1"/>
  <c r="AD412" i="41" s="1"/>
  <c r="AD398" i="41"/>
  <c r="U388" i="41"/>
  <c r="U395" i="41" s="1"/>
  <c r="U398" i="41" s="1"/>
  <c r="AC405" i="41"/>
  <c r="AC414" i="41" s="1"/>
  <c r="AC422" i="41"/>
  <c r="AC426" i="41" s="1"/>
  <c r="O405" i="41"/>
  <c r="O414" i="41" s="1"/>
  <c r="O422" i="41"/>
  <c r="O426" i="41" s="1"/>
  <c r="Y405" i="41"/>
  <c r="Y414" i="41" s="1"/>
  <c r="T400" i="41"/>
  <c r="T403" i="41" s="1"/>
  <c r="T412" i="41" s="1"/>
  <c r="T399" i="41"/>
  <c r="T404" i="41" s="1"/>
  <c r="T413" i="41" s="1"/>
  <c r="T398" i="41"/>
  <c r="J399" i="41"/>
  <c r="J404" i="41" s="1"/>
  <c r="J413" i="41" s="1"/>
  <c r="J400" i="41"/>
  <c r="J403" i="41" s="1"/>
  <c r="J412" i="41" s="1"/>
  <c r="J398"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Y400" i="41" l="1"/>
  <c r="Y403" i="41" s="1"/>
  <c r="Y412" i="41" s="1"/>
  <c r="Y399" i="41"/>
  <c r="Y404" i="41" s="1"/>
  <c r="Y413" i="41" s="1"/>
  <c r="Y33" i="65" s="1"/>
  <c r="Y111" i="65" s="1"/>
  <c r="Y39" i="82" s="1"/>
  <c r="S399" i="41"/>
  <c r="S404" i="41" s="1"/>
  <c r="S413" i="41" s="1"/>
  <c r="S398" i="41"/>
  <c r="AA398" i="4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S405" i="41"/>
  <c r="S414"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T405" i="41"/>
  <c r="T414" i="41" s="1"/>
  <c r="T422" i="41"/>
  <c r="T426"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Y422" i="41" l="1"/>
  <c r="Y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N174" i="105" l="1"/>
  <c r="N71" i="82" s="1"/>
  <c r="N172" i="105"/>
  <c r="N70" i="82" s="1"/>
  <c r="Z174" i="105"/>
  <c r="Z71" i="82" s="1"/>
  <c r="Z172" i="105"/>
  <c r="Z70" i="82" s="1"/>
  <c r="X174" i="105"/>
  <c r="X71" i="82" s="1"/>
  <c r="X172" i="105"/>
  <c r="X70" i="82" s="1"/>
  <c r="AF174" i="105"/>
  <c r="AF71" i="82" s="1"/>
  <c r="AF172" i="105"/>
  <c r="AF70" i="82" s="1"/>
  <c r="V174" i="105"/>
  <c r="V71" i="82" s="1"/>
  <c r="V172" i="105"/>
  <c r="V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T174" i="105" l="1"/>
  <c r="T71" i="82" s="1"/>
  <c r="T146" i="105"/>
  <c r="T69" i="82" s="1"/>
  <c r="AC140" i="105"/>
  <c r="AC207" i="105" s="1"/>
  <c r="AC80" i="82" s="1"/>
  <c r="AC172" i="105"/>
  <c r="AC70" i="82" s="1"/>
  <c r="J174" i="105"/>
  <c r="J71" i="82" s="1"/>
  <c r="J146" i="105"/>
  <c r="J69" i="82" s="1"/>
  <c r="J172" i="105"/>
  <c r="J70" i="82" s="1"/>
  <c r="T140" i="105"/>
  <c r="T207" i="105" s="1"/>
  <c r="T80" i="82" s="1"/>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U147" i="105" l="1"/>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3" i="55"/>
  <c r="H84" i="82" a="1"/>
  <c r="H84" i="82" s="1"/>
  <c r="J64" i="55" s="1"/>
  <c r="J62" i="55" l="1"/>
  <c r="J65" i="55" s="1"/>
  <c r="A4" i="55" s="1"/>
  <c r="A4" i="82"/>
</calcChain>
</file>

<file path=xl/sharedStrings.xml><?xml version="1.0" encoding="utf-8"?>
<sst xmlns="http://schemas.openxmlformats.org/spreadsheetml/2006/main" count="7962" uniqueCount="1179">
  <si>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</si>
  <si>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</si>
  <si>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</si>
  <si>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</si>
  <si>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</si>
  <si>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</si>
  <si>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</si>
  <si>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</si>
  <si>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</si>
  <si>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</si>
  <si>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</si>
  <si>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</si>
  <si>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</si>
  <si>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</si>
  <si>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</si>
  <si>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</si>
  <si>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</si>
  <si>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</si>
  <si>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</si>
  <si>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</si>
  <si>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</si>
  <si>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</si>
  <si>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</si>
  <si>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</si>
  <si>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</si>
  <si>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</si>
  <si>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</si>
  <si>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</si>
  <si>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</si>
  <si>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</si>
  <si>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</si>
  <si>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</si>
  <si>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</si>
  <si>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</si>
  <si>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</si>
  <si>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</si>
  <si>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</si>
  <si>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</si>
  <si>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</si>
  <si>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</si>
  <si>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</si>
  <si>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</si>
  <si>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</si>
  <si>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</si>
  <si>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</si>
  <si>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</si>
  <si>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</si>
  <si>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</si>
  <si>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</si>
  <si>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</si>
  <si>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</si>
  <si>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</si>
  <si>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</si>
  <si>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</si>
  <si>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</si>
  <si>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</si>
  <si>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</si>
  <si>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</si>
  <si>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</si>
  <si>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</si>
  <si>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</si>
  <si>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</si>
  <si>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</si>
  <si>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</si>
  <si>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</si>
  <si>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</si>
  <si>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</si>
  <si>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</si>
  <si>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</si>
  <si>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</si>
  <si>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</si>
  <si>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</si>
  <si>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</si>
  <si>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</si>
  <si>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</si>
  <si>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</si>
  <si>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</si>
  <si>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</si>
  <si>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</si>
  <si>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</si>
  <si>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</si>
  <si>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</si>
  <si>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</si>
  <si>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</si>
  <si>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</si>
  <si>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</si>
  <si>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</si>
  <si>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</si>
  <si>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</si>
  <si>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</si>
  <si>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</si>
  <si>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</si>
  <si>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</si>
  <si>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</si>
  <si>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</si>
  <si>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</si>
  <si>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</si>
  <si>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</si>
  <si>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</si>
  <si>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</si>
  <si>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</si>
  <si>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</si>
  <si>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</si>
  <si>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</si>
  <si>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</si>
  <si>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</si>
  <si>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</si>
  <si>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</si>
  <si>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</si>
  <si>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</si>
  <si>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</si>
  <si>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</si>
  <si>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</si>
  <si>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</si>
  <si>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</si>
  <si>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</si>
  <si>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</si>
  <si>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</si>
  <si>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</si>
  <si>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</si>
  <si>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</si>
  <si>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</si>
  <si>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</si>
  <si>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</si>
  <si>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</si>
  <si>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</si>
  <si>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</si>
  <si>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</si>
  <si>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</si>
  <si>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</si>
  <si>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</si>
  <si>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</si>
  <si>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</si>
  <si>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</si>
  <si>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</si>
  <si>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</si>
  <si>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</si>
  <si>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</si>
  <si>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</si>
  <si>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</si>
  <si>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</si>
  <si>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</si>
  <si>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</si>
  <si>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</si>
  <si>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</si>
  <si>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</si>
  <si>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</si>
  <si>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</si>
  <si>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</si>
  <si>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</si>
  <si>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</si>
  <si>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</si>
  <si>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</si>
  <si>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</si>
  <si>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</si>
  <si>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</si>
  <si>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</si>
  <si>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</si>
  <si>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</si>
  <si>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</si>
  <si>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</si>
  <si>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</si>
  <si>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</si>
  <si>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</si>
  <si>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</si>
  <si>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</si>
  <si>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</si>
  <si>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</si>
  <si>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</si>
  <si>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</si>
  <si>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</si>
  <si>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</si>
  <si>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</si>
  <si>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</si>
  <si>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</si>
  <si>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</si>
  <si>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</si>
  <si>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</si>
  <si>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</si>
  <si>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</si>
  <si>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</si>
  <si>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</si>
  <si>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</si>
  <si>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</si>
  <si>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</si>
  <si>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</si>
  <si>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</si>
  <si>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</si>
  <si>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</si>
  <si>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</si>
  <si>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</si>
  <si>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</si>
  <si>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</si>
  <si>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</si>
  <si>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</si>
  <si>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</si>
  <si>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</si>
  <si>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</si>
  <si>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</si>
  <si>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</si>
  <si>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</si>
  <si>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</si>
  <si>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</si>
  <si>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</si>
  <si>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</si>
  <si>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</si>
  <si>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</si>
  <si>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</si>
  <si>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</si>
  <si>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</si>
  <si>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</si>
  <si>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</si>
  <si>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</si>
  <si>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</si>
  <si>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</si>
  <si>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</si>
  <si>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</si>
  <si>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</si>
  <si>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</si>
  <si>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</si>
  <si>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</si>
  <si>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</si>
  <si>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</si>
  <si>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</si>
  <si>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</si>
  <si>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</si>
  <si>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</si>
  <si>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</si>
  <si>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</si>
  <si>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</si>
  <si>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</si>
  <si>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</si>
  <si>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</si>
  <si>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</si>
  <si>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</si>
  <si>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</si>
  <si>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</si>
  <si>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</si>
  <si>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</si>
  <si>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</si>
  <si>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</si>
  <si>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</si>
  <si>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</si>
  <si>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</si>
  <si>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</si>
  <si>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</si>
  <si>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</si>
  <si>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</si>
  <si>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</si>
  <si>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</si>
  <si>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</si>
  <si>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</si>
  <si>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</si>
  <si>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</si>
  <si>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</si>
  <si>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</si>
  <si>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</si>
  <si>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</si>
  <si>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</si>
  <si>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</si>
  <si>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</si>
  <si>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</si>
  <si>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</si>
  <si>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</si>
  <si>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</si>
  <si>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</si>
  <si>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</si>
  <si>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</si>
  <si>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</si>
  <si>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</si>
  <si>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</si>
  <si>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</si>
  <si>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</si>
  <si>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</si>
  <si>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</si>
  <si>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</si>
  <si>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</si>
  <si>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</si>
  <si>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</si>
  <si>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</si>
  <si>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</si>
  <si>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</si>
  <si>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</si>
  <si>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</si>
  <si>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</si>
  <si>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</si>
  <si>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</si>
  <si>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</si>
  <si>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</si>
  <si>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</si>
  <si>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</si>
  <si>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</si>
  <si>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</si>
  <si>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</si>
  <si>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</si>
  <si>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</si>
  <si>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</si>
  <si>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</si>
  <si>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</si>
  <si>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</si>
  <si>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</si>
  <si>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</si>
  <si>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</si>
  <si>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</si>
  <si>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</si>
  <si>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</si>
  <si>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</si>
  <si>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</si>
  <si>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</si>
  <si>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</si>
  <si>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</si>
  <si>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</si>
  <si>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</si>
  <si>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</si>
  <si>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</si>
  <si>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</si>
  <si>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</si>
  <si>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</si>
  <si>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</si>
  <si>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</si>
  <si>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</si>
  <si>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</si>
  <si>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</si>
  <si>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</si>
  <si>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</si>
  <si>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</si>
  <si>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</si>
  <si>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</si>
  <si>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</si>
  <si>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</si>
  <si>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</si>
  <si>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</si>
  <si>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</si>
  <si>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</si>
  <si>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</si>
  <si>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</si>
  <si>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</si>
  <si>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</si>
  <si>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</si>
  <si>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</si>
  <si>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</si>
  <si>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</si>
  <si>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</si>
  <si>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</si>
  <si>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</si>
  <si>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</si>
  <si>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</si>
  <si>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</si>
  <si>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</si>
  <si>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</si>
  <si>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</si>
  <si>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</si>
  <si>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</si>
  <si>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</si>
  <si>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</si>
  <si>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</si>
  <si>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</si>
  <si>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</si>
  <si>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</si>
  <si>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</si>
  <si>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</si>
  <si>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</si>
  <si>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</si>
  <si>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</si>
  <si>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</si>
  <si>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</si>
  <si>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</si>
  <si>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</si>
  <si>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</si>
  <si>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</si>
  <si>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</si>
  <si>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</si>
  <si>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</si>
  <si>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</si>
  <si>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</si>
  <si>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</si>
  <si>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</si>
  <si>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</si>
  <si>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</si>
  <si>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</si>
  <si>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</si>
  <si>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</si>
  <si>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</si>
  <si>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</si>
  <si>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</si>
  <si>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</si>
  <si>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</si>
  <si>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</si>
  <si>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</si>
  <si>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</si>
  <si>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</si>
  <si>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</si>
  <si>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</si>
  <si>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</si>
  <si>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</si>
  <si>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</si>
  <si>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</si>
  <si>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</si>
  <si>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</si>
  <si>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</si>
  <si>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</si>
  <si>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</si>
  <si>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</si>
  <si>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</si>
  <si>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</si>
  <si>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</si>
  <si>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</si>
  <si>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</si>
  <si>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</si>
  <si>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</si>
  <si>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</si>
  <si>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</si>
  <si>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</si>
  <si>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</si>
  <si>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</si>
  <si>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</si>
  <si>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</si>
  <si>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</si>
  <si>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</si>
  <si>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</si>
  <si>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</si>
  <si>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</si>
  <si>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</si>
  <si>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</si>
  <si>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</si>
  <si>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</si>
  <si>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</si>
  <si>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</si>
  <si>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</si>
  <si>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</si>
  <si>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</si>
  <si>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</si>
  <si>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</si>
  <si>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</si>
  <si>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</si>
  <si>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</si>
  <si>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</si>
  <si>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</si>
  <si>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</si>
  <si>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</si>
  <si>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</si>
  <si>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</si>
  <si>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</si>
  <si>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</si>
  <si>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</si>
  <si>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</si>
  <si>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</si>
  <si>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</si>
  <si>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</si>
  <si>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</si>
  <si>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</si>
  <si>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</si>
  <si>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</si>
  <si>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</si>
  <si>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</si>
  <si>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</si>
  <si>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</si>
  <si>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</si>
  <si>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</si>
  <si>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</si>
  <si>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</si>
  <si>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</si>
  <si>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</si>
  <si>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</si>
  <si>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</si>
  <si>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</si>
  <si>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</si>
  <si>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</si>
  <si>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</si>
  <si>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</si>
  <si>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</si>
  <si>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</si>
  <si>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</si>
  <si>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</si>
  <si>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</si>
  <si>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</si>
  <si>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</si>
  <si>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</si>
  <si>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</si>
  <si>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</si>
  <si>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</si>
  <si>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</si>
  <si>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</si>
  <si>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</si>
  <si>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</si>
  <si>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</si>
  <si>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</si>
  <si>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</si>
  <si>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</si>
  <si>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</si>
  <si>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</si>
  <si>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</si>
  <si>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</si>
  <si>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</si>
  <si>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</si>
  <si>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</si>
  <si>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</si>
  <si>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</si>
  <si>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</si>
  <si>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</si>
  <si>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</si>
  <si>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</si>
  <si>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</si>
  <si>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</si>
  <si>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</si>
  <si>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</si>
  <si>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</si>
  <si>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</si>
  <si>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</si>
  <si>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</si>
  <si>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</si>
  <si>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</si>
  <si>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</si>
  <si>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</si>
  <si>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</si>
  <si>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</si>
  <si>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</si>
  <si>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</si>
  <si>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</si>
  <si>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</si>
  <si>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</si>
  <si>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</si>
  <si>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</si>
  <si>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</si>
  <si>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</si>
  <si>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</si>
  <si>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</si>
  <si>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</si>
  <si>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</si>
  <si>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</si>
  <si>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</si>
  <si>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</si>
  <si>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</si>
  <si>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</si>
  <si>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</si>
  <si>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</si>
  <si>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</si>
  <si>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</si>
  <si>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</si>
  <si>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</si>
  <si>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</si>
  <si>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</si>
  <si>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</si>
  <si>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</si>
  <si>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</si>
  <si>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</si>
  <si>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</si>
  <si>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</si>
  <si>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</si>
  <si>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</si>
  <si>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</si>
  <si>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</si>
  <si>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</si>
  <si>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</si>
  <si>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</si>
  <si>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</si>
  <si>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</si>
  <si>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</si>
  <si>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</si>
  <si>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</si>
  <si>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</si>
  <si>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</si>
  <si>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</si>
  <si>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</si>
  <si>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</si>
  <si>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</si>
  <si>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</si>
  <si>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</si>
  <si>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</si>
  <si>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</si>
  <si>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</si>
  <si>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</si>
  <si>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</si>
  <si>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</si>
  <si>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</si>
  <si>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</si>
  <si>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</si>
  <si>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</si>
  <si>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</si>
  <si>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</si>
  <si>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</si>
  <si>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</si>
  <si>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</si>
  <si>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</si>
  <si>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</si>
  <si>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</si>
  <si>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</si>
  <si>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</si>
  <si>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</si>
  <si>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</si>
  <si>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</si>
  <si>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</si>
  <si>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</si>
  <si>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</si>
  <si>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</si>
  <si>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</si>
  <si>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</si>
  <si>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</si>
  <si>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</si>
  <si>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</si>
  <si>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</si>
  <si>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</si>
  <si>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</si>
  <si>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</si>
  <si>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</si>
  <si>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</si>
  <si>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</si>
  <si>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</si>
  <si>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</si>
  <si>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</si>
  <si>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</si>
  <si>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</si>
  <si>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</si>
  <si>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</si>
  <si>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</si>
  <si>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</si>
  <si>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</si>
  <si>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</si>
  <si>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</si>
  <si>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</si>
  <si>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</si>
  <si>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</si>
  <si>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</si>
  <si>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</si>
  <si>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</si>
  <si>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</si>
  <si>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</si>
  <si>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</si>
  <si>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</si>
  <si>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</si>
  <si>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</si>
  <si>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</si>
  <si>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</si>
  <si>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</si>
  <si>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</si>
  <si>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</si>
  <si>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</si>
  <si>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</si>
  <si>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</si>
  <si>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</si>
  <si>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</si>
  <si>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</si>
  <si>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</si>
  <si>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</si>
  <si>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</si>
  <si>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</si>
  <si>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</si>
  <si>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</si>
  <si>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</si>
  <si>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</si>
  <si>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</si>
  <si>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</si>
  <si>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</si>
  <si>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</si>
  <si>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</si>
  <si>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</si>
  <si>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</si>
  <si>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</si>
  <si>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</si>
  <si>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</si>
  <si>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</si>
  <si>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</si>
  <si>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</si>
  <si>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</si>
  <si>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</si>
  <si>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</si>
  <si>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</si>
  <si>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</si>
  <si>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</si>
  <si>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</si>
  <si>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</si>
  <si>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</si>
  <si>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</si>
  <si>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</si>
  <si>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</si>
  <si>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</si>
  <si>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</si>
  <si>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</si>
  <si>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</si>
  <si>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</si>
  <si>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</si>
  <si>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</si>
  <si>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</si>
  <si>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</si>
  <si>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</si>
  <si>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</si>
  <si>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</si>
  <si>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</si>
  <si>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</si>
  <si>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</si>
  <si>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</si>
  <si>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</si>
  <si>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</si>
  <si>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</si>
  <si>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</si>
  <si>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</si>
  <si>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</si>
  <si>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</si>
  <si>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</si>
  <si>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</si>
  <si>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</si>
  <si>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</si>
  <si>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</si>
  <si>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</si>
  <si>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</si>
  <si>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</si>
  <si>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</si>
  <si>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</si>
  <si>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</si>
  <si>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</si>
  <si>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</si>
  <si>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</si>
  <si>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</si>
  <si>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</si>
  <si>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</si>
  <si>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</si>
  <si>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</si>
  <si>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</si>
  <si>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</si>
  <si>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</si>
  <si>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</si>
  <si>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</si>
  <si>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</si>
  <si>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</si>
  <si>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</si>
  <si>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</si>
  <si>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</si>
  <si>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</si>
  <si>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</si>
  <si>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</si>
  <si>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</si>
  <si>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</si>
  <si>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</si>
  <si>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</si>
  <si>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</si>
  <si>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</si>
  <si>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</si>
  <si>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</si>
  <si>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</si>
  <si>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</si>
  <si>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</si>
  <si>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</si>
  <si>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</si>
  <si>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</si>
  <si>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</si>
  <si>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</si>
  <si>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</si>
  <si>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</si>
  <si>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</si>
  <si>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</si>
  <si>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</si>
  <si>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</si>
  <si>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</si>
  <si>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</si>
  <si>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</si>
  <si>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</si>
  <si>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</si>
  <si>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</si>
  <si>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</si>
  <si>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</si>
  <si>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</si>
  <si>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</si>
  <si>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</si>
  <si>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</si>
  <si>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</si>
  <si>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</si>
  <si>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</si>
  <si>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</si>
  <si>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</si>
  <si>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</si>
  <si>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</si>
  <si>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</si>
  <si>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</si>
  <si>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</si>
  <si>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</si>
  <si>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</si>
  <si>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</si>
  <si>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</si>
  <si>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</si>
  <si>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</si>
  <si>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</si>
  <si>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</si>
  <si>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</si>
  <si>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</si>
  <si>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</si>
  <si>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</si>
  <si>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</si>
  <si>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</si>
  <si>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</si>
  <si>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</si>
  <si>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</si>
  <si>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</si>
  <si>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</si>
  <si>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</si>
  <si>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</si>
  <si>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</si>
  <si>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</si>
  <si>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</si>
  <si>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</si>
  <si>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</si>
  <si>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</si>
  <si>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</si>
  <si>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</si>
  <si>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</si>
  <si>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</si>
  <si>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</si>
  <si>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</si>
  <si>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</si>
  <si>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</si>
  <si>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</si>
  <si>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</si>
  <si>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</si>
  <si>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</si>
  <si>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</si>
  <si>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</si>
  <si>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</si>
  <si>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</si>
  <si>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</si>
  <si>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</si>
  <si>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</si>
  <si>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</si>
  <si>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</si>
  <si>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</si>
  <si>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</si>
  <si>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</si>
  <si>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</si>
  <si>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</si>
  <si>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</si>
  <si>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</si>
  <si>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</si>
  <si>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</si>
  <si>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</si>
  <si>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</si>
  <si>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</si>
  <si>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</si>
  <si>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</si>
  <si>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</si>
  <si>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</si>
  <si>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</si>
  <si>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</si>
  <si>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</si>
  <si>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</si>
  <si>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</si>
  <si>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</si>
  <si>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</si>
  <si>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</si>
  <si>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</si>
  <si>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</si>
  <si>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</si>
  <si>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</si>
  <si>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</si>
  <si>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</si>
  <si>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</si>
  <si>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</si>
  <si>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</si>
  <si>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</si>
  <si>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</si>
  <si>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</si>
  <si>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</si>
  <si>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</si>
  <si>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</si>
  <si>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</si>
  <si>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</si>
  <si>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</si>
  <si>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</si>
  <si>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</si>
  <si>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</si>
  <si>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</si>
  <si>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</si>
  <si>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</si>
  <si>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</si>
  <si>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</si>
  <si>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</si>
  <si>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</si>
  <si>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</si>
  <si>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</si>
  <si>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</si>
  <si>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</si>
  <si>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</si>
  <si>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</si>
  <si>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</si>
  <si>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</si>
  <si>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</si>
  <si>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</si>
  <si>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</si>
  <si>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</si>
  <si>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</si>
  <si>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</si>
  <si>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</si>
  <si>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</si>
  <si>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</si>
  <si>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</si>
  <si>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</si>
  <si>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</si>
  <si>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</si>
  <si>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</si>
  <si>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</si>
  <si>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</si>
  <si>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</si>
  <si>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</si>
  <si>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</si>
  <si>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</si>
  <si>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</si>
  <si>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</si>
  <si>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</si>
  <si>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</si>
  <si>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</si>
  <si>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</si>
  <si>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</si>
  <si>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</si>
  <si>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</si>
  <si>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</si>
  <si>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</si>
  <si>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</si>
  <si>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</si>
  <si>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</si>
  <si>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</si>
  <si>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</si>
  <si>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</si>
  <si>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</si>
  <si>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</si>
  <si>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</si>
  <si>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</si>
  <si>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</si>
  <si>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</si>
  <si>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</si>
  <si>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</si>
  <si>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</si>
  <si>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</si>
  <si>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</si>
  <si>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</si>
  <si>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</si>
  <si>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</si>
  <si>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</si>
  <si>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</si>
  <si>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</si>
  <si>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</si>
  <si>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</si>
  <si>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</si>
  <si>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</si>
  <si>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</si>
  <si>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</si>
  <si>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</si>
  <si>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</si>
  <si>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</si>
  <si>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</si>
  <si>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</si>
  <si>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</si>
  <si>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</si>
  <si>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</si>
  <si>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</si>
  <si>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</si>
  <si>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</si>
  <si>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</si>
  <si>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</si>
  <si>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</si>
  <si>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</si>
  <si>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</si>
  <si>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</si>
  <si>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</si>
  <si>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</si>
  <si>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</si>
  <si>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</si>
  <si>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</si>
  <si>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</si>
  <si>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</si>
  <si>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</si>
  <si>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</si>
  <si>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</si>
  <si>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</si>
  <si>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</si>
  <si>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</si>
  <si>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</si>
  <si>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</si>
  <si>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</si>
  <si>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</si>
  <si>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</si>
  <si>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</si>
  <si>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</si>
  <si>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</si>
  <si>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</si>
  <si>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</si>
  <si>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</si>
  <si>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</si>
  <si>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</si>
  <si>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</si>
  <si>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</si>
  <si>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</si>
  <si>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</si>
  <si>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</si>
  <si>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</si>
  <si>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</si>
  <si>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</si>
  <si>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</si>
  <si>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</si>
  <si>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</si>
  <si>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</si>
  <si>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</si>
  <si>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</si>
  <si>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</si>
  <si>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</si>
  <si>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</si>
  <si>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</si>
  <si>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</si>
  <si>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</si>
  <si>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</si>
  <si>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</si>
  <si>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</si>
  <si>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</si>
  <si>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</si>
  <si>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</si>
  <si>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</si>
  <si>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</si>
  <si>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</si>
  <si>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</si>
  <si>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</si>
  <si>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</si>
  <si>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</si>
  <si>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</si>
  <si>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</si>
  <si>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</si>
  <si>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</si>
  <si>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</si>
  <si>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</si>
  <si>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</si>
  <si>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</si>
  <si>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</si>
  <si>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</si>
  <si>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</si>
  <si>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</si>
  <si>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</si>
  <si>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</si>
  <si>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</si>
  <si>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</si>
  <si>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</si>
  <si>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</si>
  <si>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</si>
  <si>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</si>
  <si>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</si>
  <si>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</si>
  <si>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</si>
  <si>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</si>
  <si>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</si>
  <si>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</si>
  <si>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</si>
  <si>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</si>
  <si>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</si>
  <si>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</si>
  <si>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</si>
  <si>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</si>
  <si>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</si>
  <si>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</si>
  <si>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</si>
  <si>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</si>
  <si>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</si>
  <si>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</si>
  <si>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</si>
  <si>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</si>
  <si>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</si>
  <si>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</si>
  <si>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</si>
  <si>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</si>
  <si>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</si>
  <si>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</si>
  <si>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</si>
  <si>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</si>
  <si>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</si>
  <si>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</si>
  <si>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</si>
  <si>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</si>
  <si>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</si>
  <si>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</si>
  <si>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</si>
  <si>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</si>
  <si>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</si>
  <si>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</si>
  <si>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</si>
  <si>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</si>
  <si>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</si>
  <si>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</si>
  <si>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</si>
  <si>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</si>
  <si>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</si>
  <si>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</si>
  <si>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</si>
  <si>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</si>
  <si>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</si>
  <si>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</si>
  <si>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</si>
  <si>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</si>
  <si>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</si>
  <si>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</si>
  <si>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</si>
  <si>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</si>
  <si>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</si>
  <si>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</si>
  <si>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</si>
  <si>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</si>
  <si>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</si>
  <si>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</si>
  <si>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</si>
  <si>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</si>
  <si>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</si>
  <si>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</si>
  <si>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</si>
  <si>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</si>
  <si>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</si>
  <si>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</si>
  <si>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</si>
  <si>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</si>
  <si>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</si>
  <si>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</si>
  <si>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</si>
  <si>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</si>
  <si>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</si>
  <si>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</si>
  <si>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</si>
  <si>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</si>
  <si>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</si>
  <si>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</si>
  <si>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</si>
  <si>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Attachment A_2025-26 Charging Methodologies Pre-Release (shared on 09/10/2023)</t>
  </si>
  <si>
    <t>Allowed revenue</t>
  </si>
  <si>
    <t>CDCM revenue</t>
  </si>
  <si>
    <t>£m nominal</t>
  </si>
  <si>
    <t>Correction term</t>
  </si>
  <si>
    <t>Forecasting penalty</t>
  </si>
  <si>
    <t>Legacy Allowed Revenue</t>
  </si>
  <si>
    <t>Real to nominal prices conversion factor (splice index for RIIO-2)</t>
  </si>
  <si>
    <t>Calculated revenue (before tax)</t>
  </si>
  <si>
    <t>Calculated revenue (after tax)</t>
  </si>
  <si>
    <t>Tax allowance</t>
  </si>
  <si>
    <t>Tax allowance adjustment</t>
  </si>
  <si>
    <t>£m 20/21 prices</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</si>
  <si>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</si>
  <si>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Equity issuance costs</t>
  </si>
  <si>
    <t>Business plan incentive</t>
  </si>
  <si>
    <t>Output delivery incentive</t>
  </si>
  <si>
    <t>Other revenue allowances</t>
  </si>
  <si>
    <t>Directly Remunerated Services</t>
  </si>
  <si>
    <t>Base Revenue</t>
  </si>
  <si>
    <t>Pass-through</t>
  </si>
  <si>
    <t>Licence Fee Payments</t>
  </si>
  <si>
    <t>Prescribed Rates</t>
  </si>
  <si>
    <t>Pass-through Transmission Connection Point Charges</t>
  </si>
  <si>
    <t>Smart Meter Communication Licensee Costs</t>
  </si>
  <si>
    <t>Smart Meter Information Technology Costs</t>
  </si>
  <si>
    <t>Ring Fence Costs</t>
  </si>
  <si>
    <t>Supplier of Last Resort Net Costs</t>
  </si>
  <si>
    <t>Valid Bad Debt Claims</t>
  </si>
  <si>
    <t>Pension Scheme Established Deficit repair expenditure</t>
  </si>
  <si>
    <t>Failed Supplier Recovered Costs</t>
  </si>
  <si>
    <t>Shetland Variable Energy Costs (SSEH only)</t>
  </si>
  <si>
    <t>Assistance for high-cost distributors adjustment (SSEH only)</t>
  </si>
  <si>
    <t>Fast money</t>
  </si>
  <si>
    <t>Depreciation</t>
  </si>
  <si>
    <t>Return</t>
  </si>
  <si>
    <t>Total pass-through</t>
  </si>
  <si>
    <t>Total base revenue</t>
  </si>
  <si>
    <t>Total allowed revenue</t>
  </si>
  <si>
    <t>One million</t>
  </si>
  <si>
    <t>million</t>
  </si>
  <si>
    <t>Equal to 1,000,000</t>
  </si>
  <si>
    <t>Equal to 1,000</t>
  </si>
  <si>
    <t>Allowed revenue by charging model</t>
  </si>
  <si>
    <t xml:space="preserve">Implemented DCP 421. </t>
  </si>
  <si>
    <t>Attachment B DCP 421 Draft Legal Text (shared on 07/11/2023)</t>
  </si>
  <si>
    <t>The contents of this table are defined on the DCUSA website and referenced in Paragraph 1.5 of Schedule 15 (Table 1)</t>
  </si>
  <si>
    <t>Other revenue</t>
  </si>
  <si>
    <t>Return Adjustment</t>
  </si>
  <si>
    <t>Nominal calculated revenue (after tax)</t>
  </si>
  <si>
    <t>Total other revenue</t>
  </si>
  <si>
    <t>Revenue raised outside CDCM - EDCM and Certain Interconnector Revenue</t>
  </si>
  <si>
    <t>Release for 2026/27 charge setting</t>
  </si>
  <si>
    <t>2026/27</t>
  </si>
  <si>
    <t>Release for charge setting including DCP 421.</t>
  </si>
  <si>
    <t>Attachment A_2026-27 Charging Methodologies Pre-Release (shared on 03/10/2024)</t>
  </si>
  <si>
    <t>Northern Powergrid (Northeast)</t>
  </si>
  <si>
    <t>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</si>
</sst>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36">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6" xfId="54" quotePrefix="1" applyFill="1" applyBorder="1" applyProtection="1"/>
    <xf numFmtId="0" fontId="26" fillId="0" borderId="0" xfId="54" applyProtection="1"/>
    <xf numFmtId="0" fontId="26" fillId="44" borderId="0" xfId="54" quotePrefix="1" applyFill="1" applyProtection="1"/>
    <xf numFmtId="0" fontId="26" fillId="45" borderId="16" xfId="54" quotePrefix="1" applyFill="1" applyBorder="1" applyProtection="1"/>
    <xf numFmtId="0" fontId="26" fillId="37" borderId="16" xfId="54" quotePrefix="1" applyFill="1" applyBorder="1" applyProtection="1"/>
    <xf numFmtId="0" fontId="26" fillId="37" borderId="0" xfId="54" quotePrefix="1" applyFill="1" applyProtection="1"/>
    <xf numFmtId="0" fontId="26" fillId="46" borderId="16"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4"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5"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0" xfId="51" applyNumberFormat="1" applyBorder="1">
      <protection locked="0"/>
    </xf>
    <xf numFmtId="9" fontId="8" fillId="2" borderId="2" xfId="51" applyNumberFormat="1" applyBorder="1">
      <protection locked="0"/>
    </xf>
    <xf numFmtId="10" fontId="8" fillId="2" borderId="0" xfId="51" applyNumberFormat="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33" t="s">
        <v>0</v>
      </c>
    </row>
    <row r="4" spans="2:4" ht="21" x14ac:dyDescent="0.25">
      <c r="D4" s="34" t="s">
        <v>1173</v>
      </c>
    </row>
    <row r="5" spans="2:4" ht="15" customHeight="1" x14ac:dyDescent="0.25">
      <c r="D5" s="35"/>
    </row>
    <row r="6" spans="2:4" ht="15" customHeight="1" x14ac:dyDescent="0.25">
      <c r="B6" s="36" t="str">
        <f>'Version control'!F7</f>
        <v>Model date:</v>
      </c>
      <c r="D6" s="37">
        <f>'Version control'!H7</f>
        <v>45590</v>
      </c>
    </row>
    <row r="7" spans="2:4" ht="15" customHeight="1" x14ac:dyDescent="0.25">
      <c r="D7" s="38"/>
    </row>
    <row r="8" spans="2:4" ht="15" customHeight="1" x14ac:dyDescent="0.25">
      <c r="B8" s="36" t="str">
        <f>'Version control'!F9</f>
        <v>Development stage:</v>
      </c>
      <c r="D8" s="37" t="str">
        <f>'Version control'!H9</f>
        <v>Release for charge setting</v>
      </c>
    </row>
    <row r="9" spans="2:4" ht="15" customHeight="1" x14ac:dyDescent="0.25">
      <c r="D9" s="38"/>
    </row>
    <row r="10" spans="2:4" ht="15" customHeight="1" x14ac:dyDescent="0.25">
      <c r="B10" s="36" t="str">
        <f>'Version control'!F11</f>
        <v>Model number:</v>
      </c>
      <c r="D10" s="38">
        <f>'Version control'!H11</f>
        <v>11</v>
      </c>
    </row>
    <row r="11" spans="2:4" ht="15" customHeight="1" x14ac:dyDescent="0.25">
      <c r="D11" s="38"/>
    </row>
    <row r="12" spans="2:4" ht="30" customHeight="1" x14ac:dyDescent="0.25">
      <c r="B12" s="36" t="str">
        <f>'Version control'!F13</f>
        <v>DCUSA text version:</v>
      </c>
      <c r="D12" s="39" t="str">
        <f>'Version control'!H13</f>
        <v>Attachment A_2026-27 Charging Methodologies Pre-Release (shared on 03/10/2024)</v>
      </c>
    </row>
    <row r="13" spans="2:4" ht="15" customHeight="1" x14ac:dyDescent="0.25">
      <c r="D13" s="38"/>
    </row>
    <row r="14" spans="2:4" ht="15" customHeight="1" x14ac:dyDescent="0.25">
      <c r="B14" s="36" t="str">
        <f>'Version control'!F15</f>
        <v>DCUSA text schedule:</v>
      </c>
      <c r="D14" s="37" t="str">
        <f>'Version control'!H15</f>
        <v>Schedule 16</v>
      </c>
    </row>
    <row r="16" spans="2:4" ht="30" x14ac:dyDescent="0.25">
      <c r="B16" s="36" t="s">
        <v>1</v>
      </c>
      <c r="D16" s="40" t="s">
        <v>1081</v>
      </c>
    </row>
    <row r="17" spans="2:4" x14ac:dyDescent="0.25">
      <c r="D17" s="4" t="s">
        <v>2</v>
      </c>
    </row>
    <row r="18" spans="2:4" x14ac:dyDescent="0.25">
      <c r="D18" s="3"/>
    </row>
    <row r="19" spans="2:4" ht="15" customHeight="1" x14ac:dyDescent="0.25">
      <c r="B19" s="36" t="s">
        <v>3</v>
      </c>
      <c r="D19" s="415" t="s">
        <v>1174</v>
      </c>
    </row>
    <row r="21" spans="2:4" ht="15" customHeight="1" x14ac:dyDescent="0.25">
      <c r="B21" s="36" t="s">
        <v>4</v>
      </c>
      <c r="D21" s="415" t="s">
        <v>1177</v>
      </c>
    </row>
    <row r="23" spans="2:4" ht="15" customHeight="1" x14ac:dyDescent="0.25">
      <c r="B23" s="36" t="s">
        <v>5</v>
      </c>
      <c r="D23" s="415" t="s">
        <v>1178</v>
      </c>
    </row>
    <row r="25" spans="2:4" ht="30" customHeight="1" x14ac:dyDescent="0.25">
      <c r="B25" s="36" t="s">
        <v>6</v>
      </c>
      <c r="D25" s="415"/>
    </row>
    <row r="26" spans="2:4" ht="15" customHeight="1" x14ac:dyDescent="0.25">
      <c r="B26" s="36"/>
    </row>
    <row r="27" spans="2:4" ht="15" customHeight="1" x14ac:dyDescent="0.25">
      <c r="B27" s="36" t="s">
        <v>7</v>
      </c>
    </row>
    <row r="28" spans="2:4" ht="15" customHeight="1" x14ac:dyDescent="0.25">
      <c r="B28" s="41" t="s">
        <v>8</v>
      </c>
      <c r="C28" s="42"/>
      <c r="D28" s="42" t="s">
        <v>9</v>
      </c>
    </row>
    <row r="29" spans="2:4" x14ac:dyDescent="0.25">
      <c r="B29" s="43"/>
      <c r="C29" s="44"/>
      <c r="D29" s="44" t="s">
        <v>10</v>
      </c>
    </row>
    <row r="30" spans="2:4" x14ac:dyDescent="0.25">
      <c r="B30" s="16" t="s">
        <v>11</v>
      </c>
      <c r="D30" s="3" t="s">
        <v>12</v>
      </c>
    </row>
    <row r="31" spans="2:4" x14ac:dyDescent="0.25">
      <c r="B31" s="416" t="s">
        <v>11</v>
      </c>
      <c r="D31" s="3" t="s">
        <v>13</v>
      </c>
    </row>
    <row r="32" spans="2:4" x14ac:dyDescent="0.25">
      <c r="B32" s="417" t="s">
        <v>11</v>
      </c>
      <c r="D32" s="3" t="s">
        <v>14</v>
      </c>
    </row>
    <row r="33" spans="2:4" x14ac:dyDescent="0.25">
      <c r="B33" s="45" t="s">
        <v>11</v>
      </c>
      <c r="D33" s="3" t="s">
        <v>15</v>
      </c>
    </row>
    <row r="34" spans="2:4" x14ac:dyDescent="0.25">
      <c r="B34" s="46" t="s">
        <v>11</v>
      </c>
      <c r="D34" s="3" t="s">
        <v>16</v>
      </c>
    </row>
    <row r="35" spans="2:4" x14ac:dyDescent="0.25">
      <c r="B35" s="47" t="s">
        <v>11</v>
      </c>
      <c r="D35" s="3" t="s">
        <v>17</v>
      </c>
    </row>
    <row r="36" spans="2:4" x14ac:dyDescent="0.25">
      <c r="B36" s="48" t="s">
        <v>11</v>
      </c>
      <c r="D36" s="3" t="s">
        <v>18</v>
      </c>
    </row>
    <row r="37" spans="2:4" x14ac:dyDescent="0.25">
      <c r="B37" s="49" t="s">
        <v>19</v>
      </c>
      <c r="D37" s="3" t="s">
        <v>20</v>
      </c>
    </row>
    <row r="38" spans="2:4" ht="15" customHeight="1" x14ac:dyDescent="0.25">
      <c r="B38" s="50" t="s">
        <v>19</v>
      </c>
      <c r="D38" s="3" t="s">
        <v>21</v>
      </c>
    </row>
    <row r="39" spans="2:4" ht="15" customHeight="1" x14ac:dyDescent="0.25">
      <c r="B39" s="42" t="s">
        <v>19</v>
      </c>
      <c r="D39" s="3" t="s">
        <v>22</v>
      </c>
    </row>
    <row r="40" spans="2:4" ht="15" customHeight="1" x14ac:dyDescent="0.25">
      <c r="B40" s="51" t="s">
        <v>19</v>
      </c>
      <c r="D40" s="3" t="s">
        <v>23</v>
      </c>
    </row>
    <row r="41" spans="2:4" ht="15" customHeight="1" x14ac:dyDescent="0.25">
      <c r="B41" s="52" t="s">
        <v>19</v>
      </c>
      <c r="D41" s="3" t="s">
        <v>24</v>
      </c>
    </row>
    <row r="42" spans="2:4" ht="15" customHeight="1" x14ac:dyDescent="0.25">
      <c r="B42" s="53" t="s">
        <v>19</v>
      </c>
      <c r="D42" s="3" t="s">
        <v>25</v>
      </c>
    </row>
    <row r="43" spans="2:4" ht="15" customHeight="1" x14ac:dyDescent="0.25">
      <c r="B43" s="54" t="s">
        <v>26</v>
      </c>
      <c r="D43" s="3" t="s">
        <v>27</v>
      </c>
    </row>
    <row r="44" spans="2:4" ht="15" customHeight="1" x14ac:dyDescent="0.25">
      <c r="B44" s="55" t="s">
        <v>26</v>
      </c>
      <c r="D44" s="3" t="s">
        <v>28</v>
      </c>
    </row>
    <row r="45" spans="2:4" ht="15" customHeight="1" x14ac:dyDescent="0.25">
      <c r="B45" s="56" t="s">
        <v>26</v>
      </c>
      <c r="D45" s="3" t="s">
        <v>29</v>
      </c>
    </row>
    <row r="46" spans="2:4" ht="15" customHeight="1" x14ac:dyDescent="0.25">
      <c r="B46" s="57" t="s">
        <v>26</v>
      </c>
      <c r="C46" s="58"/>
      <c r="D46" s="58" t="s">
        <v>30</v>
      </c>
    </row>
    <row r="47" spans="2:4" ht="15" customHeight="1" x14ac:dyDescent="0.25">
      <c r="D47" s="59"/>
    </row>
    <row r="48" spans="2:4" ht="15" customHeight="1" x14ac:dyDescent="0.25">
      <c r="B48" s="4"/>
    </row>
    <row r="49" spans="2:4" ht="15" customHeight="1" x14ac:dyDescent="0.25">
      <c r="B49" s="17"/>
    </row>
    <row r="50" spans="2:4" ht="15" customHeight="1" x14ac:dyDescent="0.25">
      <c r="B50" s="17"/>
    </row>
    <row r="51" spans="2:4" ht="15" customHeight="1" x14ac:dyDescent="0.25">
      <c r="B51" s="17"/>
    </row>
    <row r="52" spans="2:4" ht="15" customHeight="1" x14ac:dyDescent="0.25">
      <c r="B52" s="17"/>
      <c r="D52" s="3"/>
    </row>
  </sheetData>
  <sheetProtection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2"/>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(Northeast) - v0.1</v>
      </c>
    </row>
    <row r="3" spans="1:13" s="5" customFormat="1" x14ac:dyDescent="0.25">
      <c r="A3" s="5" t="str">
        <f>Cover!D2&amp;" - "&amp;Cover!D8&amp;" v"&amp;Cover!D10&amp;" - "&amp;Cover!D19</f>
        <v>CDCM charging model - Release for charge setting v11 - 2026/27</v>
      </c>
    </row>
    <row r="4" spans="1:13" customFormat="1" x14ac:dyDescent="0.25">
      <c r="A4" s="60" t="str">
        <f>J65 &amp; IF(J65 = 1, " issue", " issues") &amp;" identified in checks on this sheet"</f>
        <v>0 issues identified in checks on this sheet</v>
      </c>
      <c r="B4" s="61"/>
      <c r="C4" s="61"/>
      <c r="D4" s="61"/>
      <c r="E4" s="61"/>
      <c r="F4" s="61"/>
      <c r="G4" s="61"/>
      <c r="H4" s="62"/>
      <c r="I4" s="62"/>
      <c r="J4" s="61"/>
    </row>
    <row r="5" spans="1:13" x14ac:dyDescent="0.25">
      <c r="A5" s="63"/>
      <c r="B5" s="64" t="s">
        <v>31</v>
      </c>
      <c r="C5" s="64"/>
      <c r="D5" s="64"/>
      <c r="E5" s="64"/>
      <c r="F5" s="64"/>
      <c r="G5" s="65"/>
      <c r="H5" s="65"/>
      <c r="I5" s="65"/>
      <c r="J5" s="65"/>
      <c r="K5" s="65"/>
      <c r="L5" s="64"/>
    </row>
    <row r="6" spans="1:13" x14ac:dyDescent="0.25">
      <c r="A6" s="63"/>
      <c r="B6" s="63"/>
      <c r="C6" s="63"/>
      <c r="D6" s="63"/>
      <c r="E6" s="63"/>
      <c r="F6" s="63"/>
      <c r="G6" s="66"/>
      <c r="H6" s="66"/>
      <c r="I6" s="66"/>
      <c r="J6" s="66"/>
      <c r="K6" s="66"/>
      <c r="L6" s="63"/>
    </row>
    <row r="7" spans="1:13" x14ac:dyDescent="0.25">
      <c r="A7" s="63"/>
      <c r="B7" s="63"/>
      <c r="C7" s="63"/>
      <c r="D7" s="63"/>
      <c r="F7" s="63" t="s">
        <v>32</v>
      </c>
      <c r="H7" s="67">
        <f>LOOKUP(2,1/(F20:F37&lt;&gt;""),F20:F37)</f>
        <v>45590</v>
      </c>
      <c r="I7" s="68"/>
      <c r="J7" s="68"/>
      <c r="K7" s="63"/>
      <c r="L7" s="63"/>
    </row>
    <row r="8" spans="1:13" x14ac:dyDescent="0.25">
      <c r="A8" s="63"/>
      <c r="B8" s="63"/>
      <c r="C8" s="63"/>
      <c r="D8" s="63"/>
      <c r="F8" s="63"/>
      <c r="H8" s="63"/>
      <c r="I8" s="66"/>
      <c r="J8" s="66"/>
      <c r="K8" s="63"/>
      <c r="L8" s="63"/>
    </row>
    <row r="9" spans="1:13" x14ac:dyDescent="0.25">
      <c r="A9" s="63"/>
      <c r="B9" s="63"/>
      <c r="C9" s="63"/>
      <c r="D9" s="63"/>
      <c r="F9" s="63" t="s">
        <v>33</v>
      </c>
      <c r="H9" s="69" t="str">
        <f>LOOKUP(2,1/(G20:G37&lt;&gt;""),G20:G37)</f>
        <v>Release for charge setting</v>
      </c>
      <c r="I9" s="70"/>
      <c r="J9" s="70"/>
      <c r="K9" s="63"/>
      <c r="L9" s="63"/>
    </row>
    <row r="10" spans="1:13" x14ac:dyDescent="0.25">
      <c r="A10" s="63"/>
      <c r="B10" s="63"/>
      <c r="C10" s="63"/>
      <c r="D10" s="63"/>
      <c r="F10" s="63"/>
      <c r="H10" s="63"/>
      <c r="I10" s="63"/>
      <c r="J10" s="63"/>
      <c r="K10" s="63"/>
      <c r="L10" s="63"/>
    </row>
    <row r="11" spans="1:13" x14ac:dyDescent="0.25">
      <c r="A11" s="63"/>
      <c r="B11" s="63"/>
      <c r="C11" s="63"/>
      <c r="D11" s="63"/>
      <c r="F11" s="71" t="s">
        <v>779</v>
      </c>
      <c r="H11" s="69">
        <f>LOOKUP(2,1/(H20:H37&lt;&gt;""),H20:H37)</f>
        <v>11</v>
      </c>
      <c r="I11" s="70"/>
      <c r="J11" s="70"/>
      <c r="K11" s="63"/>
      <c r="L11" s="63"/>
    </row>
    <row r="12" spans="1:13" x14ac:dyDescent="0.25">
      <c r="A12" s="63"/>
      <c r="B12" s="63"/>
      <c r="C12" s="63"/>
      <c r="D12" s="63"/>
      <c r="F12" s="63"/>
      <c r="H12" s="63"/>
      <c r="I12" s="66"/>
      <c r="J12" s="66"/>
      <c r="K12" s="63"/>
      <c r="L12" s="63"/>
    </row>
    <row r="13" spans="1:13" customFormat="1" x14ac:dyDescent="0.25">
      <c r="A13" s="71"/>
      <c r="B13" s="71"/>
      <c r="C13" s="71"/>
      <c r="D13" s="71"/>
      <c r="E13" s="6"/>
      <c r="F13" s="63" t="s">
        <v>34</v>
      </c>
      <c r="H13" s="67" t="str">
        <f>LOOKUP(2,1/(I20:I37&lt;&gt;""),I20:I37)</f>
        <v>Attachment A_2026-27 Charging Methodologies Pre-Release (shared on 03/10/2024)</v>
      </c>
      <c r="I13" s="72"/>
      <c r="J13" s="72"/>
      <c r="K13" s="72"/>
      <c r="L13" s="71"/>
      <c r="M13" s="71"/>
    </row>
    <row r="14" spans="1:13" customFormat="1" x14ac:dyDescent="0.25">
      <c r="A14" s="71"/>
      <c r="B14" s="71"/>
      <c r="C14" s="71"/>
      <c r="D14" s="71"/>
      <c r="E14" s="6"/>
      <c r="F14" s="71"/>
      <c r="I14" s="72"/>
      <c r="J14" s="72"/>
      <c r="K14" s="72"/>
      <c r="L14" s="71"/>
      <c r="M14" s="71"/>
    </row>
    <row r="15" spans="1:13" x14ac:dyDescent="0.25">
      <c r="A15" s="63"/>
      <c r="B15" s="63"/>
      <c r="C15" s="63"/>
      <c r="D15" s="63"/>
      <c r="F15" s="63" t="s">
        <v>35</v>
      </c>
      <c r="H15" s="69" t="str">
        <f>LOOKUP(2,1/(J20:J37&lt;&gt;""),J20:J37)</f>
        <v>Schedule 16</v>
      </c>
      <c r="I15" s="66"/>
      <c r="J15" s="66"/>
      <c r="K15" s="63"/>
      <c r="L15" s="63"/>
    </row>
    <row r="16" spans="1:13" x14ac:dyDescent="0.25">
      <c r="A16" s="63"/>
      <c r="B16" s="63"/>
      <c r="C16" s="63"/>
      <c r="D16" s="63"/>
      <c r="E16" s="63"/>
      <c r="F16" s="63"/>
      <c r="H16" s="66"/>
      <c r="I16" s="66"/>
      <c r="J16" s="66"/>
      <c r="K16" s="63"/>
      <c r="L16" s="63"/>
    </row>
    <row r="17" spans="1:12" x14ac:dyDescent="0.25">
      <c r="A17" s="63"/>
      <c r="B17" s="64" t="s">
        <v>36</v>
      </c>
      <c r="C17" s="64"/>
      <c r="D17" s="64"/>
      <c r="E17" s="64"/>
      <c r="F17" s="64"/>
      <c r="G17" s="65"/>
      <c r="H17" s="65"/>
      <c r="I17" s="65"/>
      <c r="J17" s="65"/>
      <c r="K17" s="65"/>
      <c r="L17" s="64"/>
    </row>
    <row r="18" spans="1:12" x14ac:dyDescent="0.25">
      <c r="A18" s="63"/>
      <c r="B18" s="63"/>
      <c r="C18" s="63"/>
      <c r="D18" s="63"/>
      <c r="E18" s="63"/>
      <c r="F18" s="63"/>
      <c r="G18" s="66"/>
      <c r="H18" s="63"/>
      <c r="I18" s="63"/>
      <c r="J18" s="63"/>
      <c r="K18" s="63"/>
      <c r="L18" s="63"/>
    </row>
    <row r="19" spans="1:12" x14ac:dyDescent="0.25">
      <c r="A19" s="63"/>
      <c r="B19" s="63"/>
      <c r="C19" s="63"/>
      <c r="D19" s="63"/>
      <c r="E19" s="63"/>
      <c r="F19" s="73" t="s">
        <v>37</v>
      </c>
      <c r="G19" s="74" t="s">
        <v>38</v>
      </c>
      <c r="H19" s="73" t="s">
        <v>776</v>
      </c>
      <c r="I19" s="74" t="s">
        <v>39</v>
      </c>
      <c r="J19" s="74" t="s">
        <v>40</v>
      </c>
      <c r="K19" s="74" t="s">
        <v>41</v>
      </c>
      <c r="L19" s="74" t="s">
        <v>42</v>
      </c>
    </row>
    <row r="20" spans="1:12" ht="30" x14ac:dyDescent="0.25">
      <c r="A20" s="63"/>
      <c r="B20" s="63"/>
      <c r="C20" s="63"/>
      <c r="D20" s="63"/>
      <c r="E20" s="63"/>
      <c r="F20" s="418">
        <v>43250</v>
      </c>
      <c r="G20" s="415" t="s">
        <v>43</v>
      </c>
      <c r="H20" s="415">
        <v>1</v>
      </c>
      <c r="I20" s="415" t="s">
        <v>44</v>
      </c>
      <c r="J20" s="415" t="s">
        <v>45</v>
      </c>
      <c r="K20" s="415" t="s">
        <v>46</v>
      </c>
      <c r="L20" s="415" t="s">
        <v>47</v>
      </c>
    </row>
    <row r="21" spans="1:12" ht="30" x14ac:dyDescent="0.25">
      <c r="A21" s="63"/>
      <c r="B21" s="63"/>
      <c r="C21" s="63"/>
      <c r="D21" s="63"/>
      <c r="E21" s="63"/>
      <c r="F21" s="418">
        <v>43301</v>
      </c>
      <c r="G21" s="415" t="s">
        <v>43</v>
      </c>
      <c r="H21" s="415">
        <v>2</v>
      </c>
      <c r="I21" s="415" t="s">
        <v>48</v>
      </c>
      <c r="J21" s="415" t="s">
        <v>45</v>
      </c>
      <c r="K21" s="415" t="s">
        <v>46</v>
      </c>
      <c r="L21" s="415" t="s">
        <v>49</v>
      </c>
    </row>
    <row r="22" spans="1:12" ht="45" x14ac:dyDescent="0.25">
      <c r="A22" s="63"/>
      <c r="B22" s="63"/>
      <c r="C22" s="63"/>
      <c r="D22" s="63"/>
      <c r="E22" s="63"/>
      <c r="F22" s="418">
        <v>43389</v>
      </c>
      <c r="G22" s="415" t="s">
        <v>777</v>
      </c>
      <c r="H22" s="415">
        <v>3</v>
      </c>
      <c r="I22" s="419" t="s">
        <v>778</v>
      </c>
      <c r="J22" s="419" t="s">
        <v>45</v>
      </c>
      <c r="K22" s="419" t="s">
        <v>46</v>
      </c>
      <c r="L22" s="419" t="s">
        <v>780</v>
      </c>
    </row>
    <row r="23" spans="1:12" ht="60" x14ac:dyDescent="0.25">
      <c r="A23" s="63"/>
      <c r="B23" s="63"/>
      <c r="C23" s="63"/>
      <c r="D23" s="63"/>
      <c r="E23" s="63"/>
      <c r="F23" s="418">
        <v>43663</v>
      </c>
      <c r="G23" s="415" t="s">
        <v>43</v>
      </c>
      <c r="H23" s="415">
        <v>4</v>
      </c>
      <c r="I23" s="415" t="s">
        <v>809</v>
      </c>
      <c r="J23" s="419" t="s">
        <v>45</v>
      </c>
      <c r="K23" s="419" t="s">
        <v>46</v>
      </c>
      <c r="L23" s="415" t="s">
        <v>810</v>
      </c>
    </row>
    <row r="24" spans="1:12" ht="60" x14ac:dyDescent="0.25">
      <c r="A24" s="63"/>
      <c r="B24" s="63"/>
      <c r="C24" s="63"/>
      <c r="D24" s="63"/>
      <c r="E24" s="63"/>
      <c r="F24" s="418">
        <v>43777</v>
      </c>
      <c r="G24" s="415" t="s">
        <v>777</v>
      </c>
      <c r="H24" s="415">
        <v>5</v>
      </c>
      <c r="I24" s="415" t="s">
        <v>852</v>
      </c>
      <c r="J24" s="415" t="s">
        <v>45</v>
      </c>
      <c r="K24" s="415" t="s">
        <v>46</v>
      </c>
      <c r="L24" s="419" t="s">
        <v>846</v>
      </c>
    </row>
    <row r="25" spans="1:12" ht="90" x14ac:dyDescent="0.25">
      <c r="A25" s="63"/>
      <c r="B25" s="63"/>
      <c r="C25" s="63"/>
      <c r="D25" s="63"/>
      <c r="E25" s="63"/>
      <c r="F25" s="418">
        <v>43860</v>
      </c>
      <c r="G25" s="415" t="s">
        <v>777</v>
      </c>
      <c r="H25" s="415">
        <v>6</v>
      </c>
      <c r="I25" s="415" t="s">
        <v>854</v>
      </c>
      <c r="J25" s="415" t="s">
        <v>45</v>
      </c>
      <c r="K25" s="415" t="s">
        <v>46</v>
      </c>
      <c r="L25" s="419" t="s">
        <v>855</v>
      </c>
    </row>
    <row r="26" spans="1:12" ht="45" x14ac:dyDescent="0.25">
      <c r="A26" s="63"/>
      <c r="B26" s="63"/>
      <c r="C26" s="63"/>
      <c r="D26" s="63"/>
      <c r="E26" s="63"/>
      <c r="F26" s="418">
        <v>43977</v>
      </c>
      <c r="G26" s="415" t="s">
        <v>43</v>
      </c>
      <c r="H26" s="415">
        <v>6</v>
      </c>
      <c r="I26" s="415" t="s">
        <v>1070</v>
      </c>
      <c r="J26" s="415" t="s">
        <v>45</v>
      </c>
      <c r="K26" s="415" t="s">
        <v>46</v>
      </c>
      <c r="L26" s="415" t="s">
        <v>1071</v>
      </c>
    </row>
    <row r="27" spans="1:12" ht="60" x14ac:dyDescent="0.25">
      <c r="A27" s="63"/>
      <c r="B27" s="63"/>
      <c r="C27" s="63"/>
      <c r="D27" s="63"/>
      <c r="E27" s="63"/>
      <c r="F27" s="418">
        <v>44141</v>
      </c>
      <c r="G27" s="415" t="s">
        <v>777</v>
      </c>
      <c r="H27" s="415">
        <v>7</v>
      </c>
      <c r="I27" s="415" t="s">
        <v>1082</v>
      </c>
      <c r="J27" s="415" t="s">
        <v>45</v>
      </c>
      <c r="K27" s="415" t="s">
        <v>46</v>
      </c>
      <c r="L27" s="415" t="s">
        <v>1083</v>
      </c>
    </row>
    <row r="28" spans="1:12" ht="45" x14ac:dyDescent="0.25">
      <c r="A28" s="63"/>
      <c r="B28" s="63"/>
      <c r="C28" s="63"/>
      <c r="D28" s="63"/>
      <c r="E28" s="63"/>
      <c r="F28" s="418">
        <v>44225</v>
      </c>
      <c r="G28" s="415" t="s">
        <v>43</v>
      </c>
      <c r="H28" s="415">
        <v>7</v>
      </c>
      <c r="I28" s="415" t="s">
        <v>1097</v>
      </c>
      <c r="J28" s="415" t="s">
        <v>45</v>
      </c>
      <c r="K28" s="415" t="s">
        <v>46</v>
      </c>
      <c r="L28" s="415" t="s">
        <v>1098</v>
      </c>
    </row>
    <row r="29" spans="1:12" ht="90" x14ac:dyDescent="0.25">
      <c r="A29" s="63"/>
      <c r="B29" s="63"/>
      <c r="C29" s="63"/>
      <c r="D29" s="63"/>
      <c r="E29" s="63"/>
      <c r="F29" s="420">
        <v>44250</v>
      </c>
      <c r="G29" s="415" t="s">
        <v>777</v>
      </c>
      <c r="H29" s="421">
        <v>8</v>
      </c>
      <c r="I29" s="419" t="s">
        <v>1099</v>
      </c>
      <c r="J29" s="415" t="s">
        <v>45</v>
      </c>
      <c r="K29" s="422" t="s">
        <v>46</v>
      </c>
      <c r="L29" s="422" t="s">
        <v>1100</v>
      </c>
    </row>
    <row r="30" spans="1:12" ht="60" x14ac:dyDescent="0.25">
      <c r="A30" s="63"/>
      <c r="B30" s="63"/>
      <c r="C30" s="63"/>
      <c r="D30" s="63"/>
      <c r="E30" s="63"/>
      <c r="F30" s="420">
        <v>44522</v>
      </c>
      <c r="G30" s="415" t="s">
        <v>777</v>
      </c>
      <c r="H30" s="421">
        <v>8</v>
      </c>
      <c r="I30" s="419" t="s">
        <v>1101</v>
      </c>
      <c r="J30" s="415" t="s">
        <v>45</v>
      </c>
      <c r="K30" s="422" t="s">
        <v>46</v>
      </c>
      <c r="L30" s="422" t="s">
        <v>1106</v>
      </c>
    </row>
    <row r="31" spans="1:12" ht="60" x14ac:dyDescent="0.25">
      <c r="A31" s="63"/>
      <c r="B31" s="63"/>
      <c r="C31" s="63"/>
      <c r="D31" s="63"/>
      <c r="E31" s="63"/>
      <c r="F31" s="420">
        <v>44627</v>
      </c>
      <c r="G31" s="415" t="s">
        <v>43</v>
      </c>
      <c r="H31" s="421">
        <v>8</v>
      </c>
      <c r="I31" s="419" t="s">
        <v>1101</v>
      </c>
      <c r="J31" s="415" t="s">
        <v>45</v>
      </c>
      <c r="K31" s="422" t="s">
        <v>46</v>
      </c>
      <c r="L31" s="422" t="s">
        <v>1108</v>
      </c>
    </row>
    <row r="32" spans="1:12" ht="45" x14ac:dyDescent="0.25">
      <c r="A32" s="63"/>
      <c r="B32" s="63"/>
      <c r="C32" s="63"/>
      <c r="D32" s="63"/>
      <c r="E32" s="63"/>
      <c r="F32" s="420">
        <v>44861</v>
      </c>
      <c r="G32" s="415" t="s">
        <v>777</v>
      </c>
      <c r="H32" s="421">
        <v>9</v>
      </c>
      <c r="I32" s="419" t="s">
        <v>1109</v>
      </c>
      <c r="J32" s="415" t="s">
        <v>45</v>
      </c>
      <c r="K32" s="422" t="s">
        <v>46</v>
      </c>
      <c r="L32" s="422" t="s">
        <v>1110</v>
      </c>
    </row>
    <row r="33" spans="1:12" ht="45" x14ac:dyDescent="0.25">
      <c r="A33" s="63"/>
      <c r="B33" s="63"/>
      <c r="C33" s="63"/>
      <c r="D33" s="63"/>
      <c r="E33" s="63"/>
      <c r="F33" s="418">
        <v>45236</v>
      </c>
      <c r="G33" s="415" t="s">
        <v>777</v>
      </c>
      <c r="H33" s="415">
        <v>10</v>
      </c>
      <c r="I33" s="415" t="s">
        <v>1121</v>
      </c>
      <c r="J33" s="415" t="s">
        <v>45</v>
      </c>
      <c r="K33" s="422" t="s">
        <v>46</v>
      </c>
      <c r="L33" s="422" t="s">
        <v>1120</v>
      </c>
    </row>
    <row r="34" spans="1:12" ht="45" x14ac:dyDescent="0.25">
      <c r="A34" s="63"/>
      <c r="B34" s="63"/>
      <c r="C34" s="63"/>
      <c r="D34" s="63"/>
      <c r="E34" s="63"/>
      <c r="F34" s="418">
        <v>45268</v>
      </c>
      <c r="G34" s="415" t="s">
        <v>43</v>
      </c>
      <c r="H34" s="415">
        <v>10</v>
      </c>
      <c r="I34" s="415" t="s">
        <v>1166</v>
      </c>
      <c r="J34" s="415" t="s">
        <v>45</v>
      </c>
      <c r="K34" s="422" t="s">
        <v>46</v>
      </c>
      <c r="L34" s="415" t="s">
        <v>1165</v>
      </c>
    </row>
    <row r="35" spans="1:12" ht="45" x14ac:dyDescent="0.25">
      <c r="A35" s="63"/>
      <c r="B35" s="63"/>
      <c r="C35" s="63"/>
      <c r="D35" s="63"/>
      <c r="E35" s="63"/>
      <c r="F35" s="418">
        <v>45590</v>
      </c>
      <c r="G35" s="415" t="s">
        <v>777</v>
      </c>
      <c r="H35" s="415">
        <v>11</v>
      </c>
      <c r="I35" s="415" t="s">
        <v>1176</v>
      </c>
      <c r="J35" s="415" t="s">
        <v>45</v>
      </c>
      <c r="K35" s="422" t="s">
        <v>46</v>
      </c>
      <c r="L35" s="422" t="s">
        <v>1175</v>
      </c>
    </row>
    <row r="36" spans="1:12" x14ac:dyDescent="0.25">
      <c r="A36" s="63"/>
      <c r="B36" s="63"/>
      <c r="C36" s="63"/>
      <c r="D36" s="63"/>
      <c r="E36" s="63"/>
      <c r="F36" s="418"/>
      <c r="G36" s="415"/>
      <c r="H36" s="415"/>
      <c r="I36" s="415"/>
      <c r="J36" s="415"/>
      <c r="K36" s="415"/>
      <c r="L36" s="415"/>
    </row>
    <row r="38" spans="1:12" x14ac:dyDescent="0.25">
      <c r="B38" s="64" t="s">
        <v>50</v>
      </c>
      <c r="C38" s="64"/>
      <c r="D38" s="64"/>
      <c r="E38" s="64"/>
      <c r="F38" s="64"/>
      <c r="G38" s="65"/>
      <c r="H38" s="65"/>
      <c r="I38" s="65"/>
      <c r="J38" s="65"/>
      <c r="K38" s="65"/>
      <c r="L38" s="64"/>
    </row>
    <row r="40" spans="1:12" x14ac:dyDescent="0.25">
      <c r="E40" s="75" t="s">
        <v>51</v>
      </c>
      <c r="F40" s="76"/>
      <c r="G40" s="77"/>
      <c r="H40" s="77"/>
      <c r="I40" s="77"/>
      <c r="J40" s="77"/>
    </row>
    <row r="41" spans="1:12" x14ac:dyDescent="0.25">
      <c r="F41" s="6" t="s">
        <v>52</v>
      </c>
      <c r="H41" s="423" t="s">
        <v>53</v>
      </c>
      <c r="I41" s="6" t="s">
        <v>54</v>
      </c>
      <c r="J41" s="78">
        <f>'Fixed inputs'!H197</f>
        <v>0</v>
      </c>
    </row>
    <row r="42" spans="1:12" x14ac:dyDescent="0.25">
      <c r="F42" s="6" t="s">
        <v>55</v>
      </c>
      <c r="H42" s="423" t="s">
        <v>56</v>
      </c>
      <c r="I42" s="6" t="s">
        <v>54</v>
      </c>
      <c r="J42" s="78">
        <f>'Inputs by customer type'!H236</f>
        <v>0</v>
      </c>
    </row>
    <row r="43" spans="1:12" x14ac:dyDescent="0.25">
      <c r="F43" s="6" t="s">
        <v>57</v>
      </c>
      <c r="H43" s="423" t="s">
        <v>58</v>
      </c>
      <c r="I43" s="6" t="s">
        <v>54</v>
      </c>
      <c r="J43" s="79">
        <f>'Inputs by network level'!H56</f>
        <v>0</v>
      </c>
    </row>
    <row r="44" spans="1:12" x14ac:dyDescent="0.25">
      <c r="F44" s="6" t="s">
        <v>59</v>
      </c>
      <c r="H44" s="423" t="s">
        <v>60</v>
      </c>
      <c r="I44" s="6" t="s">
        <v>54</v>
      </c>
      <c r="J44" s="78">
        <f>'General inputs'!H119</f>
        <v>0</v>
      </c>
    </row>
    <row r="45" spans="1:12" x14ac:dyDescent="0.25">
      <c r="F45" s="6" t="s">
        <v>61</v>
      </c>
      <c r="H45" s="423" t="s">
        <v>62</v>
      </c>
      <c r="I45" s="6" t="s">
        <v>54</v>
      </c>
      <c r="J45" s="79">
        <f>'Standing charge factors'!H58</f>
        <v>0</v>
      </c>
    </row>
    <row r="46" spans="1:12" x14ac:dyDescent="0.25">
      <c r="F46" s="6" t="s">
        <v>63</v>
      </c>
      <c r="H46" s="423" t="s">
        <v>64</v>
      </c>
      <c r="I46" s="6" t="s">
        <v>54</v>
      </c>
      <c r="J46" s="79">
        <f>'Load &amp; loss characteristics'!H183</f>
        <v>0</v>
      </c>
    </row>
    <row r="47" spans="1:12" x14ac:dyDescent="0.25">
      <c r="F47" s="6" t="s">
        <v>65</v>
      </c>
      <c r="H47" s="423" t="s">
        <v>66</v>
      </c>
      <c r="I47" s="6" t="s">
        <v>54</v>
      </c>
      <c r="J47" s="79">
        <f>'Customer contributions'!H70</f>
        <v>0</v>
      </c>
    </row>
    <row r="48" spans="1:12" x14ac:dyDescent="0.25">
      <c r="F48" s="6" t="s">
        <v>67</v>
      </c>
      <c r="H48" s="423" t="s">
        <v>68</v>
      </c>
      <c r="I48" s="6" t="s">
        <v>54</v>
      </c>
      <c r="J48" s="79">
        <f>'Volume adjustments'!H693</f>
        <v>0</v>
      </c>
    </row>
    <row r="49" spans="6:10" x14ac:dyDescent="0.25">
      <c r="F49" s="6" t="s">
        <v>69</v>
      </c>
      <c r="H49" s="423" t="s">
        <v>70</v>
      </c>
      <c r="I49" s="6" t="s">
        <v>54</v>
      </c>
      <c r="J49" s="79">
        <f>'Pseudo-load coefficients'!H306</f>
        <v>0</v>
      </c>
    </row>
    <row r="50" spans="6:10" x14ac:dyDescent="0.25">
      <c r="F50" s="6" t="s">
        <v>71</v>
      </c>
      <c r="H50" s="423" t="s">
        <v>72</v>
      </c>
      <c r="I50" s="6" t="s">
        <v>54</v>
      </c>
      <c r="J50" s="79">
        <f>'System peak demand'!H281</f>
        <v>0</v>
      </c>
    </row>
    <row r="51" spans="6:10" x14ac:dyDescent="0.25">
      <c r="F51" s="6" t="s">
        <v>73</v>
      </c>
      <c r="H51" s="423" t="s">
        <v>74</v>
      </c>
      <c r="I51" s="6" t="s">
        <v>54</v>
      </c>
      <c r="J51" s="79">
        <f>'Service model assets'!H38</f>
        <v>0</v>
      </c>
    </row>
    <row r="52" spans="6:10" x14ac:dyDescent="0.25">
      <c r="F52" s="6" t="s">
        <v>75</v>
      </c>
      <c r="H52" s="423" t="s">
        <v>76</v>
      </c>
      <c r="I52" s="6" t="s">
        <v>54</v>
      </c>
      <c r="J52" s="79">
        <f>'Unit costs'!H131</f>
        <v>0</v>
      </c>
    </row>
    <row r="53" spans="6:10" x14ac:dyDescent="0.25">
      <c r="F53" s="6" t="s">
        <v>77</v>
      </c>
      <c r="H53" s="423" t="s">
        <v>78</v>
      </c>
      <c r="I53" s="6" t="s">
        <v>54</v>
      </c>
      <c r="J53" s="79">
        <f>'Initial unit rates'!H241</f>
        <v>0</v>
      </c>
    </row>
    <row r="54" spans="6:10" x14ac:dyDescent="0.25">
      <c r="F54" s="6" t="s">
        <v>79</v>
      </c>
      <c r="H54" s="423" t="s">
        <v>80</v>
      </c>
      <c r="I54" s="6" t="s">
        <v>54</v>
      </c>
      <c r="J54" s="79">
        <f>'Service model charges'!H48</f>
        <v>0</v>
      </c>
    </row>
    <row r="55" spans="6:10" x14ac:dyDescent="0.25">
      <c r="F55" s="6" t="s">
        <v>81</v>
      </c>
      <c r="H55" s="423" t="s">
        <v>82</v>
      </c>
      <c r="I55" s="6" t="s">
        <v>54</v>
      </c>
      <c r="J55" s="79">
        <f>'Unit rate charges'!H223</f>
        <v>0</v>
      </c>
    </row>
    <row r="56" spans="6:10" x14ac:dyDescent="0.25">
      <c r="F56" s="6" t="s">
        <v>85</v>
      </c>
      <c r="H56" s="423" t="s">
        <v>84</v>
      </c>
      <c r="I56" s="6" t="s">
        <v>54</v>
      </c>
      <c r="J56" s="79">
        <f>'Capacity charges'!H295</f>
        <v>0</v>
      </c>
    </row>
    <row r="57" spans="6:10" x14ac:dyDescent="0.25">
      <c r="F57" s="6" t="s">
        <v>83</v>
      </c>
      <c r="H57" s="423" t="s">
        <v>86</v>
      </c>
      <c r="I57" s="6" t="s">
        <v>54</v>
      </c>
      <c r="J57" s="79">
        <f>'Reactive power charges'!H254</f>
        <v>0</v>
      </c>
    </row>
    <row r="58" spans="6:10" x14ac:dyDescent="0.25">
      <c r="F58" s="6" t="s">
        <v>87</v>
      </c>
      <c r="H58" s="423" t="s">
        <v>88</v>
      </c>
      <c r="I58" s="6" t="s">
        <v>54</v>
      </c>
      <c r="J58" s="79">
        <f>'Fixed charges'!H165</f>
        <v>0</v>
      </c>
    </row>
    <row r="59" spans="6:10" x14ac:dyDescent="0.25">
      <c r="F59" s="6" t="s">
        <v>1096</v>
      </c>
      <c r="H59" s="423" t="s">
        <v>90</v>
      </c>
      <c r="I59" s="6" t="s">
        <v>54</v>
      </c>
      <c r="J59" s="79">
        <f>'SoLR &amp; bad debt adders'!H66</f>
        <v>0</v>
      </c>
    </row>
    <row r="60" spans="6:10" x14ac:dyDescent="0.25">
      <c r="F60" s="6" t="s">
        <v>89</v>
      </c>
      <c r="H60" s="423" t="s">
        <v>92</v>
      </c>
      <c r="I60" s="6" t="s">
        <v>54</v>
      </c>
      <c r="J60" s="79">
        <f>'Revenue matching'!H432</f>
        <v>0</v>
      </c>
    </row>
    <row r="61" spans="6:10" x14ac:dyDescent="0.25">
      <c r="F61" s="6" t="s">
        <v>91</v>
      </c>
      <c r="H61" s="423" t="s">
        <v>94</v>
      </c>
      <c r="I61" s="6" t="s">
        <v>54</v>
      </c>
      <c r="J61" s="79">
        <f>Rounding!H178</f>
        <v>0</v>
      </c>
    </row>
    <row r="62" spans="6:10" x14ac:dyDescent="0.25">
      <c r="F62" s="6" t="s">
        <v>93</v>
      </c>
      <c r="H62" s="423" t="s">
        <v>836</v>
      </c>
      <c r="I62" s="6" t="s">
        <v>54</v>
      </c>
      <c r="J62" s="78">
        <f>'Net revenue summary'!$H$211</f>
        <v>0</v>
      </c>
    </row>
    <row r="63" spans="6:10" x14ac:dyDescent="0.25">
      <c r="F63" s="6" t="s">
        <v>95</v>
      </c>
      <c r="H63" s="423" t="s">
        <v>96</v>
      </c>
      <c r="I63" s="6" t="s">
        <v>54</v>
      </c>
      <c r="J63" s="79">
        <f>'Tariff summary'!$H$119</f>
        <v>0</v>
      </c>
    </row>
    <row r="64" spans="6:10" x14ac:dyDescent="0.25">
      <c r="F64" s="6" t="s">
        <v>97</v>
      </c>
      <c r="H64" s="423" t="s">
        <v>98</v>
      </c>
      <c r="I64" s="6" t="s">
        <v>54</v>
      </c>
      <c r="J64" s="78">
        <f>'Output to other models'!H84</f>
        <v>0</v>
      </c>
    </row>
    <row r="65" spans="2:12" x14ac:dyDescent="0.25">
      <c r="F65" s="80" t="s">
        <v>99</v>
      </c>
      <c r="G65" s="80"/>
      <c r="H65" s="80"/>
      <c r="I65" s="80" t="s">
        <v>54</v>
      </c>
      <c r="J65" s="81">
        <f>IFERROR(SUM(J41:J64), 1)</f>
        <v>0</v>
      </c>
    </row>
    <row r="67" spans="2:12" x14ac:dyDescent="0.25">
      <c r="B67" s="64" t="s">
        <v>100</v>
      </c>
      <c r="C67" s="64"/>
      <c r="D67" s="64"/>
      <c r="E67" s="64"/>
      <c r="F67" s="64"/>
      <c r="G67" s="65"/>
      <c r="H67" s="65"/>
      <c r="I67" s="65"/>
      <c r="J67" s="65"/>
      <c r="K67" s="65"/>
      <c r="L67" s="64"/>
    </row>
    <row r="69" spans="2:12" x14ac:dyDescent="0.25">
      <c r="F69" s="74" t="s">
        <v>101</v>
      </c>
    </row>
    <row r="70" spans="2:12" x14ac:dyDescent="0.25">
      <c r="F70" s="423" t="s">
        <v>102</v>
      </c>
    </row>
    <row r="71" spans="2:12" x14ac:dyDescent="0.25">
      <c r="F71" s="423" t="s">
        <v>103</v>
      </c>
    </row>
    <row r="72" spans="2:12" x14ac:dyDescent="0.25">
      <c r="F72" s="423" t="s">
        <v>43</v>
      </c>
    </row>
    <row r="73" spans="2:12" ht="30" x14ac:dyDescent="0.25">
      <c r="F73" s="424" t="s">
        <v>777</v>
      </c>
    </row>
    <row r="74" spans="2:12" x14ac:dyDescent="0.25">
      <c r="F74" s="423"/>
    </row>
    <row r="75" spans="2:12" x14ac:dyDescent="0.25">
      <c r="F75" s="423"/>
    </row>
    <row r="76" spans="2:12" x14ac:dyDescent="0.25">
      <c r="F76" s="423"/>
    </row>
    <row r="77" spans="2:12" x14ac:dyDescent="0.25">
      <c r="F77" s="423"/>
    </row>
    <row r="78" spans="2:12" x14ac:dyDescent="0.25">
      <c r="F78" s="423"/>
    </row>
    <row r="79" spans="2:12" x14ac:dyDescent="0.25">
      <c r="F79" s="423"/>
    </row>
    <row r="80" spans="2:12" x14ac:dyDescent="0.25">
      <c r="F80" s="423" t="s">
        <v>104</v>
      </c>
    </row>
    <row r="82" spans="2:12" x14ac:dyDescent="0.25">
      <c r="B82" s="64" t="s">
        <v>105</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xr:uid="{00000000-0002-0000-0100-000000000000}">
      <formula1>0</formula1>
    </dataValidation>
    <dataValidation type="date" operator="greaterThan" allowBlank="1" showInputMessage="1" showErrorMessage="1" promptTitle="Model date" prompt="Input a date" sqref="F20:F28 F33:F36"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xr:uid="{00000000-0002-0000-0100-000001000000}">
      <formula1>$F$70:$F$80</formula1>
    </dataValidation>
    <dataValidation allowBlank="1" showErrorMessage="1" errorTitle="Author" error="Initials must be selected from the list specified below" promptTitle="Author" prompt="Select author initials from the list specified below" sqref="K29:K35"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70" location="'Cover'!A1" display="Cover" xr:uid="{00000000-0004-0000-0100-000000000000}"/>
    <hyperlink ref="I71" location="'Version control'!A1" display="Version control" xr:uid="{00000000-0004-0000-0100-000001000000}"/>
    <hyperlink ref="I80" location="'Model map'!A1" display="Model map" xr:uid="{00000000-0004-0000-0100-000002000000}"/>
    <hyperlink ref="I81"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Northern Powergrid (Northeast) - v0.1</v>
      </c>
    </row>
    <row r="3" spans="1:9" s="5" customFormat="1" x14ac:dyDescent="0.25">
      <c r="A3" s="5" t="str">
        <f>Cover!D2&amp;" - "&amp;Cover!D8&amp;" v"&amp;Cover!D10&amp;" - "&amp;Cover!D19</f>
        <v>CDCM charging model - Release for charge setting v11 - 2026/27</v>
      </c>
    </row>
    <row r="5" spans="1:9" customFormat="1" x14ac:dyDescent="0.25">
      <c r="A5" s="71"/>
      <c r="B5" s="64" t="s">
        <v>106</v>
      </c>
      <c r="C5" s="64"/>
      <c r="D5" s="64"/>
      <c r="E5" s="64"/>
      <c r="F5" s="64"/>
      <c r="G5" s="64"/>
      <c r="H5" s="64"/>
      <c r="I5" s="64"/>
    </row>
    <row r="7" spans="1:9" ht="15" customHeight="1" x14ac:dyDescent="0.25">
      <c r="F7" s="82"/>
      <c r="G7" s="82"/>
      <c r="H7" s="83"/>
      <c r="I7" s="83"/>
    </row>
    <row r="8" spans="1:9" ht="15" customHeight="1" x14ac:dyDescent="0.25">
      <c r="F8" s="82"/>
      <c r="G8" s="82"/>
    </row>
    <row r="9" spans="1:9" ht="15" customHeight="1" x14ac:dyDescent="0.25">
      <c r="F9" s="82"/>
      <c r="G9" s="82"/>
      <c r="H9" s="82"/>
      <c r="I9" s="82"/>
    </row>
    <row r="10" spans="1:9" ht="15" customHeight="1" x14ac:dyDescent="0.25">
      <c r="F10" s="82"/>
      <c r="G10" s="82"/>
      <c r="H10" s="82"/>
      <c r="I10" s="82"/>
    </row>
    <row r="11" spans="1:9" ht="15" customHeight="1" x14ac:dyDescent="0.25">
      <c r="F11" s="82"/>
      <c r="G11" s="82"/>
      <c r="H11" s="82"/>
      <c r="I11" s="3"/>
    </row>
    <row r="12" spans="1:9" ht="15" customHeight="1" x14ac:dyDescent="0.25">
      <c r="F12" s="82"/>
      <c r="H12" s="82"/>
      <c r="I12" s="3"/>
    </row>
    <row r="13" spans="1:9" ht="15" customHeight="1" x14ac:dyDescent="0.25">
      <c r="F13" s="82"/>
      <c r="H13" s="82"/>
      <c r="I13" s="3"/>
    </row>
    <row r="14" spans="1:9" ht="15" customHeight="1" x14ac:dyDescent="0.25">
      <c r="F14" s="82"/>
      <c r="H14" s="82"/>
      <c r="I14" s="3"/>
    </row>
    <row r="15" spans="1:9" x14ac:dyDescent="0.25">
      <c r="F15" s="84"/>
      <c r="G15" s="84"/>
      <c r="H15" s="84"/>
      <c r="I15" s="84"/>
    </row>
    <row r="16" spans="1:9" ht="15" customHeight="1" x14ac:dyDescent="0.25">
      <c r="H16" s="84"/>
      <c r="I16" s="84"/>
    </row>
    <row r="17" spans="6:9" ht="15" customHeight="1" x14ac:dyDescent="0.25">
      <c r="H17" s="84"/>
      <c r="I17" s="84"/>
    </row>
    <row r="18" spans="6:9" ht="15" customHeight="1" x14ac:dyDescent="0.25">
      <c r="H18" s="84"/>
      <c r="I18" s="84"/>
    </row>
    <row r="19" spans="6:9" ht="15" customHeight="1" x14ac:dyDescent="0.25">
      <c r="F19" s="84"/>
      <c r="G19" s="84"/>
      <c r="H19" s="84"/>
      <c r="I19" s="84"/>
    </row>
    <row r="20" spans="6:9" ht="15" customHeight="1" x14ac:dyDescent="0.25">
      <c r="F20" s="84"/>
      <c r="G20" s="84"/>
      <c r="H20" s="84"/>
      <c r="I20" s="84"/>
    </row>
    <row r="21" spans="6:9" ht="15" customHeight="1" x14ac:dyDescent="0.25">
      <c r="F21" s="84"/>
      <c r="G21" s="84"/>
      <c r="H21" s="84"/>
      <c r="I21" s="84"/>
    </row>
    <row r="22" spans="6:9" ht="15" customHeight="1" x14ac:dyDescent="0.25">
      <c r="F22" s="84"/>
      <c r="G22" s="84"/>
      <c r="H22" s="84"/>
      <c r="I22" s="84"/>
    </row>
    <row r="23" spans="6:9" ht="15" customHeight="1" x14ac:dyDescent="0.25">
      <c r="F23" s="84"/>
      <c r="G23" s="84"/>
      <c r="H23" s="84"/>
      <c r="I23" s="84"/>
    </row>
    <row r="24" spans="6:9" ht="15" customHeight="1" x14ac:dyDescent="0.25">
      <c r="F24" s="84"/>
      <c r="G24" s="84"/>
      <c r="H24" s="84"/>
      <c r="I24" s="84"/>
    </row>
    <row r="25" spans="6:9" ht="15" customHeight="1" x14ac:dyDescent="0.25">
      <c r="F25" s="84"/>
      <c r="G25" s="84"/>
      <c r="H25" s="84"/>
      <c r="I25" s="84"/>
    </row>
    <row r="26" spans="6:9" ht="15" customHeight="1" x14ac:dyDescent="0.25">
      <c r="F26" s="84"/>
      <c r="G26" s="84"/>
      <c r="H26" s="84"/>
      <c r="I26" s="84"/>
    </row>
    <row r="27" spans="6:9" ht="15" customHeight="1" x14ac:dyDescent="0.25">
      <c r="F27" s="84"/>
      <c r="G27" s="84"/>
      <c r="H27" s="84"/>
      <c r="I27" s="84"/>
    </row>
    <row r="28" spans="6:9" ht="15" customHeight="1" x14ac:dyDescent="0.25">
      <c r="F28" s="84"/>
      <c r="G28" s="84"/>
      <c r="H28" s="84"/>
      <c r="I28" s="84"/>
    </row>
    <row r="29" spans="6:9" ht="15" customHeight="1" x14ac:dyDescent="0.25">
      <c r="F29" s="84"/>
      <c r="G29" s="84"/>
      <c r="H29" s="84"/>
      <c r="I29" s="84"/>
    </row>
    <row r="30" spans="6:9" ht="15" customHeight="1" x14ac:dyDescent="0.25">
      <c r="F30" s="84"/>
      <c r="G30" s="84"/>
      <c r="H30" s="84"/>
      <c r="I30" s="84"/>
    </row>
    <row r="31" spans="6:9" ht="15" customHeight="1" x14ac:dyDescent="0.25">
      <c r="F31" s="84"/>
      <c r="G31" s="84"/>
      <c r="H31" s="84"/>
      <c r="I31" s="84"/>
    </row>
    <row r="32" spans="6:9" ht="15" customHeight="1" x14ac:dyDescent="0.25">
      <c r="F32" s="84"/>
      <c r="G32" s="84"/>
      <c r="H32" s="84"/>
      <c r="I32" s="84"/>
    </row>
    <row r="33" spans="6:9" ht="15" customHeight="1" x14ac:dyDescent="0.25">
      <c r="F33" s="84"/>
      <c r="G33" s="84"/>
      <c r="H33" s="84"/>
      <c r="I33" s="84"/>
    </row>
    <row r="34" spans="6:9" customFormat="1" x14ac:dyDescent="0.25">
      <c r="F34" s="84"/>
      <c r="G34" s="84"/>
      <c r="H34" s="84"/>
      <c r="I34" s="84"/>
    </row>
    <row r="35" spans="6:9" customFormat="1" x14ac:dyDescent="0.25">
      <c r="F35" s="84"/>
      <c r="G35" s="84"/>
      <c r="H35" s="84"/>
      <c r="I35" s="84"/>
    </row>
    <row r="36" spans="6:9" customFormat="1" x14ac:dyDescent="0.25">
      <c r="F36" s="84"/>
      <c r="G36" s="84"/>
      <c r="H36" s="84"/>
      <c r="I36" s="84"/>
    </row>
    <row r="37" spans="6:9" customFormat="1" x14ac:dyDescent="0.25">
      <c r="F37" s="84"/>
      <c r="G37" s="84"/>
      <c r="H37" s="84"/>
      <c r="I37" s="84"/>
    </row>
    <row r="38" spans="6:9" customFormat="1" x14ac:dyDescent="0.25">
      <c r="F38" s="84"/>
      <c r="G38" s="84"/>
      <c r="H38" s="84"/>
      <c r="I38" s="84"/>
    </row>
    <row r="39" spans="6:9" customFormat="1" x14ac:dyDescent="0.25">
      <c r="F39" s="84"/>
      <c r="G39" s="84"/>
      <c r="H39" s="84"/>
      <c r="I39" s="84"/>
    </row>
    <row r="40" spans="6:9" customFormat="1" x14ac:dyDescent="0.25">
      <c r="F40" s="84"/>
      <c r="G40" s="84"/>
      <c r="H40" s="84"/>
      <c r="I40" s="84"/>
    </row>
    <row r="41" spans="6:9" ht="15" customHeight="1" x14ac:dyDescent="0.25">
      <c r="F41" s="84"/>
      <c r="G41" s="84"/>
      <c r="H41" s="84"/>
      <c r="I41" s="84"/>
    </row>
    <row r="42" spans="6:9" ht="15" customHeight="1" x14ac:dyDescent="0.25">
      <c r="F42" s="84"/>
      <c r="G42" s="84"/>
      <c r="H42" s="84"/>
      <c r="I42" s="84"/>
    </row>
    <row r="43" spans="6:9" ht="15" customHeight="1" x14ac:dyDescent="0.25">
      <c r="F43" s="84"/>
      <c r="G43" s="84"/>
      <c r="H43" s="84"/>
      <c r="I43" s="84"/>
    </row>
    <row r="44" spans="6:9" ht="15" customHeight="1" x14ac:dyDescent="0.25">
      <c r="F44" s="84"/>
      <c r="G44" s="84"/>
      <c r="H44" s="84"/>
      <c r="I44" s="84"/>
    </row>
    <row r="45" spans="6:9" ht="15" customHeight="1" x14ac:dyDescent="0.25">
      <c r="F45" s="84"/>
      <c r="G45" s="84"/>
      <c r="H45" s="84"/>
      <c r="I45" s="84"/>
    </row>
    <row r="46" spans="6:9" ht="15" customHeight="1" x14ac:dyDescent="0.25">
      <c r="F46" s="84"/>
      <c r="G46" s="84"/>
      <c r="H46" s="84"/>
      <c r="I46" s="84"/>
    </row>
    <row r="47" spans="6:9" ht="15" customHeight="1" x14ac:dyDescent="0.25">
      <c r="F47" s="17"/>
      <c r="H47" s="3"/>
      <c r="I47" s="3"/>
    </row>
    <row r="51" spans="1:10" customFormat="1" x14ac:dyDescent="0.25">
      <c r="A51" s="71"/>
      <c r="B51" s="71"/>
      <c r="C51" s="71"/>
      <c r="D51" s="71"/>
      <c r="E51" s="71"/>
      <c r="F51" s="71"/>
      <c r="G51" s="71"/>
      <c r="H51" s="71"/>
      <c r="I51" s="71"/>
      <c r="J51" s="71"/>
    </row>
    <row r="62" spans="1:10" ht="15" customHeight="1" x14ac:dyDescent="0.25">
      <c r="A62" s="64" t="s">
        <v>105</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Northern Powergrid (Northeast) - v0.1</v>
      </c>
    </row>
    <row r="3" spans="1:7" s="5" customFormat="1" x14ac:dyDescent="0.25">
      <c r="A3" s="5" t="str">
        <f>Cover!D2&amp;" - "&amp;Cover!D8&amp;" v"&amp;Cover!D10&amp;" - "&amp;Cover!D19</f>
        <v>CDCM charging model - Release for charge setting v11 - 2026/27</v>
      </c>
    </row>
    <row r="5" spans="1:7" x14ac:dyDescent="0.25">
      <c r="B5" s="85" t="s">
        <v>9</v>
      </c>
      <c r="C5" s="85"/>
      <c r="D5" s="85"/>
      <c r="E5" s="85"/>
      <c r="F5" s="85"/>
      <c r="G5" s="85"/>
    </row>
    <row r="7" spans="1:7" x14ac:dyDescent="0.25">
      <c r="C7" s="86" t="s">
        <v>107</v>
      </c>
    </row>
    <row r="8" spans="1:7" x14ac:dyDescent="0.25">
      <c r="C8" s="86" t="s">
        <v>108</v>
      </c>
    </row>
    <row r="10" spans="1:7" x14ac:dyDescent="0.25">
      <c r="B10" s="85" t="s">
        <v>109</v>
      </c>
      <c r="C10" s="85"/>
      <c r="D10" s="85"/>
      <c r="E10" s="85"/>
      <c r="F10" s="85"/>
      <c r="G10" s="85"/>
    </row>
    <row r="12" spans="1:7" x14ac:dyDescent="0.25">
      <c r="C12" s="86" t="s">
        <v>110</v>
      </c>
    </row>
    <row r="14" spans="1:7" ht="15.75" thickBot="1" x14ac:dyDescent="0.3">
      <c r="F14" s="87" t="s">
        <v>111</v>
      </c>
      <c r="G14" s="88" t="s">
        <v>112</v>
      </c>
    </row>
    <row r="15" spans="1:7" ht="16.5" thickTop="1" thickBot="1" x14ac:dyDescent="0.3">
      <c r="F15" s="18" t="s">
        <v>113</v>
      </c>
    </row>
    <row r="16" spans="1:7" ht="15.75" thickTop="1" x14ac:dyDescent="0.25">
      <c r="F16" s="18" t="s">
        <v>114</v>
      </c>
      <c r="G16" s="19" t="str">
        <f>'Version control'!$B$5</f>
        <v>Model version</v>
      </c>
    </row>
    <row r="17" spans="6:7" x14ac:dyDescent="0.25">
      <c r="F17" s="20" t="s">
        <v>115</v>
      </c>
      <c r="G17" s="19" t="str">
        <f>'Version control'!$B$17</f>
        <v>Version log</v>
      </c>
    </row>
    <row r="18" spans="6:7" x14ac:dyDescent="0.25">
      <c r="F18" s="20" t="s">
        <v>115</v>
      </c>
      <c r="G18" s="19" t="str">
        <f>'Version control'!$B$38</f>
        <v>Model checks</v>
      </c>
    </row>
    <row r="19" spans="6:7" ht="15.75" thickBot="1" x14ac:dyDescent="0.3">
      <c r="F19" s="20" t="s">
        <v>115</v>
      </c>
      <c r="G19" s="19" t="str">
        <f>'Version control'!$B$67</f>
        <v>Version log lists</v>
      </c>
    </row>
    <row r="20" spans="6:7" ht="16.5" thickTop="1" thickBot="1" x14ac:dyDescent="0.3">
      <c r="F20" s="18" t="s">
        <v>106</v>
      </c>
      <c r="G20" s="19" t="str">
        <f>'Model map'!$B$5</f>
        <v>Model map</v>
      </c>
    </row>
    <row r="21" spans="6:7" ht="16.5" thickTop="1" thickBot="1" x14ac:dyDescent="0.3">
      <c r="F21" s="18" t="s">
        <v>116</v>
      </c>
      <c r="G21" s="19" t="str">
        <f>'Named ranges'!$B$5</f>
        <v>List of named ranges</v>
      </c>
    </row>
    <row r="22" spans="6:7" ht="16.5" thickTop="1" thickBot="1" x14ac:dyDescent="0.3">
      <c r="F22" s="21" t="s">
        <v>52</v>
      </c>
      <c r="G22" s="19" t="str">
        <f>'Fixed inputs'!$B$11</f>
        <v>Fixed inputs</v>
      </c>
    </row>
    <row r="23" spans="6:7" ht="16.5" thickTop="1" thickBot="1" x14ac:dyDescent="0.3">
      <c r="F23" s="21" t="s">
        <v>55</v>
      </c>
      <c r="G23" s="19" t="str">
        <f>'Inputs by customer type'!$B$11</f>
        <v>Inputs by customer type</v>
      </c>
    </row>
    <row r="24" spans="6:7" ht="16.5" thickTop="1" thickBot="1" x14ac:dyDescent="0.3">
      <c r="F24" s="21" t="s">
        <v>57</v>
      </c>
      <c r="G24" s="19" t="str">
        <f>'Inputs by network level'!$B$11</f>
        <v>Inputs by network level</v>
      </c>
    </row>
    <row r="25" spans="6:7" ht="16.5" thickTop="1" thickBot="1" x14ac:dyDescent="0.3">
      <c r="F25" s="21" t="s">
        <v>59</v>
      </c>
      <c r="G25" s="19" t="str">
        <f>'General inputs'!$B$11</f>
        <v>General inputs</v>
      </c>
    </row>
    <row r="26" spans="6:7" ht="16.5" thickTop="1" thickBot="1" x14ac:dyDescent="0.3">
      <c r="F26" s="22" t="s">
        <v>119</v>
      </c>
      <c r="G26" s="19" t="str">
        <f>'Standing charge factors'!$B$17</f>
        <v>Adjustments to standing charges</v>
      </c>
    </row>
    <row r="27" spans="6:7" ht="15.75" thickTop="1" x14ac:dyDescent="0.25">
      <c r="F27" s="22" t="s">
        <v>63</v>
      </c>
      <c r="G27" s="19" t="str">
        <f>'Load &amp; loss characteristics'!$B$13</f>
        <v>Load and loss characteristics</v>
      </c>
    </row>
    <row r="28" spans="6:7" ht="15.75" thickBot="1" x14ac:dyDescent="0.3">
      <c r="F28" s="23" t="s">
        <v>115</v>
      </c>
      <c r="G28" s="19" t="str">
        <f>'Load &amp; loss characteristics'!$B$31</f>
        <v>User loss factor adjustments</v>
      </c>
    </row>
    <row r="29" spans="6:7" ht="16.5" thickTop="1" thickBot="1" x14ac:dyDescent="0.3">
      <c r="F29" s="22" t="s">
        <v>65</v>
      </c>
      <c r="G29" s="19" t="str">
        <f>'Customer contributions'!$B$12</f>
        <v>Customer contributions</v>
      </c>
    </row>
    <row r="30" spans="6:7" ht="15.75" thickTop="1" x14ac:dyDescent="0.25">
      <c r="F30" s="22" t="s">
        <v>67</v>
      </c>
      <c r="G30" s="19" t="str">
        <f>'Volume adjustments'!$B$13</f>
        <v>LDNO discounts</v>
      </c>
    </row>
    <row r="31" spans="6:7" x14ac:dyDescent="0.25">
      <c r="F31" s="23" t="s">
        <v>115</v>
      </c>
      <c r="G31" s="19" t="str">
        <f>'Volume adjustments'!$B$51</f>
        <v>Volume discounting</v>
      </c>
    </row>
    <row r="32" spans="6:7" ht="15.75" thickBot="1" x14ac:dyDescent="0.3">
      <c r="F32" s="23" t="s">
        <v>115</v>
      </c>
      <c r="G32" s="19" t="str">
        <f>'Volume adjustments'!$B$310</f>
        <v>Volume discounting for revenue matching</v>
      </c>
    </row>
    <row r="33" spans="6:7" ht="15.75" thickTop="1" x14ac:dyDescent="0.25">
      <c r="F33" s="22" t="s">
        <v>69</v>
      </c>
      <c r="G33" s="19" t="str">
        <f>'Pseudo-load coefficients'!$B$13</f>
        <v>Step 1: Ratio of coincidence to load factor assuming units evenly spread within time bands, and peak falls in Red period</v>
      </c>
    </row>
    <row r="34" spans="6:7" x14ac:dyDescent="0.25">
      <c r="F34" s="23" t="s">
        <v>115</v>
      </c>
      <c r="G34" s="19" t="str">
        <f>'Pseudo-load coefficients'!$B$56</f>
        <v>Step 2: Calculate correction factor</v>
      </c>
    </row>
    <row r="35" spans="6:7" x14ac:dyDescent="0.25">
      <c r="F35" s="23" t="s">
        <v>115</v>
      </c>
      <c r="G35" s="19" t="str">
        <f>'Pseudo-load coefficients'!$B$95</f>
        <v>Step 3: Ratio of coincidence factor (to network asset peak) to load factor, given peaking probabilities, multiplied by correction factor</v>
      </c>
    </row>
    <row r="36" spans="6:7" ht="15.75" thickBot="1" x14ac:dyDescent="0.3">
      <c r="F36" s="23" t="s">
        <v>115</v>
      </c>
      <c r="G36" s="19" t="str">
        <f>'Pseudo-load coefficients'!$B$261</f>
        <v>Step 4: Results of Step 3</v>
      </c>
    </row>
    <row r="37" spans="6:7" ht="15.75" thickTop="1" x14ac:dyDescent="0.25">
      <c r="F37" s="22" t="s">
        <v>71</v>
      </c>
      <c r="G37" s="19" t="str">
        <f>'System peak demand'!$B$16</f>
        <v>Common inputs for chargeable load calculations</v>
      </c>
    </row>
    <row r="38" spans="6:7" x14ac:dyDescent="0.25">
      <c r="F38" s="23" t="s">
        <v>115</v>
      </c>
      <c r="G38" s="19" t="str">
        <f>'System peak demand'!$B$63</f>
        <v>Load at system peak charged to unit rates</v>
      </c>
    </row>
    <row r="39" spans="6:7" x14ac:dyDescent="0.25">
      <c r="F39" s="23" t="s">
        <v>115</v>
      </c>
      <c r="G39" s="19" t="str">
        <f>'System peak demand'!$B$179</f>
        <v>Load at system peak charged to standing charges</v>
      </c>
    </row>
    <row r="40" spans="6:7" ht="15.75" thickBot="1" x14ac:dyDescent="0.3">
      <c r="F40" s="23" t="s">
        <v>115</v>
      </c>
      <c r="G40" s="19" t="str">
        <f>'System peak demand'!$B$262</f>
        <v>System peak based on chargeable load</v>
      </c>
    </row>
    <row r="41" spans="6:7" ht="16.5" thickTop="1" thickBot="1" x14ac:dyDescent="0.3">
      <c r="F41" s="22" t="s">
        <v>73</v>
      </c>
      <c r="G41" s="19" t="str">
        <f>'Service model assets'!$B$12</f>
        <v>Service model notional asset values</v>
      </c>
    </row>
    <row r="42" spans="6:7" ht="15.75" thickTop="1" x14ac:dyDescent="0.25">
      <c r="F42" s="22" t="s">
        <v>75</v>
      </c>
      <c r="G42" s="19" t="str">
        <f>'Unit costs'!$B$15</f>
        <v>500MW model costs</v>
      </c>
    </row>
    <row r="43" spans="6:7" x14ac:dyDescent="0.25">
      <c r="F43" s="23" t="s">
        <v>115</v>
      </c>
      <c r="G43" s="19" t="str">
        <f>'Unit costs'!$B$58</f>
        <v>Allocation of other costs</v>
      </c>
    </row>
    <row r="44" spans="6:7" ht="15.75" thickBot="1" x14ac:dyDescent="0.3">
      <c r="F44" s="23" t="s">
        <v>115</v>
      </c>
      <c r="G44" s="19" t="str">
        <f>'Unit costs'!$B$102</f>
        <v>Outputs</v>
      </c>
    </row>
    <row r="45" spans="6:7" ht="15.75" thickTop="1" x14ac:dyDescent="0.25">
      <c r="F45" s="22" t="s">
        <v>77</v>
      </c>
      <c r="G45" s="19" t="str">
        <f>'Initial unit rates'!$B$11</f>
        <v>Inputs for yardstick and unit rate calculations</v>
      </c>
    </row>
    <row r="46" spans="6:7" ht="15.75" thickBot="1" x14ac:dyDescent="0.3">
      <c r="F46" s="23" t="s">
        <v>115</v>
      </c>
      <c r="G46" s="19" t="str">
        <f>'Initial unit rates'!$B$116</f>
        <v>Calculation of yardstick &amp; unit rate charges</v>
      </c>
    </row>
    <row r="47" spans="6:7" ht="15.75" thickTop="1" x14ac:dyDescent="0.25">
      <c r="F47" s="22" t="s">
        <v>79</v>
      </c>
      <c r="G47" s="19" t="str">
        <f>'Service model charges'!$B$13</f>
        <v>Inputs to service model charge calculation</v>
      </c>
    </row>
    <row r="48" spans="6:7" ht="15.75" thickBot="1" x14ac:dyDescent="0.3">
      <c r="F48" s="23" t="s">
        <v>115</v>
      </c>
      <c r="G48" s="19" t="str">
        <f>'Service model charges'!$B$29</f>
        <v>Allocation of service model costs</v>
      </c>
    </row>
    <row r="49" spans="6:7" ht="15.75" thickTop="1" x14ac:dyDescent="0.25">
      <c r="F49" s="22" t="s">
        <v>81</v>
      </c>
      <c r="G49" s="19" t="str">
        <f>'Unit rate charges'!$B$15</f>
        <v>Inputs to unit rate charge calculations</v>
      </c>
    </row>
    <row r="50" spans="6:7" ht="15.75" thickBot="1" x14ac:dyDescent="0.3">
      <c r="F50" s="23" t="s">
        <v>115</v>
      </c>
      <c r="G50" s="19" t="str">
        <f>'Unit rate charges'!$B$122</f>
        <v>Application of standing charges to unit rates</v>
      </c>
    </row>
    <row r="51" spans="6:7" ht="15.75" thickTop="1" x14ac:dyDescent="0.25">
      <c r="F51" s="22" t="s">
        <v>85</v>
      </c>
      <c r="G51" s="19" t="str">
        <f>'Capacity charges'!$B$17</f>
        <v>Inputs to capacity charge calculations</v>
      </c>
    </row>
    <row r="52" spans="6:7" x14ac:dyDescent="0.25">
      <c r="F52" s="23" t="s">
        <v>115</v>
      </c>
      <c r="G52" s="19" t="str">
        <f>'Capacity charges'!$B$125</f>
        <v>Calculation of capacity charges</v>
      </c>
    </row>
    <row r="53" spans="6:7" ht="15.75" thickBot="1" x14ac:dyDescent="0.3">
      <c r="F53" s="23" t="s">
        <v>115</v>
      </c>
      <c r="G53" s="19" t="str">
        <f>'Capacity charges'!$B$249</f>
        <v>Capacity charges (and elements allocated to fixed charges)</v>
      </c>
    </row>
    <row r="54" spans="6:7" ht="15.75" thickTop="1" x14ac:dyDescent="0.25">
      <c r="F54" s="22" t="s">
        <v>83</v>
      </c>
      <c r="G54" s="19" t="str">
        <f>'Reactive power charges'!$B$13</f>
        <v>Inputs to reactive power charge calculations</v>
      </c>
    </row>
    <row r="55" spans="6:7" x14ac:dyDescent="0.25">
      <c r="F55" s="23" t="s">
        <v>115</v>
      </c>
      <c r="G55" s="19" t="str">
        <f>'Reactive power charges'!$B$150</f>
        <v>Calculation of yardstick charges for generation</v>
      </c>
    </row>
    <row r="56" spans="6:7" ht="15.75" thickBot="1" x14ac:dyDescent="0.3">
      <c r="F56" s="23" t="s">
        <v>115</v>
      </c>
      <c r="G56" s="19" t="str">
        <f>'Reactive power charges'!$B$185</f>
        <v>Calculation of reactive power charges</v>
      </c>
    </row>
    <row r="57" spans="6:7" ht="15.75" thickTop="1" x14ac:dyDescent="0.25">
      <c r="F57" s="22" t="s">
        <v>87</v>
      </c>
      <c r="G57" s="19" t="str">
        <f>'Fixed charges'!$B$14</f>
        <v>Inputs to fixed charge calculations</v>
      </c>
    </row>
    <row r="58" spans="6:7" ht="15.75" thickBot="1" x14ac:dyDescent="0.3">
      <c r="F58" s="23" t="s">
        <v>115</v>
      </c>
      <c r="G58" s="19" t="str">
        <f>'Fixed charges'!$B$65</f>
        <v>Calculation of fixed charges</v>
      </c>
    </row>
    <row r="59" spans="6:7" ht="16.5" thickTop="1" thickBot="1" x14ac:dyDescent="0.3">
      <c r="F59" s="22" t="s">
        <v>1096</v>
      </c>
      <c r="G59" s="19" t="str">
        <f>'SoLR &amp; bad debt adders'!$B$12</f>
        <v>Fixed tariff adjustments</v>
      </c>
    </row>
    <row r="60" spans="6:7" ht="15.75" thickTop="1" x14ac:dyDescent="0.25">
      <c r="F60" s="22" t="s">
        <v>89</v>
      </c>
      <c r="G60" s="19" t="str">
        <f>'Revenue matching'!$B$13</f>
        <v>Pre-matching net revenue calculations</v>
      </c>
    </row>
    <row r="61" spans="6:7" x14ac:dyDescent="0.25">
      <c r="F61" s="23" t="s">
        <v>115</v>
      </c>
      <c r="G61" s="19" t="str">
        <f>'Revenue matching'!$B$86</f>
        <v>Residual charge calculation</v>
      </c>
    </row>
    <row r="62" spans="6:7" x14ac:dyDescent="0.25">
      <c r="F62" s="23" t="s">
        <v>115</v>
      </c>
      <c r="G62" s="19" t="str">
        <f>'Revenue matching'!$B$209</f>
        <v>Adjustments for negative fixed charges</v>
      </c>
    </row>
    <row r="63" spans="6:7" ht="15.75" thickBot="1" x14ac:dyDescent="0.3">
      <c r="F63" s="23" t="s">
        <v>115</v>
      </c>
      <c r="G63" s="19" t="str">
        <f>'Revenue matching'!$B$407</f>
        <v>Final adders</v>
      </c>
    </row>
    <row r="64" spans="6:7" ht="15.75" thickTop="1" x14ac:dyDescent="0.25">
      <c r="F64" s="22" t="s">
        <v>91</v>
      </c>
      <c r="G64" s="19" t="str">
        <f>Rounding!$B$12</f>
        <v>Inputs</v>
      </c>
    </row>
    <row r="65" spans="2:7" ht="15.75" thickBot="1" x14ac:dyDescent="0.3">
      <c r="F65" s="23" t="s">
        <v>115</v>
      </c>
      <c r="G65" s="19" t="str">
        <f>Rounding!$B$103</f>
        <v>Rounding of tariff forecast</v>
      </c>
    </row>
    <row r="66" spans="2:7" ht="15.75" thickTop="1" x14ac:dyDescent="0.25">
      <c r="F66" s="22" t="s">
        <v>93</v>
      </c>
      <c r="G66" s="19" t="str">
        <f>'Net revenue summary'!$B$11</f>
        <v>Inputs to net revenue summary calculation</v>
      </c>
    </row>
    <row r="67" spans="2:7" x14ac:dyDescent="0.25">
      <c r="F67" s="23" t="s">
        <v>115</v>
      </c>
      <c r="G67" s="19" t="str">
        <f>'Net revenue summary'!$B$90</f>
        <v>Typical bills</v>
      </c>
    </row>
    <row r="68" spans="2:7" x14ac:dyDescent="0.25">
      <c r="F68" s="23" t="s">
        <v>115</v>
      </c>
      <c r="G68" s="19" t="str">
        <f>'Net revenue summary'!$B$150</f>
        <v>Comparison with previous year</v>
      </c>
    </row>
    <row r="69" spans="2:7" ht="15.75" thickBot="1" x14ac:dyDescent="0.3">
      <c r="F69" s="23" t="s">
        <v>115</v>
      </c>
      <c r="G69" s="19" t="str">
        <f>'Net revenue summary'!$B$176</f>
        <v>LDNO margins</v>
      </c>
    </row>
    <row r="70" spans="2:7" ht="16.5" thickTop="1" thickBot="1" x14ac:dyDescent="0.3">
      <c r="F70" s="24" t="s">
        <v>95</v>
      </c>
      <c r="G70" s="19" t="str">
        <f>'Tariff summary'!$B$11</f>
        <v>Tariff summary</v>
      </c>
    </row>
    <row r="71" spans="2:7" ht="15.75" thickTop="1" x14ac:dyDescent="0.25">
      <c r="F71" s="24" t="s">
        <v>97</v>
      </c>
      <c r="G71" s="19" t="str">
        <f>'Output to other models'!$B$12</f>
        <v>Outputs for PCDM</v>
      </c>
    </row>
    <row r="72" spans="2:7" x14ac:dyDescent="0.25">
      <c r="F72" s="25" t="s">
        <v>115</v>
      </c>
      <c r="G72" s="19" t="str">
        <f>'Output to other models'!$B$31</f>
        <v>Outputs for EDCM</v>
      </c>
    </row>
    <row r="73" spans="2:7" x14ac:dyDescent="0.25">
      <c r="F73" s="25" t="s">
        <v>115</v>
      </c>
      <c r="G73" s="19" t="str">
        <f>'Output to other models'!$B$61</f>
        <v>Outputs for users' internal use</v>
      </c>
    </row>
    <row r="75" spans="2:7" x14ac:dyDescent="0.25">
      <c r="B75" s="85" t="s">
        <v>117</v>
      </c>
      <c r="C75" s="85"/>
      <c r="D75" s="85"/>
      <c r="E75" s="85"/>
      <c r="F75" s="85"/>
      <c r="G75" s="85"/>
    </row>
    <row r="77" spans="2:7" x14ac:dyDescent="0.25">
      <c r="C77" s="86" t="s">
        <v>118</v>
      </c>
    </row>
    <row r="79" spans="2:7" ht="15.75" thickBot="1" x14ac:dyDescent="0.3">
      <c r="F79" s="87" t="s">
        <v>111</v>
      </c>
      <c r="G79" s="88" t="s">
        <v>112</v>
      </c>
    </row>
    <row r="80" spans="2:7" ht="15.75" thickTop="1" x14ac:dyDescent="0.25">
      <c r="F80" s="21" t="s">
        <v>52</v>
      </c>
      <c r="G80" s="19" t="str">
        <f ca="1">'Fixed inputs'!$C$13</f>
        <v>Input 101-A: Conversions and time</v>
      </c>
    </row>
    <row r="81" spans="6:7" x14ac:dyDescent="0.25">
      <c r="F81" s="26" t="s">
        <v>115</v>
      </c>
      <c r="G81" s="19" t="str">
        <f ca="1">'Fixed inputs'!$C$21</f>
        <v>Input 101-B: Input 101-B: Rounding</v>
      </c>
    </row>
    <row r="82" spans="6:7" x14ac:dyDescent="0.25">
      <c r="F82" s="26" t="s">
        <v>115</v>
      </c>
      <c r="G82" s="19" t="str">
        <f ca="1">'Fixed inputs'!$C$34</f>
        <v>Input 101-C: Financial and general assumptions</v>
      </c>
    </row>
    <row r="83" spans="6:7" x14ac:dyDescent="0.25">
      <c r="F83" s="26" t="s">
        <v>115</v>
      </c>
      <c r="G83" s="19" t="str">
        <f ca="1">'Fixed inputs'!$C$44</f>
        <v>Input 101-D: Mappings</v>
      </c>
    </row>
    <row r="84" spans="6:7" x14ac:dyDescent="0.25">
      <c r="F84" s="26" t="s">
        <v>115</v>
      </c>
      <c r="G84" s="19" t="str">
        <f ca="1">'Fixed inputs'!$C$85</f>
        <v>Input 101-E: Standing charge factors</v>
      </c>
    </row>
    <row r="85" spans="6:7" x14ac:dyDescent="0.25">
      <c r="F85" s="26" t="s">
        <v>115</v>
      </c>
      <c r="G85" s="19" t="str">
        <f ca="1">'Fixed inputs'!$C$100</f>
        <v>Input 101-F: Flags</v>
      </c>
    </row>
    <row r="86" spans="6:7" x14ac:dyDescent="0.25">
      <c r="F86" s="26" t="s">
        <v>115</v>
      </c>
      <c r="G86" s="19" t="str">
        <f ca="1">'Fixed inputs'!$C$142</f>
        <v>Input 101-G: Identifiers for customer groupings</v>
      </c>
    </row>
    <row r="87" spans="6:7" x14ac:dyDescent="0.25">
      <c r="F87" s="26" t="s">
        <v>115</v>
      </c>
      <c r="G87" s="19" t="str">
        <f ca="1">'Fixed inputs'!$C$152</f>
        <v>Input 101-H: Decimal places for error checks</v>
      </c>
    </row>
    <row r="88" spans="6:7" x14ac:dyDescent="0.25">
      <c r="F88" s="26" t="s">
        <v>115</v>
      </c>
      <c r="G88" s="19" t="str">
        <f ca="1">'Fixed inputs'!$C$156</f>
        <v>Input 101-I: Map of applicable MPANs</v>
      </c>
    </row>
    <row r="89" spans="6:7" ht="15.75" thickBot="1" x14ac:dyDescent="0.3">
      <c r="F89" s="26" t="s">
        <v>115</v>
      </c>
      <c r="G89" s="19" t="str">
        <f ca="1">'Fixed inputs'!$C$162</f>
        <v>Input 101-J: Revenue matching inputs</v>
      </c>
    </row>
    <row r="90" spans="6:7" ht="15.75" thickTop="1" x14ac:dyDescent="0.25">
      <c r="F90" s="21" t="s">
        <v>55</v>
      </c>
      <c r="G90" s="19" t="str">
        <f ca="1">'Inputs by customer type'!$C$13</f>
        <v>Input 102-A: Load characteristics</v>
      </c>
    </row>
    <row r="91" spans="6:7" x14ac:dyDescent="0.25">
      <c r="F91" s="26" t="s">
        <v>115</v>
      </c>
      <c r="G91" s="19" t="str">
        <f ca="1">'Inputs by customer type'!$C$18</f>
        <v>Input 102-B: Volume forecasts for the charging year</v>
      </c>
    </row>
    <row r="92" spans="6:7" x14ac:dyDescent="0.25">
      <c r="F92" s="26" t="s">
        <v>115</v>
      </c>
      <c r="G92" s="19" t="str">
        <f ca="1">'Inputs by customer type'!$C$163</f>
        <v>Input 102-C: Non-Domestic Aggregated (Related MPAN) distribution by bands</v>
      </c>
    </row>
    <row r="93" spans="6:7" x14ac:dyDescent="0.25">
      <c r="F93" s="26" t="s">
        <v>115</v>
      </c>
      <c r="G93" s="19" t="str">
        <f ca="1">'Inputs by customer type'!$C$183</f>
        <v>Input 102-D: Service model asset values</v>
      </c>
    </row>
    <row r="94" spans="6:7" x14ac:dyDescent="0.25">
      <c r="F94" s="26" t="s">
        <v>115</v>
      </c>
      <c r="G94" s="19" t="str">
        <f ca="1">'Inputs by customer type'!$C$192</f>
        <v>Input 102-E: Previous year all-the-way tariff forecast</v>
      </c>
    </row>
    <row r="95" spans="6:7" ht="15.75" thickBot="1" x14ac:dyDescent="0.3">
      <c r="F95" s="26" t="s">
        <v>115</v>
      </c>
      <c r="G95" s="19" t="str">
        <f ca="1">'Inputs by customer type'!$C$206</f>
        <v>Input 102-F: Previous year net revenue (if known)</v>
      </c>
    </row>
    <row r="96" spans="6:7" ht="15.75" thickTop="1" x14ac:dyDescent="0.25">
      <c r="F96" s="21" t="s">
        <v>57</v>
      </c>
      <c r="G96" s="19" t="str">
        <f ca="1">'Inputs by network level'!$C$13</f>
        <v>Input 103-A: Network and load inputs</v>
      </c>
    </row>
    <row r="97" spans="6:7" x14ac:dyDescent="0.25">
      <c r="F97" s="26" t="s">
        <v>115</v>
      </c>
      <c r="G97" s="19" t="str">
        <f ca="1">'Inputs by network level'!$C$23</f>
        <v>Input 103-B: Customer contributions under current connection charging policy</v>
      </c>
    </row>
    <row r="98" spans="6:7" x14ac:dyDescent="0.25">
      <c r="F98" s="26" t="s">
        <v>115</v>
      </c>
      <c r="G98" s="19" t="str">
        <f ca="1">'Inputs by network level'!$C$31</f>
        <v>Input 103-C: DRM asset costs</v>
      </c>
    </row>
    <row r="99" spans="6:7" ht="15.75" thickBot="1" x14ac:dyDescent="0.3">
      <c r="F99" s="26" t="s">
        <v>115</v>
      </c>
      <c r="G99" s="19" t="str">
        <f ca="1">'Inputs by network level'!$C$35</f>
        <v>Input 103-D: Peaking probabilities by network level</v>
      </c>
    </row>
    <row r="100" spans="6:7" ht="15.75" thickTop="1" x14ac:dyDescent="0.25">
      <c r="F100" s="21" t="s">
        <v>59</v>
      </c>
      <c r="G100" s="19" t="str">
        <f ca="1">'General inputs'!$C$13</f>
        <v>Input 104-A: Inputs by distribution timeband</v>
      </c>
    </row>
    <row r="101" spans="6:7" x14ac:dyDescent="0.25">
      <c r="F101" s="26" t="s">
        <v>115</v>
      </c>
      <c r="G101" s="19" t="str">
        <f ca="1">'General inputs'!$C$25</f>
        <v>Input 104-B: LDNO discount inputs</v>
      </c>
    </row>
    <row r="102" spans="6:7" x14ac:dyDescent="0.25">
      <c r="F102" s="26" t="s">
        <v>115</v>
      </c>
      <c r="G102" s="19" t="str">
        <f ca="1">'General inputs'!$C$35</f>
        <v>Input 104-C: CDCM target revenue</v>
      </c>
    </row>
    <row r="103" spans="6:7" x14ac:dyDescent="0.25">
      <c r="F103" s="26" t="s">
        <v>115</v>
      </c>
      <c r="G103" s="19" t="str">
        <f ca="1">'General inputs'!$C$94</f>
        <v>Input 104-D: Financial and general assumptions</v>
      </c>
    </row>
    <row r="104" spans="6:7" x14ac:dyDescent="0.25">
      <c r="F104" s="26" t="s">
        <v>115</v>
      </c>
      <c r="G104" s="19" t="str">
        <f ca="1">'General inputs'!$C$100</f>
        <v>Input 104-E: Transmission exit charges</v>
      </c>
    </row>
    <row r="105" spans="6:7" ht="15.75" thickBot="1" x14ac:dyDescent="0.3">
      <c r="F105" s="26" t="s">
        <v>115</v>
      </c>
      <c r="G105" s="19" t="str">
        <f ca="1">'General inputs'!$C$104</f>
        <v>Input 104-F: Other expenditure</v>
      </c>
    </row>
    <row r="106" spans="6:7" ht="16.5" thickTop="1" thickBot="1" x14ac:dyDescent="0.3">
      <c r="F106" s="22" t="s">
        <v>119</v>
      </c>
      <c r="G106" s="19" t="str">
        <f ca="1">'Standing charge factors'!$C$19</f>
        <v>Section 101-A: Adjustments to standing charges</v>
      </c>
    </row>
    <row r="107" spans="6:7" ht="15.75" thickTop="1" x14ac:dyDescent="0.25">
      <c r="F107" s="22" t="s">
        <v>63</v>
      </c>
      <c r="G107" s="19" t="str">
        <f ca="1">'Load &amp; loss characteristics'!$C$17</f>
        <v>Section 102-A: Load characteristics</v>
      </c>
    </row>
    <row r="108" spans="6:7" x14ac:dyDescent="0.25">
      <c r="F108" s="23" t="s">
        <v>115</v>
      </c>
      <c r="G108" s="19" t="str">
        <f ca="1">'Load &amp; loss characteristics'!$C$25</f>
        <v>Section 102-B: Loss adjustment factors</v>
      </c>
    </row>
    <row r="109" spans="6:7" x14ac:dyDescent="0.25">
      <c r="F109" s="23" t="s">
        <v>115</v>
      </c>
      <c r="G109" s="19" t="str">
        <f ca="1">'Load &amp; loss characteristics'!$C$35</f>
        <v>Section 102-C: Proportion of relevant load going through 132kV/HV direct transformation</v>
      </c>
    </row>
    <row r="110" spans="6:7" x14ac:dyDescent="0.25">
      <c r="F110" s="23" t="s">
        <v>115</v>
      </c>
      <c r="G110" s="19" t="str">
        <f ca="1">'Load &amp; loss characteristics'!$C$40</f>
        <v>Section 102-D: Network use factors</v>
      </c>
    </row>
    <row r="111" spans="6:7" ht="15.75" thickBot="1" x14ac:dyDescent="0.3">
      <c r="F111" s="23" t="s">
        <v>115</v>
      </c>
      <c r="G111" s="19" t="str">
        <f ca="1">'Load &amp; loss characteristics'!$C$121</f>
        <v>Section 102-E: User loss factors</v>
      </c>
    </row>
    <row r="112" spans="6:7" ht="15.75" thickTop="1" x14ac:dyDescent="0.25">
      <c r="F112" s="22" t="s">
        <v>65</v>
      </c>
      <c r="G112" s="19" t="str">
        <f ca="1">'Customer contributions'!$C$16</f>
        <v>Section 103-A: Network use factors</v>
      </c>
    </row>
    <row r="113" spans="6:7" ht="15.75" thickBot="1" x14ac:dyDescent="0.3">
      <c r="F113" s="23" t="s">
        <v>115</v>
      </c>
      <c r="G113" s="19" t="str">
        <f ca="1">'Customer contributions'!$C$38</f>
        <v>Section 103-B: Customer contributions</v>
      </c>
    </row>
    <row r="114" spans="6:7" ht="15.75" thickTop="1" x14ac:dyDescent="0.25">
      <c r="F114" s="22" t="s">
        <v>67</v>
      </c>
      <c r="G114" s="19" t="str">
        <f ca="1">'Volume adjustments'!$C$15</f>
        <v>Section 104-A: LDNO discounts</v>
      </c>
    </row>
    <row r="115" spans="6:7" x14ac:dyDescent="0.25">
      <c r="F115" s="23" t="s">
        <v>115</v>
      </c>
      <c r="G115" s="19" t="str">
        <f ca="1">'Volume adjustments'!$C$53</f>
        <v>Section 104-B: Aggregation of volumes</v>
      </c>
    </row>
    <row r="116" spans="6:7" x14ac:dyDescent="0.25">
      <c r="F116" s="23" t="s">
        <v>115</v>
      </c>
      <c r="G116" s="19" t="str">
        <f ca="1">'Volume adjustments'!$C$225</f>
        <v>Section 104-C: Volume discounting</v>
      </c>
    </row>
    <row r="117" spans="6:7" x14ac:dyDescent="0.25">
      <c r="F117" s="23" t="s">
        <v>115</v>
      </c>
      <c r="G117" s="19" t="str">
        <f ca="1">'Volume adjustments'!$C$332</f>
        <v>Section 104-D: No residual volume discounting</v>
      </c>
    </row>
    <row r="118" spans="6:7" x14ac:dyDescent="0.25">
      <c r="F118" s="23" t="s">
        <v>115</v>
      </c>
      <c r="G118" s="19" t="str">
        <f ca="1">'Volume adjustments'!$C$361</f>
        <v>Section 104-E: Residual band 1 volume discounting</v>
      </c>
    </row>
    <row r="119" spans="6:7" x14ac:dyDescent="0.25">
      <c r="F119" s="23" t="s">
        <v>115</v>
      </c>
      <c r="G119" s="19" t="str">
        <f ca="1">'Volume adjustments'!$C$390</f>
        <v>Section 104-F: Residual band 2 volume discounting</v>
      </c>
    </row>
    <row r="120" spans="6:7" x14ac:dyDescent="0.25">
      <c r="F120" s="23" t="s">
        <v>115</v>
      </c>
      <c r="G120" s="19" t="str">
        <f ca="1">'Volume adjustments'!$C$419</f>
        <v>Section 104-G: Residual band 3 volume discounting</v>
      </c>
    </row>
    <row r="121" spans="6:7" x14ac:dyDescent="0.25">
      <c r="F121" s="23" t="s">
        <v>115</v>
      </c>
      <c r="G121" s="19" t="str">
        <f ca="1">'Volume adjustments'!$C$448</f>
        <v>Section 104-H: Residual band 4 volume discounting</v>
      </c>
    </row>
    <row r="122" spans="6:7" x14ac:dyDescent="0.25">
      <c r="F122" s="23" t="s">
        <v>115</v>
      </c>
      <c r="G122" s="19" t="str">
        <f ca="1">'Volume adjustments'!$C$477</f>
        <v>Section 104-I: Discounted volumes by residual band</v>
      </c>
    </row>
    <row r="123" spans="6:7" x14ac:dyDescent="0.25">
      <c r="F123" s="23" t="s">
        <v>115</v>
      </c>
      <c r="G123" s="19" t="str">
        <f ca="1">'Volume adjustments'!$C$523</f>
        <v>Section 104-J: Volumes by residual band</v>
      </c>
    </row>
    <row r="124" spans="6:7" ht="15.75" thickBot="1" x14ac:dyDescent="0.3">
      <c r="F124" s="23" t="s">
        <v>115</v>
      </c>
      <c r="G124" s="19" t="str">
        <f ca="1">'Volume adjustments'!$C$657</f>
        <v>Section 104-K: Non-domestic aggregated (related MPAN) distribution across bands</v>
      </c>
    </row>
    <row r="125" spans="6:7" ht="15.75" thickTop="1" x14ac:dyDescent="0.25">
      <c r="F125" s="22" t="s">
        <v>69</v>
      </c>
      <c r="G125" s="19" t="str">
        <f ca="1">'Pseudo-load coefficients'!$C$18</f>
        <v>Section 105-A: Flags and hours in timebands</v>
      </c>
    </row>
    <row r="126" spans="6:7" x14ac:dyDescent="0.25">
      <c r="F126" s="23" t="s">
        <v>115</v>
      </c>
      <c r="G126" s="19" t="str">
        <f ca="1">'Pseudo-load coefficients'!$C$28</f>
        <v>Section 105-B: Average load by timeband</v>
      </c>
    </row>
    <row r="127" spans="6:7" x14ac:dyDescent="0.25">
      <c r="F127" s="23" t="s">
        <v>115</v>
      </c>
      <c r="G127" s="19" t="str">
        <f ca="1">'Pseudo-load coefficients'!$C$36</f>
        <v>Section 105-C: Aggregated groups for pseudo-load coefficients</v>
      </c>
    </row>
    <row r="128" spans="6:7" x14ac:dyDescent="0.25">
      <c r="F128" s="23" t="s">
        <v>115</v>
      </c>
      <c r="G128" s="19" t="str">
        <f ca="1">'Pseudo-load coefficients'!$C$52</f>
        <v>Section 105-D: Ratio of coincidence to load factor assuming units evenly spread within time bands, and peak falls in Red period</v>
      </c>
    </row>
    <row r="129" spans="6:7" x14ac:dyDescent="0.25">
      <c r="F129" s="23" t="s">
        <v>115</v>
      </c>
      <c r="G129" s="19" t="str">
        <f ca="1">'Pseudo-load coefficients'!$C$60</f>
        <v>Section 105-E: Load characteristics for all customers</v>
      </c>
    </row>
    <row r="130" spans="6:7" x14ac:dyDescent="0.25">
      <c r="F130" s="23" t="s">
        <v>115</v>
      </c>
      <c r="G130" s="19" t="str">
        <f ca="1">'Pseudo-load coefficients'!$C$65</f>
        <v>Section 105-F: Aggregated load characteristics for grouped customers</v>
      </c>
    </row>
    <row r="131" spans="6:7" x14ac:dyDescent="0.25">
      <c r="F131" s="23" t="s">
        <v>115</v>
      </c>
      <c r="G131" s="19" t="str">
        <f ca="1">'Pseudo-load coefficients'!$C$87</f>
        <v>Section 105-G: Calculation of correction factor</v>
      </c>
    </row>
    <row r="132" spans="6:7" x14ac:dyDescent="0.25">
      <c r="F132" s="23" t="s">
        <v>115</v>
      </c>
      <c r="G132" s="19" t="str">
        <f ca="1">'Pseudo-load coefficients'!$C$100</f>
        <v>Section 105-H: Peaking probabilities, by network level</v>
      </c>
    </row>
    <row r="133" spans="6:7" x14ac:dyDescent="0.25">
      <c r="F133" s="23" t="s">
        <v>115</v>
      </c>
      <c r="G133" s="19" t="str">
        <f ca="1">'Pseudo-load coefficients'!$C$174</f>
        <v>Section 105-I: Peaking probabilities, by network level and customer type</v>
      </c>
    </row>
    <row r="134" spans="6:7" x14ac:dyDescent="0.25">
      <c r="F134" s="23" t="s">
        <v>115</v>
      </c>
      <c r="G134" s="19" t="str">
        <f ca="1">'Pseudo-load coefficients'!$C$221</f>
        <v>Section 105-J: Ratio of coincidence factor to load factor, based on uniform distribution in timebands and peaking probabilities</v>
      </c>
    </row>
    <row r="135" spans="6:7" x14ac:dyDescent="0.25">
      <c r="F135" s="23" t="s">
        <v>115</v>
      </c>
      <c r="G135" s="19" t="str">
        <f ca="1">'Pseudo-load coefficients'!$C$265</f>
        <v>Section 105-K: Load coefficient</v>
      </c>
    </row>
    <row r="136" spans="6:7" ht="15.75" thickBot="1" x14ac:dyDescent="0.3">
      <c r="F136" s="23" t="s">
        <v>115</v>
      </c>
      <c r="G136" s="19" t="str">
        <f ca="1">'Pseudo-load coefficients'!$C$269</f>
        <v>Section 105-L: Pseudo load coefficients, by unit rate</v>
      </c>
    </row>
    <row r="137" spans="6:7" ht="15.75" thickTop="1" x14ac:dyDescent="0.25">
      <c r="F137" s="22" t="s">
        <v>71</v>
      </c>
      <c r="G137" s="19" t="str">
        <f ca="1">'System peak demand'!$C$18</f>
        <v>Section 106-A: Common inputs for chargeable load calculations</v>
      </c>
    </row>
    <row r="138" spans="6:7" x14ac:dyDescent="0.25">
      <c r="F138" s="23" t="s">
        <v>115</v>
      </c>
      <c r="G138" s="19" t="str">
        <f ca="1">'System peak demand'!$C$67</f>
        <v>Section 106-B: System peak load, by unit rate</v>
      </c>
    </row>
    <row r="139" spans="6:7" x14ac:dyDescent="0.25">
      <c r="F139" s="23" t="s">
        <v>115</v>
      </c>
      <c r="G139" s="19" t="str">
        <f ca="1">'System peak demand'!$C$138</f>
        <v>Section 106-C: System peak load, all unit rates</v>
      </c>
    </row>
    <row r="140" spans="6:7" x14ac:dyDescent="0.25">
      <c r="F140" s="23" t="s">
        <v>115</v>
      </c>
      <c r="G140" s="19" t="str">
        <f ca="1">'System peak demand'!$C$164</f>
        <v>Section 106-D: Unit rate contributions to chargeable peak load</v>
      </c>
    </row>
    <row r="141" spans="6:7" x14ac:dyDescent="0.25">
      <c r="F141" s="23" t="s">
        <v>115</v>
      </c>
      <c r="G141" s="19" t="str">
        <f ca="1">'System peak demand'!$C$184</f>
        <v>Section 106-E: Adjustment of import and exceeded capacity</v>
      </c>
    </row>
    <row r="142" spans="6:7" x14ac:dyDescent="0.25">
      <c r="F142" s="23" t="s">
        <v>115</v>
      </c>
      <c r="G142" s="19" t="str">
        <f ca="1">'System peak demand'!$C$194</f>
        <v>Section 106-F: Calculation of LV circuit diversity factor</v>
      </c>
    </row>
    <row r="143" spans="6:7" x14ac:dyDescent="0.25">
      <c r="F143" s="23" t="s">
        <v>115</v>
      </c>
      <c r="G143" s="19" t="str">
        <f ca="1">'System peak demand'!$C$236</f>
        <v>Section 106-G: Import/exceeded capacity contribution to system peak</v>
      </c>
    </row>
    <row r="144" spans="6:7" x14ac:dyDescent="0.25">
      <c r="F144" s="23" t="s">
        <v>115</v>
      </c>
      <c r="G144" s="19" t="str">
        <f ca="1">'System peak demand'!$C$249</f>
        <v>Section 106-H: Estimated capacity contribution to system peak</v>
      </c>
    </row>
    <row r="145" spans="6:7" ht="15.75" thickBot="1" x14ac:dyDescent="0.3">
      <c r="F145" s="23" t="s">
        <v>115</v>
      </c>
      <c r="G145" s="19" t="str">
        <f ca="1">'System peak demand'!$C$266</f>
        <v>Section 106-I: System peak based on chargeable load</v>
      </c>
    </row>
    <row r="146" spans="6:7" ht="16.5" thickTop="1" thickBot="1" x14ac:dyDescent="0.3">
      <c r="F146" s="22" t="s">
        <v>73</v>
      </c>
      <c r="G146" s="19" t="str">
        <f ca="1">'Service model assets'!$C$14</f>
        <v>Section 107-A: Service model notional asset values</v>
      </c>
    </row>
    <row r="147" spans="6:7" ht="15.75" thickTop="1" x14ac:dyDescent="0.25">
      <c r="F147" s="22" t="s">
        <v>75</v>
      </c>
      <c r="G147" s="19" t="str">
        <f ca="1">'Unit costs'!$C$19</f>
        <v>Section 108-A: Financial data</v>
      </c>
    </row>
    <row r="148" spans="6:7" x14ac:dyDescent="0.25">
      <c r="F148" s="23" t="s">
        <v>115</v>
      </c>
      <c r="G148" s="19" t="str">
        <f ca="1">'Unit costs'!$C$27</f>
        <v>Section 108-B: Diversity and loss adjustment factors</v>
      </c>
    </row>
    <row r="149" spans="6:7" x14ac:dyDescent="0.25">
      <c r="F149" s="23" t="s">
        <v>115</v>
      </c>
      <c r="G149" s="19" t="str">
        <f ca="1">'Unit costs'!$C$35</f>
        <v>Section 108-C: Maximum demand</v>
      </c>
    </row>
    <row r="150" spans="6:7" x14ac:dyDescent="0.25">
      <c r="F150" s="23" t="s">
        <v>115</v>
      </c>
      <c r="G150" s="19" t="str">
        <f ca="1">'Unit costs'!$C$42</f>
        <v>Section 108-D: Rerouting matrix</v>
      </c>
    </row>
    <row r="151" spans="6:7" x14ac:dyDescent="0.25">
      <c r="F151" s="23" t="s">
        <v>115</v>
      </c>
      <c r="G151" s="19" t="str">
        <f ca="1">'Unit costs'!$C$50</f>
        <v>Section 108-E: Annuitised cost of assets</v>
      </c>
    </row>
    <row r="152" spans="6:7" x14ac:dyDescent="0.25">
      <c r="F152" s="23" t="s">
        <v>115</v>
      </c>
      <c r="G152" s="19" t="str">
        <f ca="1">'Unit costs'!$C$62</f>
        <v>Section 108-F: System simultaneous peak load based on chargeable units</v>
      </c>
    </row>
    <row r="153" spans="6:7" x14ac:dyDescent="0.25">
      <c r="F153" s="23" t="s">
        <v>115</v>
      </c>
      <c r="G153" s="19" t="str">
        <f ca="1">'Unit costs'!$C$69</f>
        <v>Section 108-G: Notional asset values, by network level</v>
      </c>
    </row>
    <row r="154" spans="6:7" x14ac:dyDescent="0.25">
      <c r="F154" s="23" t="s">
        <v>115</v>
      </c>
      <c r="G154" s="19" t="str">
        <f ca="1">'Unit costs'!$C$80</f>
        <v>Section 108-H: Other operating costs</v>
      </c>
    </row>
    <row r="155" spans="6:7" x14ac:dyDescent="0.25">
      <c r="F155" s="23" t="s">
        <v>115</v>
      </c>
      <c r="G155" s="19" t="str">
        <f ca="1">'Unit costs'!$C$92</f>
        <v>Section 108-I: Other operating costs by network level</v>
      </c>
    </row>
    <row r="156" spans="6:7" x14ac:dyDescent="0.25">
      <c r="F156" s="23" t="s">
        <v>115</v>
      </c>
      <c r="G156" s="19" t="str">
        <f ca="1">'Unit costs'!$C$104</f>
        <v>Section 108-J: Notional asset values by network level</v>
      </c>
    </row>
    <row r="157" spans="6:7" x14ac:dyDescent="0.25">
      <c r="F157" s="23" t="s">
        <v>115</v>
      </c>
      <c r="G157" s="19" t="str">
        <f ca="1">'Unit costs'!$C$110</f>
        <v>Section 108-K: Unit costs</v>
      </c>
    </row>
    <row r="158" spans="6:7" ht="15.75" thickBot="1" x14ac:dyDescent="0.3">
      <c r="F158" s="23" t="s">
        <v>115</v>
      </c>
      <c r="G158" s="19" t="str">
        <f ca="1">'Unit costs'!$C$117</f>
        <v>Section 108-L: Values used for allocating costs to service models</v>
      </c>
    </row>
    <row r="159" spans="6:7" ht="15.75" thickTop="1" x14ac:dyDescent="0.25">
      <c r="F159" s="22" t="s">
        <v>77</v>
      </c>
      <c r="G159" s="19" t="str">
        <f ca="1">'Initial unit rates'!$C$13</f>
        <v>Section 109-A: Inputs for yardstick and unit rate calculations</v>
      </c>
    </row>
    <row r="160" spans="6:7" x14ac:dyDescent="0.25">
      <c r="F160" s="23" t="s">
        <v>115</v>
      </c>
      <c r="G160" s="19" t="str">
        <f ca="1">'Initial unit rates'!$C$118</f>
        <v>Section 109-B: Yardstick charges</v>
      </c>
    </row>
    <row r="161" spans="6:7" x14ac:dyDescent="0.25">
      <c r="F161" s="23" t="s">
        <v>115</v>
      </c>
      <c r="G161" s="19" t="str">
        <f ca="1">'Initial unit rates'!$C$146</f>
        <v>Section 109-C: Unit rate 1</v>
      </c>
    </row>
    <row r="162" spans="6:7" x14ac:dyDescent="0.25">
      <c r="F162" s="23" t="s">
        <v>115</v>
      </c>
      <c r="G162" s="19" t="str">
        <f ca="1">'Initial unit rates'!$C$175</f>
        <v>Section 109-D: Unit rate 2</v>
      </c>
    </row>
    <row r="163" spans="6:7" ht="15.75" thickBot="1" x14ac:dyDescent="0.3">
      <c r="F163" s="23" t="s">
        <v>115</v>
      </c>
      <c r="G163" s="19" t="str">
        <f ca="1">'Initial unit rates'!$C$204</f>
        <v>Section 109-E: Unit rate 3</v>
      </c>
    </row>
    <row r="164" spans="6:7" ht="15.75" thickTop="1" x14ac:dyDescent="0.25">
      <c r="F164" s="22" t="s">
        <v>79</v>
      </c>
      <c r="G164" s="19" t="str">
        <f ca="1">'Service model charges'!$C$17</f>
        <v>Section 110-A: Inputs to service model charge calculation</v>
      </c>
    </row>
    <row r="165" spans="6:7" x14ac:dyDescent="0.25">
      <c r="F165" s="23" t="s">
        <v>115</v>
      </c>
      <c r="G165" s="19" t="str">
        <f ca="1">'Service model charges'!$C$33</f>
        <v>Section 110-B: Calculation of other operating expenditure per £ of notional asset value</v>
      </c>
    </row>
    <row r="166" spans="6:7" ht="15.75" thickBot="1" x14ac:dyDescent="0.3">
      <c r="F166" s="23" t="s">
        <v>115</v>
      </c>
      <c r="G166" s="19" t="str">
        <f ca="1">'Service model charges'!$C$37</f>
        <v>Section 110-C: Calculation of service model charges</v>
      </c>
    </row>
    <row r="167" spans="6:7" ht="15.75" thickTop="1" x14ac:dyDescent="0.25">
      <c r="F167" s="22" t="s">
        <v>81</v>
      </c>
      <c r="G167" s="19" t="str">
        <f ca="1">'Unit rate charges'!$C$19</f>
        <v>Section 111-A: Initial unit rate 1</v>
      </c>
    </row>
    <row r="168" spans="6:7" x14ac:dyDescent="0.25">
      <c r="F168" s="23" t="s">
        <v>115</v>
      </c>
      <c r="G168" s="19" t="str">
        <f ca="1">'Unit rate charges'!$C$49</f>
        <v>Section 111-B: Initial unit rate 2</v>
      </c>
    </row>
    <row r="169" spans="6:7" x14ac:dyDescent="0.25">
      <c r="F169" s="23" t="s">
        <v>115</v>
      </c>
      <c r="G169" s="19" t="str">
        <f ca="1">'Unit rate charges'!$C$79</f>
        <v>Section 111-C: Initial unit rate 3</v>
      </c>
    </row>
    <row r="170" spans="6:7" x14ac:dyDescent="0.25">
      <c r="F170" s="23" t="s">
        <v>115</v>
      </c>
      <c r="G170" s="19" t="str">
        <f ca="1">'Unit rate charges'!$C$109</f>
        <v>Section 111-D: Standing charge factors</v>
      </c>
    </row>
    <row r="171" spans="6:7" x14ac:dyDescent="0.25">
      <c r="F171" s="23" t="s">
        <v>115</v>
      </c>
      <c r="G171" s="19" t="str">
        <f ca="1">'Unit rate charges'!$C$124</f>
        <v>Section 111-E: Contributions to unit rate 1 p/kWh by network level (taking account of standing charges)</v>
      </c>
    </row>
    <row r="172" spans="6:7" x14ac:dyDescent="0.25">
      <c r="F172" s="23" t="s">
        <v>115</v>
      </c>
      <c r="G172" s="19" t="str">
        <f ca="1">'Unit rate charges'!$C$154</f>
        <v>Section 111-F: Contributions to unit rate 2 p/kWh by network level (taking account of standing charges)</v>
      </c>
    </row>
    <row r="173" spans="6:7" x14ac:dyDescent="0.25">
      <c r="F173" s="23" t="s">
        <v>115</v>
      </c>
      <c r="G173" s="19" t="str">
        <f ca="1">'Unit rate charges'!$C$184</f>
        <v>Section 111-G: Contributions to unit rate 3 p/kWh by network level (taking account of standing charges)</v>
      </c>
    </row>
    <row r="174" spans="6:7" ht="15.75" thickBot="1" x14ac:dyDescent="0.3">
      <c r="F174" s="23" t="s">
        <v>115</v>
      </c>
      <c r="G174" s="19" t="str">
        <f ca="1">'Unit rate charges'!$C$214</f>
        <v>Section 111-H: Unit rates, post application of standing charges</v>
      </c>
    </row>
    <row r="175" spans="6:7" ht="15.75" thickTop="1" x14ac:dyDescent="0.25">
      <c r="F175" s="22" t="s">
        <v>85</v>
      </c>
      <c r="G175" s="19" t="str">
        <f ca="1">'Capacity charges'!$C$19</f>
        <v>Section 112-A: Inputs to capacity charge calculations</v>
      </c>
    </row>
    <row r="176" spans="6:7" x14ac:dyDescent="0.25">
      <c r="F176" s="23" t="s">
        <v>115</v>
      </c>
      <c r="G176" s="19" t="str">
        <f ca="1">'Capacity charges'!$C$129</f>
        <v>Section 112-B: Capacity-based charge elements (to be split between capacity &amp; fixed charges)</v>
      </c>
    </row>
    <row r="177" spans="6:7" x14ac:dyDescent="0.25">
      <c r="F177" s="23" t="s">
        <v>115</v>
      </c>
      <c r="G177" s="19" t="str">
        <f ca="1">'Capacity charges'!$C$159</f>
        <v>Section 112-C: Exceeded capacity-based charge elements</v>
      </c>
    </row>
    <row r="178" spans="6:7" x14ac:dyDescent="0.25">
      <c r="F178" s="23" t="s">
        <v>115</v>
      </c>
      <c r="G178" s="19" t="str">
        <f ca="1">'Capacity charges'!$C$189</f>
        <v>Section 112-D: Capacity charges for eligible customers, by network level</v>
      </c>
    </row>
    <row r="179" spans="6:7" x14ac:dyDescent="0.25">
      <c r="F179" s="23" t="s">
        <v>115</v>
      </c>
      <c r="G179" s="19" t="str">
        <f ca="1">'Capacity charges'!$C$219</f>
        <v>Section 112-E: Exceeded capacity charges for eligible customers, by network level</v>
      </c>
    </row>
    <row r="180" spans="6:7" x14ac:dyDescent="0.25">
      <c r="F180" s="23" t="s">
        <v>115</v>
      </c>
      <c r="G180" s="19" t="str">
        <f ca="1">'Capacity charges'!$C$254</f>
        <v>Section 112-F: Capacity and exceeded capacity charges</v>
      </c>
    </row>
    <row r="181" spans="6:7" ht="15.75" thickBot="1" x14ac:dyDescent="0.3">
      <c r="F181" s="23" t="s">
        <v>115</v>
      </c>
      <c r="G181" s="19" t="str">
        <f ca="1">'Capacity charges'!$C$259</f>
        <v>Section 112-G: Capacity elements allocated to fixed charges</v>
      </c>
    </row>
    <row r="182" spans="6:7" ht="15.75" thickTop="1" x14ac:dyDescent="0.25">
      <c r="F182" s="22" t="s">
        <v>83</v>
      </c>
      <c r="G182" s="19" t="str">
        <f ca="1">'Reactive power charges'!$C$17</f>
        <v>Section 113-A: Inputs to reactive power charge calculations</v>
      </c>
    </row>
    <row r="183" spans="6:7" x14ac:dyDescent="0.25">
      <c r="F183" s="23" t="s">
        <v>115</v>
      </c>
      <c r="G183" s="19" t="str">
        <f ca="1">'Reactive power charges'!$C$120</f>
        <v>Section 113-B: Yardstick charge (demand)</v>
      </c>
    </row>
    <row r="184" spans="6:7" x14ac:dyDescent="0.25">
      <c r="F184" s="23" t="s">
        <v>115</v>
      </c>
      <c r="G184" s="19" t="str">
        <f ca="1">'Reactive power charges'!$C$155</f>
        <v>Section 113-C: Yardstick charge used for generation</v>
      </c>
    </row>
    <row r="185" spans="6:7" x14ac:dyDescent="0.25">
      <c r="F185" s="23" t="s">
        <v>115</v>
      </c>
      <c r="G185" s="19" t="str">
        <f ca="1">'Reactive power charges'!$C$190</f>
        <v>Section 113-D: Reactive power charges, all customer categories</v>
      </c>
    </row>
    <row r="186" spans="6:7" ht="15.75" thickBot="1" x14ac:dyDescent="0.3">
      <c r="F186" s="23" t="s">
        <v>115</v>
      </c>
      <c r="G186" s="19" t="str">
        <f ca="1">'Reactive power charges'!$C$220</f>
        <v>Section 113-E: Reactive power charges for applicable customers</v>
      </c>
    </row>
    <row r="187" spans="6:7" ht="15.75" thickTop="1" x14ac:dyDescent="0.25">
      <c r="F187" s="22" t="s">
        <v>87</v>
      </c>
      <c r="G187" s="19" t="str">
        <f ca="1">'Fixed charges'!$C$16</f>
        <v>Section 114-A: Volumes (discounted MPANs &amp; maximum load)</v>
      </c>
    </row>
    <row r="188" spans="6:7" x14ac:dyDescent="0.25">
      <c r="F188" s="23" t="s">
        <v>115</v>
      </c>
      <c r="G188" s="19" t="str">
        <f ca="1">'Fixed charges'!$C$22</f>
        <v>Section 114-B: Capacity elements allocated to fixed charges</v>
      </c>
    </row>
    <row r="189" spans="6:7" x14ac:dyDescent="0.25">
      <c r="F189" s="23" t="s">
        <v>115</v>
      </c>
      <c r="G189" s="19" t="str">
        <f ca="1">'Fixed charges'!$C$52</f>
        <v>Section 114-C: Service model costs allocated to fixed charges</v>
      </c>
    </row>
    <row r="190" spans="6:7" x14ac:dyDescent="0.25">
      <c r="F190" s="23" t="s">
        <v>115</v>
      </c>
      <c r="G190" s="19" t="str">
        <f ca="1">'Fixed charges'!$C$58</f>
        <v>Section 114-D: Flags</v>
      </c>
    </row>
    <row r="191" spans="6:7" x14ac:dyDescent="0.25">
      <c r="F191" s="23" t="s">
        <v>115</v>
      </c>
      <c r="G191" s="19" t="str">
        <f ca="1">'Fixed charges'!$C$67</f>
        <v>Section 114-E: Revenue allocated to fixed charges</v>
      </c>
    </row>
    <row r="192" spans="6:7" x14ac:dyDescent="0.25">
      <c r="F192" s="23" t="s">
        <v>115</v>
      </c>
      <c r="G192" s="19" t="str">
        <f ca="1">'Fixed charges'!$C$97</f>
        <v>Section 114-F: Revenue allocated to fixed charges, by aggregation group</v>
      </c>
    </row>
    <row r="193" spans="6:7" x14ac:dyDescent="0.25">
      <c r="F193" s="23" t="s">
        <v>115</v>
      </c>
      <c r="G193" s="19" t="str">
        <f ca="1">'Fixed charges'!$C$127</f>
        <v>Section 114-G: Fixed charges, by network level</v>
      </c>
    </row>
    <row r="194" spans="6:7" ht="15.75" thickBot="1" x14ac:dyDescent="0.3">
      <c r="F194" s="23" t="s">
        <v>115</v>
      </c>
      <c r="G194" s="19" t="str">
        <f ca="1">'Fixed charges'!$C$159</f>
        <v>Section 114-H: Aggregated fixed charges</v>
      </c>
    </row>
    <row r="195" spans="6:7" ht="15.75" thickTop="1" x14ac:dyDescent="0.25">
      <c r="F195" s="22" t="s">
        <v>1096</v>
      </c>
      <c r="G195" s="19" t="str">
        <f ca="1">'SoLR &amp; bad debt adders'!$C$16</f>
        <v>Section 115-A: Inputs for fixed tariff adjustments</v>
      </c>
    </row>
    <row r="196" spans="6:7" x14ac:dyDescent="0.25">
      <c r="F196" s="23" t="s">
        <v>115</v>
      </c>
      <c r="G196" s="19" t="str">
        <f ca="1">'SoLR &amp; bad debt adders'!$C$33</f>
        <v>Section 115-B: Calculation of fixed tariff adjustments</v>
      </c>
    </row>
    <row r="197" spans="6:7" ht="15.75" thickBot="1" x14ac:dyDescent="0.3">
      <c r="F197" s="23" t="s">
        <v>115</v>
      </c>
      <c r="G197" s="19" t="str">
        <f ca="1">'SoLR &amp; bad debt adders'!$C$48</f>
        <v>Section 115-C: Calculation of fixed charge adder revenue</v>
      </c>
    </row>
    <row r="198" spans="6:7" ht="15.75" thickTop="1" x14ac:dyDescent="0.25">
      <c r="F198" s="22" t="s">
        <v>89</v>
      </c>
      <c r="G198" s="19" t="str">
        <f ca="1">'Revenue matching'!$C$15</f>
        <v>Section 116-A: Inputs to revenue matching</v>
      </c>
    </row>
    <row r="199" spans="6:7" x14ac:dyDescent="0.25">
      <c r="F199" s="23" t="s">
        <v>115</v>
      </c>
      <c r="G199" s="19" t="str">
        <f ca="1">'Revenue matching'!$C$69</f>
        <v>Section 116-B: Net revenue before matching</v>
      </c>
    </row>
    <row r="200" spans="6:7" x14ac:dyDescent="0.25">
      <c r="F200" s="23" t="s">
        <v>115</v>
      </c>
      <c r="G200" s="19" t="str">
        <f ca="1">'Revenue matching'!$C$88</f>
        <v>Section 116-C: Grouping of residual bands where a band has insufficient customers</v>
      </c>
    </row>
    <row r="201" spans="6:7" x14ac:dyDescent="0.25">
      <c r="F201" s="23" t="s">
        <v>115</v>
      </c>
      <c r="G201" s="19" t="str">
        <f ca="1">'Revenue matching'!$C$151</f>
        <v>Section 116-D: Calculating MPANs for matching</v>
      </c>
    </row>
    <row r="202" spans="6:7" x14ac:dyDescent="0.25">
      <c r="F202" s="23" t="s">
        <v>115</v>
      </c>
      <c r="G202" s="19" t="str">
        <f ca="1">'Revenue matching'!$C$159</f>
        <v>Section 116-E: Calculating unit volumes for matching</v>
      </c>
    </row>
    <row r="203" spans="6:7" x14ac:dyDescent="0.25">
      <c r="F203" s="23" t="s">
        <v>115</v>
      </c>
      <c r="G203" s="19" t="str">
        <f ca="1">'Revenue matching'!$C$176</f>
        <v>Section 116-F: Allocating revenue to tariffs</v>
      </c>
    </row>
    <row r="204" spans="6:7" x14ac:dyDescent="0.25">
      <c r="F204" s="23" t="s">
        <v>115</v>
      </c>
      <c r="G204" s="19" t="str">
        <f ca="1">'Revenue matching'!$C$192</f>
        <v>Section 116-G: Calculating the residual fixed charge</v>
      </c>
    </row>
    <row r="205" spans="6:7" x14ac:dyDescent="0.25">
      <c r="F205" s="23" t="s">
        <v>115</v>
      </c>
      <c r="G205" s="19" t="str">
        <f ca="1">'Revenue matching'!$C$200</f>
        <v>Section 116-H: Calculating the initial residual unit rate</v>
      </c>
    </row>
    <row r="206" spans="6:7" x14ac:dyDescent="0.25">
      <c r="F206" s="23" t="s">
        <v>115</v>
      </c>
      <c r="G206" s="19" t="str">
        <f ca="1">'Revenue matching'!$C$213</f>
        <v>Section 116-I: Floor on negative residual fixed charges</v>
      </c>
    </row>
    <row r="207" spans="6:7" x14ac:dyDescent="0.25">
      <c r="F207" s="23" t="s">
        <v>115</v>
      </c>
      <c r="G207" s="19" t="str">
        <f ca="1">'Revenue matching'!$C$232</f>
        <v>Section 116-J: Ranking unit rate volumes and tariffs</v>
      </c>
    </row>
    <row r="208" spans="6:7" x14ac:dyDescent="0.25">
      <c r="F208" s="23" t="s">
        <v>115</v>
      </c>
      <c r="G208" s="19" t="str">
        <f ca="1">'Revenue matching'!$C$286</f>
        <v>Section 116-K: Revenue matching for three timebands</v>
      </c>
    </row>
    <row r="209" spans="6:7" x14ac:dyDescent="0.25">
      <c r="F209" s="23" t="s">
        <v>115</v>
      </c>
      <c r="G209" s="19" t="str">
        <f ca="1">'Revenue matching'!$C$313</f>
        <v>Section 116-L: Revenue matching for two timebands</v>
      </c>
    </row>
    <row r="210" spans="6:7" x14ac:dyDescent="0.25">
      <c r="F210" s="23" t="s">
        <v>115</v>
      </c>
      <c r="G210" s="19" t="str">
        <f ca="1">'Revenue matching'!$C$345</f>
        <v>Section 116-M: Revenue matching for one timeband</v>
      </c>
    </row>
    <row r="211" spans="6:7" x14ac:dyDescent="0.25">
      <c r="F211" s="23" t="s">
        <v>115</v>
      </c>
      <c r="G211" s="19" t="str">
        <f ca="1">'Revenue matching'!$C$377</f>
        <v>Section 116-N: Revenue matching adders by timeband</v>
      </c>
    </row>
    <row r="212" spans="6:7" ht="15.75" thickBot="1" x14ac:dyDescent="0.3">
      <c r="F212" s="23" t="s">
        <v>115</v>
      </c>
      <c r="G212" s="19" t="str">
        <f ca="1">'Revenue matching'!$C$409</f>
        <v>Section 116-O: Final adders</v>
      </c>
    </row>
    <row r="213" spans="6:7" ht="15.75" thickTop="1" x14ac:dyDescent="0.25">
      <c r="F213" s="22" t="s">
        <v>91</v>
      </c>
      <c r="G213" s="19" t="str">
        <f ca="1">Rounding!$C$16</f>
        <v>Section 117-A: Pre-match, pre-rounding tariff forecast</v>
      </c>
    </row>
    <row r="214" spans="6:7" x14ac:dyDescent="0.25">
      <c r="F214" s="23" t="s">
        <v>115</v>
      </c>
      <c r="G214" s="19" t="str">
        <f ca="1">Rounding!$C$28</f>
        <v>Section 117-B: Adders for revenue matching</v>
      </c>
    </row>
    <row r="215" spans="6:7" x14ac:dyDescent="0.25">
      <c r="F215" s="23" t="s">
        <v>115</v>
      </c>
      <c r="G215" s="19" t="str">
        <f ca="1">Rounding!$C$40</f>
        <v>Section 117-C: Adder to fixed charge for allocated pass-through costs</v>
      </c>
    </row>
    <row r="216" spans="6:7" x14ac:dyDescent="0.25">
      <c r="F216" s="23" t="s">
        <v>115</v>
      </c>
      <c r="G216" s="19" t="str">
        <f ca="1">Rounding!$C$52</f>
        <v>Section 117-D: LDNO discounts</v>
      </c>
    </row>
    <row r="217" spans="6:7" x14ac:dyDescent="0.25">
      <c r="F217" s="23" t="s">
        <v>115</v>
      </c>
      <c r="G217" s="19" t="str">
        <f ca="1">Rounding!$C$92</f>
        <v>Section 117-E: Decimal places for rounding</v>
      </c>
    </row>
    <row r="218" spans="6:7" x14ac:dyDescent="0.25">
      <c r="F218" s="23" t="s">
        <v>115</v>
      </c>
      <c r="G218" s="19" t="str">
        <f ca="1">Rounding!$C$107</f>
        <v>Section 117-F: Tariff forecast, post-revenue matching</v>
      </c>
    </row>
    <row r="219" spans="6:7" x14ac:dyDescent="0.25">
      <c r="F219" s="23" t="s">
        <v>115</v>
      </c>
      <c r="G219" s="19" t="str">
        <f ca="1">Rounding!$C$118</f>
        <v>Section 117-G: Tariff forecast, post-adders &amp; discounting</v>
      </c>
    </row>
    <row r="220" spans="6:7" ht="15.75" thickBot="1" x14ac:dyDescent="0.3">
      <c r="F220" s="23" t="s">
        <v>115</v>
      </c>
      <c r="G220" s="19" t="str">
        <f ca="1">Rounding!$C$147</f>
        <v>Section 117-H: Tariff forecast, post-rounding</v>
      </c>
    </row>
    <row r="221" spans="6:7" ht="15.75" thickTop="1" x14ac:dyDescent="0.25">
      <c r="F221" s="22" t="s">
        <v>93</v>
      </c>
      <c r="G221" s="19" t="str">
        <f ca="1">'Net revenue summary'!$C$13</f>
        <v>Section 118-A: Volume forecasts</v>
      </c>
    </row>
    <row r="222" spans="6:7" x14ac:dyDescent="0.25">
      <c r="F222" s="23" t="s">
        <v>115</v>
      </c>
      <c r="G222" s="19" t="str">
        <f ca="1">'Net revenue summary'!$C$52</f>
        <v>Section 118-B: Tariff forecast</v>
      </c>
    </row>
    <row r="223" spans="6:7" x14ac:dyDescent="0.25">
      <c r="F223" s="23" t="s">
        <v>115</v>
      </c>
      <c r="G223" s="19" t="str">
        <f ca="1">'Net revenue summary'!$C$81</f>
        <v>Section 118-C: Net revenue components</v>
      </c>
    </row>
    <row r="224" spans="6:7" x14ac:dyDescent="0.25">
      <c r="F224" s="23" t="s">
        <v>115</v>
      </c>
      <c r="G224" s="19" t="str">
        <f ca="1">'Net revenue summary'!$C$92</f>
        <v>Section 118-D: Net revenue by tariff</v>
      </c>
    </row>
    <row r="225" spans="2:7" x14ac:dyDescent="0.25">
      <c r="F225" s="23" t="s">
        <v>115</v>
      </c>
      <c r="G225" s="19" t="str">
        <f ca="1">'Net revenue summary'!$C$124</f>
        <v>Section 118-E: Net revenue summary (for information only)</v>
      </c>
    </row>
    <row r="226" spans="2:7" x14ac:dyDescent="0.25">
      <c r="F226" s="23" t="s">
        <v>115</v>
      </c>
      <c r="G226" s="19" t="str">
        <f ca="1">'Net revenue summary'!$C$138</f>
        <v>Section 118-F: Typical bills</v>
      </c>
    </row>
    <row r="227" spans="2:7" x14ac:dyDescent="0.25">
      <c r="F227" s="23" t="s">
        <v>115</v>
      </c>
      <c r="G227" s="19" t="str">
        <f ca="1">'Net revenue summary'!$C$144</f>
        <v>Section 118-G: Average bill per kWh</v>
      </c>
    </row>
    <row r="228" spans="2:7" x14ac:dyDescent="0.25">
      <c r="F228" s="23" t="s">
        <v>115</v>
      </c>
      <c r="G228" s="19" t="str">
        <f ca="1">'Net revenue summary'!$C$152</f>
        <v>Section 118-H: Previous year all the way tariff forecast</v>
      </c>
    </row>
    <row r="229" spans="2:7" x14ac:dyDescent="0.25">
      <c r="F229" s="23" t="s">
        <v>115</v>
      </c>
      <c r="G229" s="19" t="str">
        <f ca="1">'Net revenue summary'!$C$163</f>
        <v>Section 118-I: Previous year net revenue from all the way tariff forecast</v>
      </c>
    </row>
    <row r="230" spans="2:7" x14ac:dyDescent="0.25">
      <c r="F230" s="23" t="s">
        <v>115</v>
      </c>
      <c r="G230" s="19" t="str">
        <f ca="1">'Net revenue summary'!$C$178</f>
        <v>Section 118-J: LDNO typical bills using all-the-way volumes</v>
      </c>
    </row>
    <row r="231" spans="2:7" ht="15.75" thickBot="1" x14ac:dyDescent="0.3">
      <c r="F231" s="23" t="s">
        <v>115</v>
      </c>
      <c r="G231" s="19" t="str">
        <f ca="1">'Net revenue summary'!$C$202</f>
        <v>Section 118-K: LDNO margins</v>
      </c>
    </row>
    <row r="232" spans="2:7" ht="16.5" thickTop="1" thickBot="1" x14ac:dyDescent="0.3">
      <c r="F232" s="24" t="s">
        <v>95</v>
      </c>
      <c r="G232" s="19" t="str">
        <f>'Tariff summary'!$C$13</f>
        <v>Output 101-A: Tariffs for 2026/27</v>
      </c>
    </row>
    <row r="233" spans="2:7" ht="15.75" thickTop="1" x14ac:dyDescent="0.25">
      <c r="F233" s="24" t="s">
        <v>97</v>
      </c>
      <c r="G233" s="19" t="str">
        <f ca="1">'Output to other models'!$C$14</f>
        <v>Output 102-A: CDCM notional EHV asset values</v>
      </c>
    </row>
    <row r="234" spans="2:7" x14ac:dyDescent="0.25">
      <c r="F234" s="27"/>
      <c r="G234" s="19" t="str">
        <f ca="1">'Output to other models'!$C$25</f>
        <v>Output 102-B: CDCM smart meter communication licence costs</v>
      </c>
    </row>
    <row r="235" spans="2:7" x14ac:dyDescent="0.25">
      <c r="F235" s="25" t="s">
        <v>115</v>
      </c>
      <c r="G235" s="19" t="str">
        <f ca="1">'Output to other models'!$C$33</f>
        <v>Output 102-C: CDCM end user tariff forecast</v>
      </c>
    </row>
    <row r="236" spans="2:7" x14ac:dyDescent="0.25">
      <c r="F236" s="25" t="s">
        <v>115</v>
      </c>
      <c r="G236" s="19" t="str">
        <f ca="1">'Output to other models'!$C$51</f>
        <v>Output 102-D: CDCM non-tariff outputs to EDCM</v>
      </c>
    </row>
    <row r="237" spans="2:7" x14ac:dyDescent="0.25">
      <c r="F237" s="25" t="s">
        <v>115</v>
      </c>
      <c r="G237" s="19" t="str">
        <f ca="1">'Output to other models'!$C$63</f>
        <v>Output 102-E: Outputs for DNOs' internal use</v>
      </c>
    </row>
    <row r="238" spans="2:7" x14ac:dyDescent="0.25">
      <c r="F238" s="25" t="s">
        <v>115</v>
      </c>
      <c r="G238" s="19" t="str">
        <f ca="1">'Output to other models'!$C$73</f>
        <v>Output 102-F: Outputs for IDNOs' internal use</v>
      </c>
    </row>
    <row r="240" spans="2:7" x14ac:dyDescent="0.25">
      <c r="B240" s="85" t="s">
        <v>105</v>
      </c>
      <c r="C240" s="85"/>
      <c r="D240" s="85"/>
      <c r="E240" s="85"/>
      <c r="F240" s="85"/>
      <c r="G240" s="8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Northern Powergrid (Northeast) - v0.1</v>
      </c>
    </row>
    <row r="3" spans="1:8" s="5" customFormat="1" x14ac:dyDescent="0.25">
      <c r="A3" s="5" t="str">
        <f>Cover!D2&amp;" - "&amp;Cover!D8&amp;" v"&amp;Cover!D10&amp;" - "&amp;Cover!D19</f>
        <v>CDCM charging model - Release for charge setting v11 - 2026/27</v>
      </c>
    </row>
    <row r="5" spans="1:8" x14ac:dyDescent="0.25">
      <c r="B5" s="64" t="s">
        <v>120</v>
      </c>
      <c r="C5" s="64"/>
      <c r="D5" s="64"/>
      <c r="E5" s="64"/>
      <c r="F5" s="65"/>
      <c r="G5" s="65"/>
      <c r="H5" s="65"/>
    </row>
    <row r="6" spans="1:8" x14ac:dyDescent="0.25">
      <c r="B6" s="63"/>
      <c r="C6" s="63"/>
      <c r="D6" s="63"/>
      <c r="E6" s="63"/>
      <c r="F6" s="66"/>
      <c r="G6" s="63"/>
      <c r="H6" s="63"/>
    </row>
    <row r="7" spans="1:8" x14ac:dyDescent="0.25">
      <c r="F7" s="19" t="s">
        <v>121</v>
      </c>
      <c r="G7" t="s">
        <v>122</v>
      </c>
      <c r="H7" t="s">
        <v>113</v>
      </c>
    </row>
    <row r="8" spans="1:8" x14ac:dyDescent="0.25">
      <c r="F8" s="19" t="s">
        <v>123</v>
      </c>
      <c r="G8" t="s">
        <v>124</v>
      </c>
      <c r="H8" t="s">
        <v>52</v>
      </c>
    </row>
    <row r="9" spans="1:8" x14ac:dyDescent="0.25">
      <c r="F9" s="19" t="s">
        <v>125</v>
      </c>
      <c r="G9" t="s">
        <v>126</v>
      </c>
      <c r="H9" t="s">
        <v>59</v>
      </c>
    </row>
    <row r="10" spans="1:8" x14ac:dyDescent="0.25">
      <c r="F10" s="19" t="s">
        <v>127</v>
      </c>
      <c r="G10" t="s">
        <v>128</v>
      </c>
      <c r="H10" t="s">
        <v>113</v>
      </c>
    </row>
    <row r="11" spans="1:8" x14ac:dyDescent="0.25">
      <c r="F11" s="19" t="s">
        <v>129</v>
      </c>
      <c r="G11" t="s">
        <v>130</v>
      </c>
      <c r="H11" t="s">
        <v>52</v>
      </c>
    </row>
    <row r="12" spans="1:8" x14ac:dyDescent="0.25">
      <c r="F12" s="19" t="s">
        <v>131</v>
      </c>
      <c r="G12" t="s">
        <v>132</v>
      </c>
      <c r="H12" t="s">
        <v>59</v>
      </c>
    </row>
    <row r="13" spans="1:8" x14ac:dyDescent="0.25">
      <c r="F13" s="19" t="s">
        <v>133</v>
      </c>
      <c r="G13" t="s">
        <v>134</v>
      </c>
      <c r="H13" t="s">
        <v>52</v>
      </c>
    </row>
    <row r="14" spans="1:8" x14ac:dyDescent="0.25">
      <c r="F14" s="19" t="s">
        <v>135</v>
      </c>
      <c r="G14" t="s">
        <v>136</v>
      </c>
      <c r="H14" t="s">
        <v>52</v>
      </c>
    </row>
    <row r="15" spans="1:8" x14ac:dyDescent="0.25">
      <c r="F15" s="19" t="s">
        <v>137</v>
      </c>
      <c r="G15" t="s">
        <v>138</v>
      </c>
      <c r="H15" t="s">
        <v>52</v>
      </c>
    </row>
    <row r="16" spans="1:8" x14ac:dyDescent="0.25">
      <c r="F16" s="19" t="s">
        <v>139</v>
      </c>
      <c r="G16" t="s">
        <v>1163</v>
      </c>
      <c r="H16" t="s">
        <v>52</v>
      </c>
    </row>
    <row r="17" spans="2:8" x14ac:dyDescent="0.25">
      <c r="F17" s="19" t="s">
        <v>1161</v>
      </c>
      <c r="G17" t="s">
        <v>1162</v>
      </c>
      <c r="H17" t="s">
        <v>52</v>
      </c>
    </row>
    <row r="18" spans="2:8" x14ac:dyDescent="0.25">
      <c r="F18" s="19"/>
    </row>
    <row r="19" spans="2:8" x14ac:dyDescent="0.25">
      <c r="B19" s="64" t="s">
        <v>105</v>
      </c>
      <c r="C19" s="64"/>
      <c r="D19" s="64"/>
      <c r="E19" s="64"/>
      <c r="F19" s="65"/>
      <c r="G19" s="65"/>
      <c r="H19" s="65"/>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 ref="F17" location="'Fixed inputs'!H19" display="million" xr:uid="{DC54F5D2-E06E-4199-B7D0-B0DCE2B8E5F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H197 &amp; IF(H197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144</v>
      </c>
    </row>
    <row r="11" spans="1:43" x14ac:dyDescent="0.25">
      <c r="B11" s="85" t="s">
        <v>52</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2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130</v>
      </c>
      <c r="G15" t="s">
        <v>145</v>
      </c>
      <c r="H15" s="32">
        <v>24</v>
      </c>
    </row>
    <row r="16" spans="1:43" x14ac:dyDescent="0.25">
      <c r="E16" s="94" t="s">
        <v>146</v>
      </c>
      <c r="G16" t="s">
        <v>147</v>
      </c>
      <c r="H16" s="32">
        <v>10</v>
      </c>
    </row>
    <row r="17" spans="3:43" x14ac:dyDescent="0.25">
      <c r="E17" s="94" t="s">
        <v>148</v>
      </c>
      <c r="G17" t="s">
        <v>147</v>
      </c>
      <c r="H17" s="32">
        <v>100</v>
      </c>
    </row>
    <row r="18" spans="3:43" x14ac:dyDescent="0.25">
      <c r="E18" s="94" t="s">
        <v>149</v>
      </c>
      <c r="G18" t="s">
        <v>147</v>
      </c>
      <c r="H18" s="32">
        <v>1000</v>
      </c>
    </row>
    <row r="19" spans="3:43" x14ac:dyDescent="0.25">
      <c r="E19" s="94" t="s">
        <v>1160</v>
      </c>
      <c r="G19" t="s">
        <v>147</v>
      </c>
      <c r="H19" s="32">
        <v>1000000</v>
      </c>
    </row>
    <row r="21" spans="3:43" x14ac:dyDescent="0.2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25">
      <c r="D23" s="86" t="s">
        <v>150</v>
      </c>
    </row>
    <row r="24" spans="3:43" x14ac:dyDescent="0.25">
      <c r="E24" s="75"/>
    </row>
    <row r="25" spans="3:43" x14ac:dyDescent="0.25">
      <c r="E25" s="75" t="s">
        <v>151</v>
      </c>
      <c r="F25" s="86"/>
      <c r="I25" t="s">
        <v>152</v>
      </c>
      <c r="AQ25" t="s">
        <v>153</v>
      </c>
    </row>
    <row r="26" spans="3:43" x14ac:dyDescent="0.25">
      <c r="F26" s="95" t="s">
        <v>154</v>
      </c>
      <c r="G26" s="95" t="s">
        <v>147</v>
      </c>
      <c r="H26" s="8">
        <v>3</v>
      </c>
    </row>
    <row r="27" spans="3:43" x14ac:dyDescent="0.25">
      <c r="F27" t="s">
        <v>155</v>
      </c>
      <c r="G27" t="s">
        <v>147</v>
      </c>
      <c r="H27" s="7">
        <v>3</v>
      </c>
    </row>
    <row r="28" spans="3:43" x14ac:dyDescent="0.25">
      <c r="F28" t="s">
        <v>156</v>
      </c>
      <c r="G28" t="s">
        <v>147</v>
      </c>
      <c r="H28" s="7">
        <v>3</v>
      </c>
    </row>
    <row r="29" spans="3:43" x14ac:dyDescent="0.25">
      <c r="F29" t="s">
        <v>157</v>
      </c>
      <c r="G29" t="s">
        <v>147</v>
      </c>
      <c r="H29" s="7">
        <v>2</v>
      </c>
    </row>
    <row r="30" spans="3:43" x14ac:dyDescent="0.25">
      <c r="F30" t="s">
        <v>158</v>
      </c>
      <c r="G30" t="s">
        <v>147</v>
      </c>
      <c r="H30" s="7">
        <v>2</v>
      </c>
    </row>
    <row r="31" spans="3:43" x14ac:dyDescent="0.25">
      <c r="F31" t="s">
        <v>159</v>
      </c>
      <c r="G31" t="s">
        <v>147</v>
      </c>
      <c r="H31" s="7">
        <v>2</v>
      </c>
    </row>
    <row r="32" spans="3:43" x14ac:dyDescent="0.25">
      <c r="F32" s="96" t="s">
        <v>160</v>
      </c>
      <c r="G32" s="96" t="s">
        <v>147</v>
      </c>
      <c r="H32" s="9">
        <v>3</v>
      </c>
    </row>
    <row r="34" spans="3:43" x14ac:dyDescent="0.2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25">
      <c r="E36" s="94" t="s">
        <v>161</v>
      </c>
      <c r="G36" t="s">
        <v>162</v>
      </c>
      <c r="H36" s="7">
        <v>40</v>
      </c>
      <c r="I36" t="s">
        <v>152</v>
      </c>
      <c r="AQ36" s="3" t="s">
        <v>163</v>
      </c>
    </row>
    <row r="38" spans="3:43" x14ac:dyDescent="0.25">
      <c r="E38" s="94" t="s">
        <v>164</v>
      </c>
      <c r="G38" t="s">
        <v>165</v>
      </c>
      <c r="H38" s="7">
        <v>0.95</v>
      </c>
      <c r="I38" t="s">
        <v>152</v>
      </c>
      <c r="AQ38" t="s">
        <v>166</v>
      </c>
    </row>
    <row r="40" spans="3:43" x14ac:dyDescent="0.25">
      <c r="E40" s="94" t="s">
        <v>167</v>
      </c>
      <c r="G40" t="s">
        <v>165</v>
      </c>
      <c r="H40" s="10">
        <v>0.6</v>
      </c>
      <c r="I40" t="s">
        <v>152</v>
      </c>
      <c r="AQ40" s="3" t="s">
        <v>168</v>
      </c>
    </row>
    <row r="42" spans="3:43" x14ac:dyDescent="0.25">
      <c r="E42" s="94" t="s">
        <v>169</v>
      </c>
      <c r="G42" s="94" t="s">
        <v>170</v>
      </c>
      <c r="H42" s="7">
        <v>500</v>
      </c>
      <c r="I42" t="s">
        <v>152</v>
      </c>
      <c r="AQ42" s="97" t="s">
        <v>171</v>
      </c>
    </row>
    <row r="44" spans="3:43" x14ac:dyDescent="0.2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25">
      <c r="E46" s="75" t="s">
        <v>172</v>
      </c>
    </row>
    <row r="47" spans="3:43" x14ac:dyDescent="0.25">
      <c r="F47" s="98" t="s">
        <v>173</v>
      </c>
      <c r="G47" s="95" t="s">
        <v>174</v>
      </c>
      <c r="H47" s="95"/>
      <c r="I47" s="95"/>
      <c r="J47" s="8">
        <v>1</v>
      </c>
      <c r="K47" s="8">
        <v>1</v>
      </c>
      <c r="L47" s="8">
        <v>1</v>
      </c>
      <c r="M47" s="8">
        <v>1</v>
      </c>
      <c r="N47" s="8">
        <v>1</v>
      </c>
      <c r="O47" s="8">
        <v>0</v>
      </c>
      <c r="P47" s="8">
        <v>0</v>
      </c>
      <c r="Q47" s="8">
        <v>1</v>
      </c>
      <c r="R47" s="99"/>
      <c r="S47" s="99"/>
      <c r="T47" s="99"/>
      <c r="U47" s="99"/>
      <c r="V47" s="99"/>
      <c r="W47" s="99"/>
      <c r="X47" s="99"/>
      <c r="Y47" s="99"/>
    </row>
    <row r="48" spans="3:43" x14ac:dyDescent="0.25">
      <c r="F48" s="94" t="s">
        <v>175</v>
      </c>
      <c r="G48" t="s">
        <v>174</v>
      </c>
      <c r="J48" s="7">
        <v>1</v>
      </c>
      <c r="K48" s="7">
        <v>1</v>
      </c>
      <c r="L48" s="7">
        <v>1</v>
      </c>
      <c r="M48" s="7">
        <v>1</v>
      </c>
      <c r="N48" s="7">
        <v>1</v>
      </c>
      <c r="O48" s="7">
        <v>0</v>
      </c>
      <c r="P48" s="7">
        <v>0</v>
      </c>
      <c r="Q48" s="7">
        <v>1</v>
      </c>
      <c r="R48" s="100"/>
      <c r="S48" s="100"/>
      <c r="T48" s="100"/>
      <c r="U48" s="100"/>
      <c r="V48" s="100"/>
      <c r="W48" s="100"/>
      <c r="X48" s="100"/>
      <c r="Y48" s="100"/>
    </row>
    <row r="49" spans="5:43" x14ac:dyDescent="0.25">
      <c r="F49" s="94" t="s">
        <v>176</v>
      </c>
      <c r="G49" t="s">
        <v>174</v>
      </c>
      <c r="J49" s="7">
        <v>0</v>
      </c>
      <c r="K49" s="7">
        <v>0</v>
      </c>
      <c r="L49" s="7">
        <v>0</v>
      </c>
      <c r="M49" s="7">
        <v>0</v>
      </c>
      <c r="N49" s="7">
        <v>0</v>
      </c>
      <c r="O49" s="7">
        <v>1</v>
      </c>
      <c r="P49" s="7">
        <v>0</v>
      </c>
      <c r="Q49" s="7">
        <v>0</v>
      </c>
      <c r="R49" s="100"/>
      <c r="S49" s="100"/>
      <c r="T49" s="100"/>
      <c r="U49" s="100"/>
      <c r="V49" s="100"/>
      <c r="W49" s="100"/>
      <c r="X49" s="100"/>
      <c r="Y49" s="100"/>
    </row>
    <row r="50" spans="5:43" x14ac:dyDescent="0.25">
      <c r="F50" s="101" t="s">
        <v>177</v>
      </c>
      <c r="G50" s="96" t="s">
        <v>174</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25">
      <c r="E52" s="75" t="s">
        <v>178</v>
      </c>
      <c r="I52" t="s">
        <v>152</v>
      </c>
      <c r="AQ52" s="3" t="s">
        <v>179</v>
      </c>
    </row>
    <row r="53" spans="5:43" x14ac:dyDescent="0.25">
      <c r="E53" s="86" t="s">
        <v>180</v>
      </c>
    </row>
    <row r="54" spans="5:43" x14ac:dyDescent="0.25">
      <c r="F54" s="98" t="s">
        <v>181</v>
      </c>
      <c r="G54" s="95" t="s">
        <v>174</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25">
      <c r="F55" s="94" t="s">
        <v>182</v>
      </c>
      <c r="G55" t="s">
        <v>174</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25">
      <c r="F56" s="94" t="s">
        <v>183</v>
      </c>
      <c r="G56" t="s">
        <v>174</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25">
      <c r="F57" s="101" t="s">
        <v>184</v>
      </c>
      <c r="G57" s="96" t="s">
        <v>174</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25">
      <c r="H58" s="3"/>
      <c r="I58" s="3"/>
    </row>
    <row r="59" spans="5:43" x14ac:dyDescent="0.25">
      <c r="E59" s="75" t="s">
        <v>185</v>
      </c>
    </row>
    <row r="60" spans="5:43" x14ac:dyDescent="0.25">
      <c r="E60" s="86" t="s">
        <v>186</v>
      </c>
    </row>
    <row r="61" spans="5:43" x14ac:dyDescent="0.25">
      <c r="F61" s="95" t="s">
        <v>187</v>
      </c>
      <c r="G61" s="95" t="s">
        <v>188</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25">
      <c r="F62" t="s">
        <v>189</v>
      </c>
      <c r="G62" t="s">
        <v>188</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190</v>
      </c>
      <c r="G63" t="s">
        <v>188</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191</v>
      </c>
      <c r="G64" t="s">
        <v>188</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192</v>
      </c>
      <c r="G65" t="s">
        <v>188</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193</v>
      </c>
      <c r="G66" t="s">
        <v>188</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194</v>
      </c>
      <c r="G67" t="s">
        <v>188</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195</v>
      </c>
      <c r="G68" t="s">
        <v>188</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25">
      <c r="F69" t="s">
        <v>196</v>
      </c>
      <c r="G69" t="s">
        <v>188</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25">
      <c r="F70" s="96" t="s">
        <v>197</v>
      </c>
      <c r="G70" s="96" t="s">
        <v>188</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25">
      <c r="E72" s="75" t="s">
        <v>198</v>
      </c>
      <c r="I72" t="s">
        <v>152</v>
      </c>
      <c r="AQ72" s="3" t="s">
        <v>199</v>
      </c>
    </row>
    <row r="73" spans="5:43" x14ac:dyDescent="0.25">
      <c r="E73" s="86" t="s">
        <v>200</v>
      </c>
    </row>
    <row r="74" spans="5:43" x14ac:dyDescent="0.25">
      <c r="E74" s="86"/>
      <c r="F74" s="95" t="s">
        <v>187</v>
      </c>
      <c r="G74" s="95" t="s">
        <v>188</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25">
      <c r="E75" s="86"/>
      <c r="F75" t="s">
        <v>189</v>
      </c>
      <c r="G75" t="s">
        <v>188</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86"/>
      <c r="F76" t="s">
        <v>190</v>
      </c>
      <c r="G76" t="s">
        <v>188</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86"/>
      <c r="F77" t="s">
        <v>191</v>
      </c>
      <c r="G77" t="s">
        <v>188</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86"/>
      <c r="F78" t="s">
        <v>192</v>
      </c>
      <c r="G78" t="s">
        <v>188</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86"/>
      <c r="F79" t="s">
        <v>193</v>
      </c>
      <c r="G79" t="s">
        <v>188</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86"/>
      <c r="F80" t="s">
        <v>194</v>
      </c>
      <c r="G80" t="s">
        <v>188</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25">
      <c r="E81" s="86"/>
      <c r="F81" t="s">
        <v>195</v>
      </c>
      <c r="G81" t="s">
        <v>188</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25">
      <c r="E82" s="86"/>
      <c r="F82" t="s">
        <v>196</v>
      </c>
      <c r="G82" t="s">
        <v>188</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25">
      <c r="E83" s="86"/>
      <c r="F83" s="96" t="s">
        <v>197</v>
      </c>
      <c r="G83" s="96" t="s">
        <v>188</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2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25">
      <c r="E87" s="75" t="s">
        <v>119</v>
      </c>
      <c r="F87" s="75"/>
      <c r="I87" t="s">
        <v>152</v>
      </c>
      <c r="AQ87" t="s">
        <v>201</v>
      </c>
    </row>
    <row r="88" spans="3:43" x14ac:dyDescent="0.25">
      <c r="E88" s="86" t="s">
        <v>815</v>
      </c>
      <c r="F88" s="86"/>
    </row>
    <row r="89" spans="3:43" x14ac:dyDescent="0.25">
      <c r="E89" s="86"/>
      <c r="F89" s="95" t="s">
        <v>187</v>
      </c>
      <c r="G89" s="95" t="s">
        <v>165</v>
      </c>
      <c r="H89" s="95"/>
      <c r="I89" s="95"/>
      <c r="J89" s="99"/>
      <c r="K89" s="99"/>
      <c r="L89" s="99"/>
      <c r="M89" s="99"/>
      <c r="N89" s="99"/>
      <c r="O89" s="99"/>
      <c r="P89" s="99"/>
      <c r="Q89" s="99"/>
      <c r="R89" s="99"/>
      <c r="S89" s="99"/>
      <c r="T89" s="99"/>
      <c r="U89" s="99"/>
      <c r="V89" s="99"/>
      <c r="W89" s="99"/>
      <c r="X89" s="99"/>
      <c r="Y89" s="99"/>
    </row>
    <row r="90" spans="3:43" x14ac:dyDescent="0.25">
      <c r="E90" s="86"/>
      <c r="F90" t="s">
        <v>189</v>
      </c>
      <c r="G90" t="s">
        <v>165</v>
      </c>
      <c r="J90" s="100"/>
      <c r="K90" s="100"/>
      <c r="L90" s="100"/>
      <c r="M90" s="100"/>
      <c r="N90" s="100"/>
      <c r="O90" s="100"/>
      <c r="P90" s="100"/>
      <c r="Q90" s="100"/>
      <c r="R90" s="100"/>
      <c r="S90" s="100"/>
      <c r="T90" s="100"/>
      <c r="U90" s="100"/>
      <c r="V90" s="100"/>
      <c r="W90" s="100"/>
      <c r="X90" s="100"/>
      <c r="Y90" s="100"/>
    </row>
    <row r="91" spans="3:43" x14ac:dyDescent="0.25">
      <c r="E91" s="86"/>
      <c r="F91" t="s">
        <v>190</v>
      </c>
      <c r="G91" t="s">
        <v>165</v>
      </c>
      <c r="J91" s="103"/>
      <c r="K91" s="103"/>
      <c r="L91" s="103"/>
      <c r="M91" s="103"/>
      <c r="N91" s="103"/>
      <c r="O91" s="103"/>
      <c r="P91" s="103"/>
      <c r="Q91" s="103"/>
      <c r="R91" s="100"/>
      <c r="S91" s="100"/>
      <c r="T91" s="100"/>
      <c r="U91" s="100"/>
      <c r="V91" s="100"/>
      <c r="W91" s="100"/>
      <c r="X91" s="100"/>
      <c r="Y91" s="100"/>
    </row>
    <row r="92" spans="3:43" x14ac:dyDescent="0.25">
      <c r="E92" s="86"/>
      <c r="F92" t="s">
        <v>191</v>
      </c>
      <c r="G92" t="s">
        <v>165</v>
      </c>
      <c r="J92" s="103"/>
      <c r="K92" s="103"/>
      <c r="L92" s="103"/>
      <c r="M92" s="103"/>
      <c r="N92" s="103"/>
      <c r="O92" s="103"/>
      <c r="P92" s="103"/>
      <c r="Q92" s="103"/>
      <c r="R92" s="100"/>
      <c r="S92" s="100"/>
      <c r="T92" s="100"/>
      <c r="U92" s="100"/>
      <c r="V92" s="100"/>
      <c r="W92" s="100"/>
      <c r="X92" s="100"/>
      <c r="Y92" s="100"/>
    </row>
    <row r="93" spans="3:43" x14ac:dyDescent="0.25">
      <c r="E93" s="86"/>
      <c r="F93" t="s">
        <v>192</v>
      </c>
      <c r="G93" t="s">
        <v>165</v>
      </c>
      <c r="J93" s="103"/>
      <c r="K93" s="103"/>
      <c r="L93" s="103"/>
      <c r="M93" s="103"/>
      <c r="N93" s="103"/>
      <c r="O93" s="103"/>
      <c r="P93" s="10">
        <v>0.2</v>
      </c>
      <c r="Q93" s="103"/>
      <c r="R93" s="100"/>
      <c r="S93" s="100"/>
      <c r="T93" s="100"/>
      <c r="U93" s="100"/>
      <c r="V93" s="100"/>
      <c r="W93" s="100"/>
      <c r="X93" s="100"/>
      <c r="Y93" s="100"/>
    </row>
    <row r="94" spans="3:43" x14ac:dyDescent="0.25">
      <c r="E94" s="86"/>
      <c r="F94" t="s">
        <v>193</v>
      </c>
      <c r="G94" t="s">
        <v>165</v>
      </c>
      <c r="J94" s="103"/>
      <c r="K94" s="103"/>
      <c r="L94" s="103"/>
      <c r="M94" s="103"/>
      <c r="N94" s="103"/>
      <c r="O94" s="103"/>
      <c r="P94" s="10">
        <v>1</v>
      </c>
      <c r="Q94" s="103"/>
      <c r="R94" s="100"/>
      <c r="S94" s="100"/>
      <c r="T94" s="100"/>
      <c r="U94" s="100"/>
      <c r="V94" s="100"/>
      <c r="W94" s="100"/>
      <c r="X94" s="100"/>
      <c r="Y94" s="100"/>
    </row>
    <row r="95" spans="3:43" x14ac:dyDescent="0.25">
      <c r="E95" s="86"/>
      <c r="F95" t="s">
        <v>194</v>
      </c>
      <c r="G95" t="s">
        <v>165</v>
      </c>
      <c r="J95" s="103"/>
      <c r="K95" s="103"/>
      <c r="L95" s="103"/>
      <c r="M95" s="103"/>
      <c r="N95" s="103"/>
      <c r="O95" s="103"/>
      <c r="P95" s="103"/>
      <c r="Q95" s="103"/>
      <c r="R95" s="100"/>
      <c r="S95" s="100"/>
      <c r="T95" s="100"/>
      <c r="U95" s="100"/>
      <c r="V95" s="100"/>
      <c r="W95" s="100"/>
      <c r="X95" s="100"/>
      <c r="Y95" s="100"/>
    </row>
    <row r="96" spans="3:43" x14ac:dyDescent="0.25">
      <c r="E96" s="86"/>
      <c r="F96" t="s">
        <v>195</v>
      </c>
      <c r="G96" t="s">
        <v>165</v>
      </c>
      <c r="J96" s="103"/>
      <c r="K96" s="103"/>
      <c r="L96" s="103"/>
      <c r="M96" s="103"/>
      <c r="N96" s="10">
        <v>0.2</v>
      </c>
      <c r="O96" s="10">
        <v>1</v>
      </c>
      <c r="P96" s="10">
        <v>1</v>
      </c>
      <c r="Q96" s="103"/>
      <c r="R96" s="100"/>
      <c r="S96" s="100"/>
      <c r="T96" s="100"/>
      <c r="U96" s="100"/>
      <c r="V96" s="100"/>
      <c r="W96" s="100"/>
      <c r="X96" s="100"/>
      <c r="Y96" s="100"/>
    </row>
    <row r="97" spans="3:43" x14ac:dyDescent="0.25">
      <c r="E97" s="86"/>
      <c r="F97" t="s">
        <v>196</v>
      </c>
      <c r="G97" t="s">
        <v>165</v>
      </c>
      <c r="J97" s="103"/>
      <c r="K97" s="103"/>
      <c r="L97" s="103"/>
      <c r="M97" s="103"/>
      <c r="N97" s="10">
        <v>1</v>
      </c>
      <c r="O97" s="10">
        <v>1</v>
      </c>
      <c r="P97" s="103"/>
      <c r="Q97" s="103"/>
      <c r="R97" s="100"/>
      <c r="S97" s="100"/>
      <c r="T97" s="100"/>
      <c r="U97" s="100"/>
      <c r="V97" s="100"/>
      <c r="W97" s="100"/>
      <c r="X97" s="100"/>
      <c r="Y97" s="100"/>
    </row>
    <row r="98" spans="3:43" x14ac:dyDescent="0.25">
      <c r="E98" s="86"/>
      <c r="F98" s="96" t="s">
        <v>197</v>
      </c>
      <c r="G98" s="96" t="s">
        <v>165</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2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25">
      <c r="D102" s="75" t="s">
        <v>202</v>
      </c>
      <c r="E102" s="75"/>
    </row>
    <row r="103" spans="3:43" x14ac:dyDescent="0.25">
      <c r="D103" s="86" t="s">
        <v>203</v>
      </c>
      <c r="E103" s="86"/>
    </row>
    <row r="104" spans="3:43" x14ac:dyDescent="0.25">
      <c r="D104" s="86" t="s">
        <v>204</v>
      </c>
      <c r="E104" s="86"/>
    </row>
    <row r="105" spans="3:43" x14ac:dyDescent="0.25">
      <c r="D105" s="86"/>
      <c r="E105" s="75" t="s">
        <v>205</v>
      </c>
    </row>
    <row r="106" spans="3:43" x14ac:dyDescent="0.25">
      <c r="D106" s="86"/>
      <c r="F106" s="94" t="s">
        <v>206</v>
      </c>
      <c r="G106" t="s">
        <v>207</v>
      </c>
      <c r="I106" t="s">
        <v>152</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208</v>
      </c>
    </row>
    <row r="107" spans="3:43" x14ac:dyDescent="0.25">
      <c r="D107" s="86"/>
      <c r="E107" s="94"/>
      <c r="F107" s="94" t="s">
        <v>209</v>
      </c>
      <c r="G107" t="s">
        <v>165</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25">
      <c r="D108" s="86"/>
      <c r="E108" s="94"/>
      <c r="F108" s="94"/>
      <c r="J108" s="62"/>
      <c r="K108" s="62"/>
      <c r="L108" s="62"/>
      <c r="M108" s="62"/>
      <c r="N108" s="62"/>
      <c r="O108" s="62"/>
      <c r="P108" s="62"/>
      <c r="Q108" s="62"/>
      <c r="R108" s="62"/>
      <c r="S108" s="62"/>
      <c r="T108" s="62"/>
      <c r="U108" s="62"/>
      <c r="V108" s="62"/>
      <c r="W108" s="62"/>
      <c r="X108" s="62"/>
      <c r="Y108" s="62"/>
    </row>
    <row r="109" spans="3:43" x14ac:dyDescent="0.25">
      <c r="D109" s="86"/>
      <c r="E109" s="75" t="s">
        <v>210</v>
      </c>
      <c r="F109" s="94"/>
      <c r="J109" s="62"/>
      <c r="K109" s="62"/>
      <c r="L109" s="62"/>
      <c r="M109" s="62"/>
      <c r="N109" s="62"/>
      <c r="O109" s="62"/>
      <c r="P109" s="62"/>
      <c r="Q109" s="62"/>
      <c r="R109" s="62"/>
      <c r="S109" s="62"/>
      <c r="T109" s="62"/>
      <c r="U109" s="62"/>
      <c r="V109" s="62"/>
      <c r="W109" s="62"/>
      <c r="X109" s="62"/>
      <c r="Y109" s="62"/>
    </row>
    <row r="110" spans="3:43" x14ac:dyDescent="0.25">
      <c r="D110" s="86"/>
      <c r="F110" s="94" t="s">
        <v>206</v>
      </c>
      <c r="G110" t="s">
        <v>207</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25">
      <c r="D111" s="86"/>
      <c r="E111" s="94"/>
      <c r="F111" s="94" t="s">
        <v>209</v>
      </c>
      <c r="G111" t="s">
        <v>165</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25">
      <c r="D112" s="86"/>
      <c r="E112" s="94"/>
      <c r="F112" s="94"/>
      <c r="J112" s="62"/>
      <c r="K112" s="62"/>
      <c r="L112" s="62"/>
      <c r="M112" s="62"/>
      <c r="N112" s="62"/>
      <c r="O112" s="62"/>
      <c r="P112" s="62"/>
      <c r="Q112" s="62"/>
      <c r="R112" s="62"/>
      <c r="S112" s="62"/>
      <c r="T112" s="62"/>
      <c r="U112" s="62"/>
      <c r="V112" s="62"/>
      <c r="W112" s="62"/>
      <c r="X112" s="62"/>
      <c r="Y112" s="62"/>
    </row>
    <row r="113" spans="4:25" x14ac:dyDescent="0.25">
      <c r="D113" s="86"/>
      <c r="E113" s="75" t="s">
        <v>211</v>
      </c>
      <c r="F113" s="94"/>
      <c r="J113" s="62"/>
      <c r="K113" s="62"/>
      <c r="L113" s="62"/>
      <c r="M113" s="62"/>
      <c r="N113" s="62"/>
      <c r="O113" s="62"/>
      <c r="P113" s="62"/>
      <c r="Q113" s="62"/>
      <c r="R113" s="62"/>
      <c r="S113" s="62"/>
      <c r="T113" s="62"/>
      <c r="U113" s="62"/>
      <c r="V113" s="62"/>
      <c r="W113" s="62"/>
      <c r="X113" s="62"/>
      <c r="Y113" s="62"/>
    </row>
    <row r="114" spans="4:25" x14ac:dyDescent="0.25">
      <c r="D114" s="86"/>
      <c r="F114" s="94" t="s">
        <v>206</v>
      </c>
      <c r="G114" t="s">
        <v>207</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25">
      <c r="D115" s="86"/>
      <c r="E115" s="94"/>
      <c r="F115" s="94" t="s">
        <v>209</v>
      </c>
      <c r="G115" t="s">
        <v>165</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25">
      <c r="D116" s="86"/>
      <c r="E116" s="94"/>
      <c r="F116" s="94"/>
      <c r="J116" s="62"/>
      <c r="K116" s="62"/>
      <c r="L116" s="62"/>
      <c r="M116" s="62"/>
      <c r="N116" s="62"/>
      <c r="O116" s="62"/>
      <c r="P116" s="62"/>
      <c r="Q116" s="62"/>
      <c r="R116" s="62"/>
      <c r="S116" s="62"/>
      <c r="T116" s="62"/>
      <c r="U116" s="62"/>
      <c r="V116" s="62"/>
      <c r="W116" s="62"/>
      <c r="X116" s="62"/>
      <c r="Y116" s="62"/>
    </row>
    <row r="117" spans="4:25" x14ac:dyDescent="0.25">
      <c r="D117" s="86"/>
      <c r="E117" s="75" t="s">
        <v>212</v>
      </c>
      <c r="F117" s="94"/>
      <c r="J117" s="62"/>
      <c r="K117" s="62"/>
      <c r="L117" s="62"/>
      <c r="M117" s="62"/>
      <c r="N117" s="62"/>
      <c r="O117" s="62"/>
      <c r="P117" s="62"/>
      <c r="Q117" s="62"/>
      <c r="R117" s="62"/>
      <c r="S117" s="62"/>
      <c r="T117" s="62"/>
      <c r="U117" s="62"/>
      <c r="V117" s="62"/>
      <c r="W117" s="62"/>
      <c r="X117" s="62"/>
      <c r="Y117" s="62"/>
    </row>
    <row r="118" spans="4:25" x14ac:dyDescent="0.25">
      <c r="D118" s="86"/>
      <c r="F118" s="94" t="s">
        <v>206</v>
      </c>
      <c r="G118" t="s">
        <v>207</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25">
      <c r="D119" s="86"/>
      <c r="E119" s="94"/>
      <c r="F119" s="94" t="s">
        <v>209</v>
      </c>
      <c r="G119" t="s">
        <v>165</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25">
      <c r="D120" s="86"/>
      <c r="E120" s="94"/>
      <c r="F120" s="94"/>
      <c r="J120" s="62"/>
      <c r="K120" s="62"/>
      <c r="L120" s="62"/>
      <c r="M120" s="62"/>
      <c r="N120" s="62"/>
      <c r="O120" s="62"/>
      <c r="P120" s="62"/>
      <c r="Q120" s="62"/>
      <c r="R120" s="62"/>
      <c r="S120" s="62"/>
      <c r="T120" s="62"/>
      <c r="U120" s="62"/>
      <c r="V120" s="62"/>
      <c r="W120" s="62"/>
      <c r="X120" s="62"/>
      <c r="Y120" s="62"/>
    </row>
    <row r="121" spans="4:25" x14ac:dyDescent="0.25">
      <c r="D121" s="86"/>
      <c r="E121" s="75" t="s">
        <v>213</v>
      </c>
      <c r="F121" s="94"/>
      <c r="J121" s="62"/>
      <c r="K121" s="62"/>
      <c r="L121" s="62"/>
      <c r="M121" s="62"/>
      <c r="N121" s="62"/>
      <c r="O121" s="62"/>
      <c r="P121" s="62"/>
      <c r="Q121" s="62"/>
      <c r="R121" s="62"/>
      <c r="S121" s="62"/>
      <c r="T121" s="62"/>
      <c r="U121" s="62"/>
      <c r="V121" s="62"/>
      <c r="W121" s="62"/>
      <c r="X121" s="62"/>
      <c r="Y121" s="62"/>
    </row>
    <row r="122" spans="4:25" x14ac:dyDescent="0.25">
      <c r="D122" s="86"/>
      <c r="F122" s="94" t="s">
        <v>206</v>
      </c>
      <c r="G122" t="s">
        <v>207</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25">
      <c r="D123" s="86"/>
      <c r="E123" s="94"/>
      <c r="F123" s="94" t="s">
        <v>209</v>
      </c>
      <c r="G123" t="s">
        <v>165</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25">
      <c r="D124" s="86"/>
      <c r="E124" s="86"/>
      <c r="J124" s="62"/>
      <c r="K124" s="62"/>
      <c r="L124" s="62"/>
      <c r="M124" s="62"/>
      <c r="N124" s="62"/>
      <c r="O124" s="62"/>
      <c r="P124" s="62"/>
      <c r="Q124" s="62"/>
      <c r="R124" s="62"/>
      <c r="S124" s="62"/>
      <c r="T124" s="62"/>
      <c r="U124" s="62"/>
      <c r="V124" s="62"/>
      <c r="W124" s="62"/>
      <c r="X124" s="62"/>
      <c r="Y124" s="62"/>
    </row>
    <row r="125" spans="4:25" x14ac:dyDescent="0.25">
      <c r="E125" s="75" t="s">
        <v>214</v>
      </c>
      <c r="J125" s="62"/>
      <c r="K125" s="62"/>
      <c r="L125" s="62"/>
      <c r="M125" s="62"/>
      <c r="N125" s="62"/>
      <c r="O125" s="62"/>
      <c r="P125" s="62"/>
      <c r="Q125" s="62"/>
      <c r="R125" s="62"/>
      <c r="S125" s="62"/>
      <c r="T125" s="62"/>
      <c r="U125" s="62"/>
      <c r="V125" s="62"/>
      <c r="W125" s="62"/>
      <c r="X125" s="62"/>
      <c r="Y125" s="62"/>
    </row>
    <row r="126" spans="4:25" x14ac:dyDescent="0.25">
      <c r="E126" s="86" t="s">
        <v>215</v>
      </c>
      <c r="J126" s="62"/>
      <c r="K126" s="62"/>
      <c r="L126" s="62"/>
      <c r="M126" s="62"/>
      <c r="N126" s="62"/>
      <c r="O126" s="62"/>
      <c r="P126" s="62"/>
      <c r="Q126" s="62"/>
      <c r="R126" s="62"/>
      <c r="S126" s="62"/>
      <c r="T126" s="62"/>
      <c r="U126" s="62"/>
      <c r="V126" s="62"/>
      <c r="W126" s="62"/>
      <c r="X126" s="62"/>
      <c r="Y126" s="62"/>
    </row>
    <row r="127" spans="4:25" x14ac:dyDescent="0.25">
      <c r="E127" s="86" t="s">
        <v>216</v>
      </c>
      <c r="J127" s="62"/>
      <c r="K127" s="62"/>
      <c r="L127" s="62"/>
      <c r="M127" s="62"/>
      <c r="N127" s="62"/>
      <c r="O127" s="62"/>
      <c r="P127" s="62"/>
      <c r="Q127" s="62"/>
      <c r="R127" s="62"/>
      <c r="S127" s="62"/>
      <c r="T127" s="62"/>
      <c r="U127" s="62"/>
      <c r="V127" s="62"/>
      <c r="W127" s="62"/>
      <c r="X127" s="62"/>
      <c r="Y127" s="62"/>
    </row>
    <row r="128" spans="4:25" x14ac:dyDescent="0.25">
      <c r="E128" s="86"/>
      <c r="F128" t="s">
        <v>214</v>
      </c>
      <c r="G128" t="s">
        <v>207</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25">
      <c r="E129" s="86"/>
      <c r="J129" s="62"/>
      <c r="K129" s="62"/>
      <c r="L129" s="62"/>
      <c r="M129" s="62"/>
      <c r="N129" s="62"/>
      <c r="O129" s="62"/>
      <c r="P129" s="62"/>
      <c r="Q129" s="62"/>
      <c r="R129" s="62"/>
      <c r="S129" s="62"/>
      <c r="T129" s="62"/>
      <c r="U129" s="62"/>
      <c r="V129" s="62"/>
      <c r="W129" s="62"/>
      <c r="X129" s="62"/>
      <c r="Y129" s="62"/>
    </row>
    <row r="130" spans="3:43" x14ac:dyDescent="0.25">
      <c r="E130" s="75" t="s">
        <v>217</v>
      </c>
      <c r="J130" s="62"/>
      <c r="K130" s="62"/>
      <c r="L130" s="62"/>
      <c r="M130" s="62"/>
      <c r="N130" s="62"/>
      <c r="O130" s="62"/>
      <c r="P130" s="62"/>
      <c r="Q130" s="62"/>
      <c r="R130" s="62"/>
      <c r="S130" s="62"/>
      <c r="T130" s="62"/>
      <c r="U130" s="62"/>
      <c r="V130" s="62"/>
      <c r="W130" s="62"/>
      <c r="X130" s="62"/>
      <c r="Y130" s="62"/>
    </row>
    <row r="131" spans="3:43" x14ac:dyDescent="0.25">
      <c r="E131" s="86" t="s">
        <v>218</v>
      </c>
      <c r="J131" s="62"/>
      <c r="K131" s="62"/>
      <c r="L131" s="62"/>
      <c r="M131" s="62"/>
      <c r="N131" s="62"/>
      <c r="O131" s="62"/>
      <c r="P131" s="62"/>
      <c r="Q131" s="62"/>
      <c r="R131" s="62"/>
      <c r="S131" s="62"/>
      <c r="T131" s="62"/>
      <c r="U131" s="62"/>
      <c r="V131" s="62"/>
      <c r="W131" s="62"/>
      <c r="X131" s="62"/>
      <c r="Y131" s="62"/>
    </row>
    <row r="132" spans="3:43" x14ac:dyDescent="0.25">
      <c r="E132" s="86"/>
      <c r="F132" t="s">
        <v>219</v>
      </c>
      <c r="G132" t="s">
        <v>207</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25">
      <c r="D133" s="86"/>
      <c r="J133" s="62"/>
      <c r="K133" s="62"/>
      <c r="L133" s="62"/>
      <c r="M133" s="62"/>
      <c r="N133" s="62"/>
      <c r="O133" s="62"/>
      <c r="P133" s="62"/>
      <c r="Q133" s="62"/>
      <c r="R133" s="62"/>
      <c r="S133" s="62"/>
      <c r="T133" s="62"/>
      <c r="U133" s="62"/>
      <c r="V133" s="62"/>
      <c r="W133" s="62"/>
      <c r="X133" s="62"/>
      <c r="Y133" s="62"/>
    </row>
    <row r="134" spans="3:43" x14ac:dyDescent="0.25">
      <c r="E134" s="75" t="s">
        <v>220</v>
      </c>
      <c r="I134" t="s">
        <v>152</v>
      </c>
      <c r="J134" s="62"/>
      <c r="K134" s="62"/>
      <c r="L134" s="62"/>
      <c r="M134" s="62"/>
      <c r="N134" s="62"/>
      <c r="O134" s="62"/>
      <c r="P134" s="62"/>
      <c r="Q134" s="62"/>
      <c r="R134" s="62"/>
      <c r="S134" s="62"/>
      <c r="T134" s="62"/>
      <c r="U134" s="62"/>
      <c r="V134" s="62"/>
      <c r="W134" s="62"/>
      <c r="X134" s="62"/>
      <c r="Y134" s="62"/>
      <c r="AQ134" t="s">
        <v>221</v>
      </c>
    </row>
    <row r="135" spans="3:43" x14ac:dyDescent="0.25">
      <c r="E135" s="86" t="s">
        <v>222</v>
      </c>
      <c r="J135" s="62"/>
      <c r="K135" s="62"/>
      <c r="L135" s="62"/>
      <c r="M135" s="62"/>
      <c r="N135" s="62"/>
      <c r="O135" s="62"/>
      <c r="P135" s="62"/>
      <c r="Q135" s="62"/>
      <c r="R135" s="62"/>
      <c r="S135" s="62"/>
      <c r="T135" s="62"/>
      <c r="U135" s="62"/>
      <c r="V135" s="62"/>
      <c r="W135" s="62"/>
      <c r="X135" s="62"/>
      <c r="Y135" s="62"/>
    </row>
    <row r="136" spans="3:43" x14ac:dyDescent="0.25">
      <c r="E136" s="86" t="s">
        <v>223</v>
      </c>
      <c r="J136" s="62"/>
      <c r="K136" s="62"/>
      <c r="L136" s="62"/>
      <c r="M136" s="62"/>
      <c r="N136" s="62"/>
      <c r="O136" s="62"/>
      <c r="P136" s="62"/>
      <c r="Q136" s="62"/>
      <c r="R136" s="62"/>
      <c r="S136" s="62"/>
      <c r="T136" s="62"/>
      <c r="U136" s="62"/>
      <c r="V136" s="62"/>
      <c r="W136" s="62"/>
      <c r="X136" s="62"/>
      <c r="Y136" s="62"/>
    </row>
    <row r="137" spans="3:43" x14ac:dyDescent="0.25">
      <c r="E137" s="86"/>
      <c r="F137" t="s">
        <v>158</v>
      </c>
      <c r="G137" t="s">
        <v>174</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86"/>
      <c r="F138" t="s">
        <v>159</v>
      </c>
      <c r="G138" t="s">
        <v>174</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25">
      <c r="E139" s="86"/>
      <c r="F139" t="s">
        <v>224</v>
      </c>
      <c r="G139" t="s">
        <v>174</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25">
      <c r="E140" s="86"/>
      <c r="F140" t="s">
        <v>225</v>
      </c>
      <c r="G140" t="s">
        <v>174</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25">
      <c r="D141" s="86"/>
      <c r="J141" s="62"/>
      <c r="K141" s="62"/>
      <c r="L141" s="62"/>
      <c r="M141" s="62"/>
      <c r="N141" s="62"/>
      <c r="O141" s="62"/>
      <c r="P141" s="62"/>
      <c r="Q141" s="62"/>
      <c r="R141" s="62"/>
      <c r="S141" s="62"/>
      <c r="T141" s="62"/>
      <c r="U141" s="62"/>
      <c r="V141" s="62"/>
      <c r="W141" s="62"/>
      <c r="X141" s="62"/>
      <c r="Y141" s="62"/>
    </row>
    <row r="142" spans="3:43" x14ac:dyDescent="0.2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25">
      <c r="E144" s="75" t="s">
        <v>226</v>
      </c>
      <c r="F144" s="75"/>
    </row>
    <row r="145" spans="3:44" x14ac:dyDescent="0.25">
      <c r="E145" s="86" t="s">
        <v>227</v>
      </c>
      <c r="F145" s="86"/>
      <c r="I145" t="s">
        <v>152</v>
      </c>
      <c r="AQ145" t="s">
        <v>850</v>
      </c>
    </row>
    <row r="146" spans="3:44" x14ac:dyDescent="0.25">
      <c r="E146" s="86"/>
      <c r="F146" s="94" t="s">
        <v>226</v>
      </c>
      <c r="G146" t="s">
        <v>147</v>
      </c>
      <c r="J146" s="7">
        <v>1</v>
      </c>
      <c r="K146" s="103"/>
      <c r="L146" s="7">
        <v>1</v>
      </c>
      <c r="M146" s="103"/>
      <c r="N146" s="103"/>
      <c r="O146" s="103"/>
      <c r="P146" s="103"/>
      <c r="Q146" s="103"/>
      <c r="R146" s="103"/>
      <c r="S146" s="103"/>
      <c r="T146" s="103"/>
      <c r="U146" s="103"/>
      <c r="V146" s="103"/>
      <c r="W146" s="103"/>
      <c r="X146" s="103"/>
      <c r="Y146" s="103"/>
    </row>
    <row r="147" spans="3:44" x14ac:dyDescent="0.25">
      <c r="E147" s="86"/>
      <c r="F147" s="86"/>
    </row>
    <row r="148" spans="3:44" x14ac:dyDescent="0.25">
      <c r="E148" s="75" t="s">
        <v>798</v>
      </c>
      <c r="F148" s="75"/>
      <c r="I148" t="s">
        <v>152</v>
      </c>
      <c r="AQ148" t="s">
        <v>811</v>
      </c>
    </row>
    <row r="149" spans="3:44" x14ac:dyDescent="0.25">
      <c r="E149" s="86" t="s">
        <v>799</v>
      </c>
      <c r="F149" s="86"/>
    </row>
    <row r="150" spans="3:44" x14ac:dyDescent="0.25">
      <c r="E150" s="86"/>
      <c r="F150" s="94" t="s">
        <v>800</v>
      </c>
      <c r="G150" t="s">
        <v>147</v>
      </c>
      <c r="J150" s="7">
        <v>1</v>
      </c>
      <c r="K150" s="7">
        <v>1</v>
      </c>
      <c r="L150" s="7">
        <v>2</v>
      </c>
      <c r="M150" s="7">
        <v>2</v>
      </c>
      <c r="N150" s="7">
        <v>3</v>
      </c>
      <c r="O150" s="7">
        <v>4</v>
      </c>
      <c r="P150" s="7">
        <v>5</v>
      </c>
      <c r="Q150" s="103"/>
      <c r="R150" s="103"/>
      <c r="S150" s="103"/>
      <c r="T150" s="103"/>
      <c r="U150" s="103"/>
      <c r="V150" s="103"/>
      <c r="W150" s="103"/>
      <c r="X150" s="103"/>
      <c r="Y150" s="103"/>
    </row>
    <row r="151" spans="3:44" x14ac:dyDescent="0.25">
      <c r="E151" s="86"/>
      <c r="F151" s="86"/>
    </row>
    <row r="152" spans="3:44" x14ac:dyDescent="0.2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25">
      <c r="E154" t="s">
        <v>228</v>
      </c>
      <c r="G154" t="s">
        <v>147</v>
      </c>
      <c r="H154" s="7">
        <v>3</v>
      </c>
    </row>
    <row r="156" spans="3:44" x14ac:dyDescent="0.2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25">
      <c r="C158" s="105"/>
      <c r="D158" s="2"/>
      <c r="E158" s="75" t="s">
        <v>824</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1105</v>
      </c>
      <c r="AR158" s="106"/>
    </row>
    <row r="159" spans="3:44" x14ac:dyDescent="0.25">
      <c r="C159" s="105"/>
      <c r="D159" s="2"/>
      <c r="F159" s="95" t="s">
        <v>1148</v>
      </c>
      <c r="G159" s="95" t="s">
        <v>174</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25">
      <c r="C160" s="105"/>
      <c r="D160" s="2"/>
      <c r="F160" s="96" t="s">
        <v>1149</v>
      </c>
      <c r="G160" s="96" t="s">
        <v>174</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25">
      <c r="C161" s="105"/>
      <c r="D161" s="2"/>
      <c r="AR161" s="106"/>
    </row>
    <row r="162" spans="3:44" x14ac:dyDescent="0.2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25">
      <c r="C163" s="105"/>
      <c r="D163" s="2"/>
      <c r="AR163" s="106"/>
    </row>
    <row r="164" spans="3:44" ht="60" x14ac:dyDescent="0.25">
      <c r="C164" s="105"/>
      <c r="D164" s="2"/>
      <c r="E164" s="75" t="s">
        <v>953</v>
      </c>
      <c r="J164" s="107" t="s">
        <v>1114</v>
      </c>
      <c r="K164" s="107" t="s">
        <v>783</v>
      </c>
      <c r="L164" s="107" t="s">
        <v>1115</v>
      </c>
      <c r="M164" s="107" t="s">
        <v>1116</v>
      </c>
      <c r="N164" s="107" t="s">
        <v>1117</v>
      </c>
      <c r="O164" s="107" t="s">
        <v>1118</v>
      </c>
      <c r="P164" s="107" t="s">
        <v>1119</v>
      </c>
      <c r="Q164" s="107" t="s">
        <v>784</v>
      </c>
      <c r="R164" s="107" t="s">
        <v>860</v>
      </c>
      <c r="S164" s="107" t="s">
        <v>861</v>
      </c>
      <c r="T164" s="107" t="s">
        <v>862</v>
      </c>
      <c r="U164" s="107" t="s">
        <v>863</v>
      </c>
      <c r="V164" s="107" t="s">
        <v>864</v>
      </c>
      <c r="W164" s="107" t="s">
        <v>865</v>
      </c>
      <c r="X164" s="107" t="s">
        <v>866</v>
      </c>
      <c r="Y164" s="107" t="s">
        <v>867</v>
      </c>
      <c r="Z164" s="107" t="s">
        <v>868</v>
      </c>
      <c r="AA164" s="107" t="s">
        <v>869</v>
      </c>
      <c r="AB164" s="107" t="s">
        <v>870</v>
      </c>
      <c r="AC164" s="107" t="s">
        <v>871</v>
      </c>
      <c r="AD164" s="107" t="s">
        <v>872</v>
      </c>
      <c r="AE164" s="107" t="s">
        <v>873</v>
      </c>
      <c r="AF164" s="107" t="s">
        <v>874</v>
      </c>
      <c r="AG164" s="107" t="s">
        <v>793</v>
      </c>
      <c r="AH164" s="107" t="s">
        <v>785</v>
      </c>
      <c r="AI164" s="107" t="s">
        <v>786</v>
      </c>
      <c r="AJ164" s="107" t="s">
        <v>787</v>
      </c>
      <c r="AK164" s="107" t="s">
        <v>796</v>
      </c>
      <c r="AL164" s="107" t="s">
        <v>788</v>
      </c>
      <c r="AM164" s="107" t="s">
        <v>795</v>
      </c>
      <c r="AN164" s="107" t="s">
        <v>789</v>
      </c>
      <c r="AO164" s="107" t="s">
        <v>794</v>
      </c>
      <c r="AR164" s="106"/>
    </row>
    <row r="165" spans="3:44" x14ac:dyDescent="0.25">
      <c r="C165" s="105"/>
      <c r="D165" s="2"/>
      <c r="F165" s="95" t="s">
        <v>952</v>
      </c>
      <c r="G165" s="95" t="s">
        <v>859</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25">
      <c r="C166" s="105"/>
      <c r="D166" s="2"/>
      <c r="F166" t="s">
        <v>879</v>
      </c>
      <c r="G166" t="s">
        <v>859</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25">
      <c r="C167" s="105"/>
      <c r="D167" s="2"/>
      <c r="F167" t="s">
        <v>950</v>
      </c>
      <c r="G167" t="s">
        <v>859</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25">
      <c r="C168" s="105"/>
      <c r="D168" s="2"/>
      <c r="F168" t="s">
        <v>886</v>
      </c>
      <c r="G168" t="s">
        <v>147</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25">
      <c r="C169" s="105"/>
      <c r="D169" s="2"/>
      <c r="F169" t="s">
        <v>885</v>
      </c>
      <c r="G169" t="s">
        <v>147</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25">
      <c r="C170" s="105"/>
      <c r="D170" s="2"/>
      <c r="F170" s="96" t="s">
        <v>951</v>
      </c>
      <c r="G170" s="96" t="s">
        <v>147</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25">
      <c r="C171" s="105"/>
      <c r="D171" s="2"/>
      <c r="AR171" s="106"/>
    </row>
    <row r="172" spans="3:44" x14ac:dyDescent="0.25">
      <c r="C172" s="105"/>
      <c r="D172" s="2"/>
      <c r="E172" t="s">
        <v>954</v>
      </c>
      <c r="G172" t="s">
        <v>147</v>
      </c>
      <c r="H172" s="28">
        <v>2</v>
      </c>
      <c r="AR172" s="106"/>
    </row>
    <row r="173" spans="3:44" x14ac:dyDescent="0.25">
      <c r="C173" s="105"/>
      <c r="D173" s="2"/>
      <c r="AR173" s="106"/>
    </row>
    <row r="174" spans="3:44" x14ac:dyDescent="0.25">
      <c r="C174" s="105"/>
      <c r="D174" s="2"/>
      <c r="E174" s="75" t="s">
        <v>947</v>
      </c>
      <c r="AR174" s="106"/>
    </row>
    <row r="175" spans="3:44" x14ac:dyDescent="0.25">
      <c r="C175" s="105"/>
      <c r="D175" s="2"/>
      <c r="E175" s="75"/>
      <c r="F175" s="86" t="s">
        <v>948</v>
      </c>
      <c r="AR175" s="106"/>
    </row>
    <row r="176" spans="3:44" ht="60" x14ac:dyDescent="0.25">
      <c r="C176" s="105"/>
      <c r="D176" s="2"/>
      <c r="E176" s="75"/>
      <c r="F176" s="50" t="s">
        <v>949</v>
      </c>
      <c r="J176" s="107" t="s">
        <v>1114</v>
      </c>
      <c r="K176" s="107" t="s">
        <v>783</v>
      </c>
      <c r="L176" s="107" t="s">
        <v>1115</v>
      </c>
      <c r="M176" s="107" t="s">
        <v>1116</v>
      </c>
      <c r="N176" s="107" t="s">
        <v>1117</v>
      </c>
      <c r="O176" s="107" t="s">
        <v>1118</v>
      </c>
      <c r="P176" s="107" t="s">
        <v>1119</v>
      </c>
      <c r="Q176" s="107" t="s">
        <v>784</v>
      </c>
      <c r="R176" s="107" t="s">
        <v>860</v>
      </c>
      <c r="S176" s="107" t="s">
        <v>861</v>
      </c>
      <c r="T176" s="107" t="s">
        <v>862</v>
      </c>
      <c r="U176" s="107" t="s">
        <v>863</v>
      </c>
      <c r="V176" s="107" t="s">
        <v>864</v>
      </c>
      <c r="W176" s="107" t="s">
        <v>865</v>
      </c>
      <c r="X176" s="107" t="s">
        <v>866</v>
      </c>
      <c r="Y176" s="107" t="s">
        <v>867</v>
      </c>
      <c r="Z176" s="107" t="s">
        <v>868</v>
      </c>
      <c r="AA176" s="107" t="s">
        <v>869</v>
      </c>
      <c r="AB176" s="107" t="s">
        <v>870</v>
      </c>
      <c r="AC176" s="107" t="s">
        <v>871</v>
      </c>
      <c r="AD176" s="107" t="s">
        <v>872</v>
      </c>
      <c r="AE176" s="107" t="s">
        <v>873</v>
      </c>
      <c r="AF176" s="107" t="s">
        <v>874</v>
      </c>
      <c r="AG176" s="107" t="s">
        <v>793</v>
      </c>
      <c r="AH176" s="107" t="s">
        <v>785</v>
      </c>
      <c r="AI176" s="107" t="s">
        <v>786</v>
      </c>
      <c r="AJ176" s="107" t="s">
        <v>787</v>
      </c>
      <c r="AK176" s="107" t="s">
        <v>796</v>
      </c>
      <c r="AL176" s="107" t="s">
        <v>788</v>
      </c>
      <c r="AM176" s="107" t="s">
        <v>795</v>
      </c>
      <c r="AN176" s="107" t="s">
        <v>789</v>
      </c>
      <c r="AO176" s="107" t="s">
        <v>794</v>
      </c>
      <c r="AR176" s="106"/>
    </row>
    <row r="177" spans="2:44" x14ac:dyDescent="0.25">
      <c r="C177" s="105"/>
      <c r="D177" s="2"/>
      <c r="F177" s="95" t="s">
        <v>939</v>
      </c>
      <c r="G177" s="95" t="s">
        <v>147</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25">
      <c r="C178" s="105"/>
      <c r="D178" s="2"/>
      <c r="F178" t="s">
        <v>940</v>
      </c>
      <c r="G178" t="s">
        <v>147</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25">
      <c r="C179" s="105"/>
      <c r="D179" s="2"/>
      <c r="F179" t="s">
        <v>941</v>
      </c>
      <c r="G179" t="s">
        <v>147</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25">
      <c r="C180" s="105"/>
      <c r="D180" s="2"/>
      <c r="F180" t="s">
        <v>942</v>
      </c>
      <c r="G180" t="s">
        <v>147</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25">
      <c r="C181" s="105"/>
      <c r="D181" s="2"/>
      <c r="F181" t="s">
        <v>943</v>
      </c>
      <c r="G181" t="s">
        <v>147</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25">
      <c r="C182" s="105"/>
      <c r="D182" s="2"/>
      <c r="F182" t="s">
        <v>944</v>
      </c>
      <c r="G182" t="s">
        <v>147</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25">
      <c r="C183" s="105"/>
      <c r="D183" s="2"/>
      <c r="F183" t="s">
        <v>945</v>
      </c>
      <c r="G183" t="s">
        <v>147</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25">
      <c r="C184" s="105"/>
      <c r="D184" s="2"/>
      <c r="F184" s="96" t="s">
        <v>946</v>
      </c>
      <c r="G184" s="96" t="s">
        <v>147</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25">
      <c r="C185" s="105"/>
      <c r="D185" s="2"/>
      <c r="E185" s="75"/>
      <c r="AR185" s="106"/>
    </row>
    <row r="186" spans="2:44" x14ac:dyDescent="0.25">
      <c r="B186" s="85" t="s">
        <v>229</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25">
      <c r="F187" s="3"/>
      <c r="G187" s="3"/>
      <c r="H187" s="3"/>
      <c r="I187" s="3"/>
    </row>
    <row r="188" spans="2:44" x14ac:dyDescent="0.25">
      <c r="E188" t="s">
        <v>230</v>
      </c>
      <c r="G188" s="6" t="s">
        <v>54</v>
      </c>
      <c r="H188" s="109">
        <f t="array" ref="H188">SUM(IF(ISERROR(H15:Y147), 1))</f>
        <v>0</v>
      </c>
      <c r="I188" s="3"/>
    </row>
    <row r="189" spans="2:44" x14ac:dyDescent="0.25">
      <c r="I189" s="3"/>
    </row>
    <row r="190" spans="2:44" x14ac:dyDescent="0.25">
      <c r="E190" s="75" t="s">
        <v>231</v>
      </c>
      <c r="I190" s="3"/>
    </row>
    <row r="191" spans="2:44" x14ac:dyDescent="0.25">
      <c r="F191" s="95" t="s">
        <v>232</v>
      </c>
      <c r="G191" s="110" t="s">
        <v>54</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25">
      <c r="F192" t="s">
        <v>233</v>
      </c>
      <c r="G192" s="6" t="s">
        <v>54</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25">
      <c r="F193" t="s">
        <v>234</v>
      </c>
      <c r="G193" s="6" t="s">
        <v>54</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25">
      <c r="F194" t="s">
        <v>235</v>
      </c>
      <c r="G194" s="6" t="s">
        <v>54</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25">
      <c r="F195" s="96" t="s">
        <v>236</v>
      </c>
      <c r="G195" s="77" t="s">
        <v>54</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25">
      <c r="F196" s="3"/>
      <c r="G196" s="3"/>
      <c r="H196" s="3"/>
      <c r="I196" s="3"/>
    </row>
    <row r="197" spans="2:43" x14ac:dyDescent="0.25">
      <c r="E197" t="s">
        <v>237</v>
      </c>
      <c r="G197" s="6" t="s">
        <v>54</v>
      </c>
      <c r="H197" s="113">
        <f>H188 + SUM(H191:H195)</f>
        <v>0</v>
      </c>
      <c r="I197" s="3"/>
    </row>
    <row r="198" spans="2:43" x14ac:dyDescent="0.25">
      <c r="I198" s="3"/>
    </row>
    <row r="199" spans="2:43" x14ac:dyDescent="0.25">
      <c r="B199" s="85" t="s">
        <v>105</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xr:uid="{00000000-0002-0000-0500-000000000000}">
      <formula1>0</formula1>
      <formula2>10</formula2>
    </dataValidation>
    <dataValidation type="decimal" allowBlank="1" showInputMessage="1" showErrorMessage="1" sqref="H40 K146 Q150:Y150 J123:Y123 J119:Y119 J115:Y115 J111:Y111 J107:Y107 J89:Y98 M146:Y146" xr:uid="{00000000-0002-0000-0500-000003000000}">
      <formula1>0</formula1>
      <formula2>1</formula2>
    </dataValidation>
    <dataValidation type="whole" allowBlank="1" showInputMessage="1" showErrorMessage="1" sqref="L146 J146 J150:P150" xr:uid="{00000000-0002-0000-0500-000005000000}">
      <formula1>0</formula1>
      <formula2>33</formula2>
    </dataValidation>
    <dataValidation type="decimal" allowBlank="1" showInputMessage="1" showErrorMessage="1" sqref="H36" xr:uid="{00000000-0002-0000-0500-000006000000}">
      <formula1>0</formula1>
      <formula2>999999</formula2>
    </dataValidation>
    <dataValidation type="decimal" allowBlank="1" showInputMessage="1" showErrorMessage="1" sqref="H38" xr:uid="{00000000-0002-0000-0500-000007000000}">
      <formula1>0.001</formula1>
      <formula2>1</formula2>
    </dataValidation>
    <dataValidation type="decimal" allowBlank="1" showInputMessage="1" showErrorMessage="1" sqref="H42" xr:uid="{00000000-0002-0000-0500-000008000000}">
      <formula1>0.001</formula1>
      <formula2>999999.999</formula2>
    </dataValidation>
    <dataValidation type="whole" allowBlank="1" showInputMessage="1" showErrorMessage="1" sqref="J47:Y50 J54:Y57" xr:uid="{00000000-0002-0000-0500-000001000000}">
      <formula1>0</formula1>
      <formula2>1</formula2>
    </dataValidation>
    <dataValidation type="whole" allowBlank="1" showInputMessage="1" showErrorMessage="1" sqref="J61:Y70 J74:Y83" xr:uid="{00000000-0002-0000-0500-000002000000}">
      <formula1>-1</formula1>
      <formula2>1</formula2>
    </dataValidation>
    <dataValidation type="list" allowBlank="1" showInputMessage="1" showErrorMessage="1" sqref="J128:Y128 J122:Y122 J118:Y118 J114:Y114 J110:Y110 J106:Y106 J132:Y132"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H236 &amp; IF(H236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114" t="s">
        <v>141</v>
      </c>
      <c r="H5" s="115" t="s">
        <v>142</v>
      </c>
      <c r="I5" s="62"/>
      <c r="J5" s="115" t="s">
        <v>1112</v>
      </c>
      <c r="K5" s="115" t="s">
        <v>783</v>
      </c>
      <c r="L5" s="115" t="s">
        <v>1113</v>
      </c>
      <c r="M5" s="115" t="s">
        <v>784</v>
      </c>
      <c r="N5" s="115" t="s">
        <v>790</v>
      </c>
      <c r="O5" s="115" t="s">
        <v>791</v>
      </c>
      <c r="P5" s="115" t="s">
        <v>792</v>
      </c>
      <c r="Q5" s="115" t="s">
        <v>793</v>
      </c>
      <c r="R5" s="115" t="s">
        <v>785</v>
      </c>
      <c r="S5" s="115" t="s">
        <v>786</v>
      </c>
      <c r="T5" s="115" t="s">
        <v>787</v>
      </c>
      <c r="U5" s="115" t="s">
        <v>796</v>
      </c>
      <c r="V5" s="115" t="s">
        <v>788</v>
      </c>
      <c r="W5" s="115" t="s">
        <v>795</v>
      </c>
      <c r="X5" s="115" t="s">
        <v>789</v>
      </c>
      <c r="Y5" s="115"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238</v>
      </c>
    </row>
    <row r="11" spans="1:43" x14ac:dyDescent="0.25">
      <c r="B11" s="85" t="s">
        <v>55</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94"/>
    </row>
    <row r="13" spans="1:43" x14ac:dyDescent="0.2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239</v>
      </c>
      <c r="G15" s="61" t="s">
        <v>165</v>
      </c>
      <c r="I15" t="s">
        <v>152</v>
      </c>
      <c r="J15" s="425">
        <v>0.4370458859170343</v>
      </c>
      <c r="K15" s="425">
        <v>0.12911164006947018</v>
      </c>
      <c r="L15" s="425">
        <v>0.43879877241700616</v>
      </c>
      <c r="M15" s="425">
        <v>0.21939798721656412</v>
      </c>
      <c r="N15" s="425">
        <v>0.53357447399807167</v>
      </c>
      <c r="O15" s="425">
        <v>0.66722855949044801</v>
      </c>
      <c r="P15" s="425">
        <v>0.70790835452106082</v>
      </c>
      <c r="Q15" s="425">
        <v>0.47449645331417156</v>
      </c>
      <c r="R15" s="103"/>
      <c r="S15" s="103"/>
      <c r="T15" s="103"/>
      <c r="U15" s="103"/>
      <c r="V15" s="103"/>
      <c r="W15" s="103"/>
      <c r="X15" s="103"/>
      <c r="Y15" s="103"/>
      <c r="AQ15" t="s">
        <v>240</v>
      </c>
    </row>
    <row r="16" spans="1:43" x14ac:dyDescent="0.25">
      <c r="E16" s="94" t="s">
        <v>241</v>
      </c>
      <c r="G16" s="61" t="s">
        <v>165</v>
      </c>
      <c r="I16" t="s">
        <v>152</v>
      </c>
      <c r="J16" s="425">
        <v>0.85114817218223704</v>
      </c>
      <c r="K16" s="103"/>
      <c r="L16" s="425">
        <v>0.81221407992248151</v>
      </c>
      <c r="M16" s="103"/>
      <c r="N16" s="425">
        <v>0.80867842104205778</v>
      </c>
      <c r="O16" s="425">
        <v>0.85692617799083204</v>
      </c>
      <c r="P16" s="425">
        <v>0.85657387613684399</v>
      </c>
      <c r="Q16" s="425">
        <v>0.96559107372002784</v>
      </c>
      <c r="R16" s="103"/>
      <c r="S16" s="103"/>
      <c r="T16" s="103"/>
      <c r="U16" s="103"/>
      <c r="V16" s="103"/>
      <c r="W16" s="103"/>
      <c r="X16" s="103"/>
      <c r="Y16" s="103"/>
      <c r="AQ16" t="s">
        <v>242</v>
      </c>
    </row>
    <row r="17" spans="3:43" x14ac:dyDescent="0.25">
      <c r="G17" s="61"/>
    </row>
    <row r="18" spans="3:43" x14ac:dyDescent="0.2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25">
      <c r="G19" s="61"/>
    </row>
    <row r="20" spans="3:43" x14ac:dyDescent="0.25">
      <c r="D20" s="86" t="s">
        <v>902</v>
      </c>
      <c r="G20" s="61"/>
      <c r="I20" t="s">
        <v>152</v>
      </c>
      <c r="AQ20" t="s">
        <v>244</v>
      </c>
    </row>
    <row r="21" spans="3:43" x14ac:dyDescent="0.25">
      <c r="G21" s="61"/>
    </row>
    <row r="22" spans="3:43" x14ac:dyDescent="0.25">
      <c r="E22" s="75" t="s">
        <v>856</v>
      </c>
      <c r="G22" s="61"/>
    </row>
    <row r="23" spans="3:43" x14ac:dyDescent="0.25">
      <c r="E23" s="75"/>
      <c r="F23" s="116" t="s">
        <v>245</v>
      </c>
      <c r="G23" s="116" t="s">
        <v>205</v>
      </c>
      <c r="H23" s="95"/>
      <c r="I23" s="95"/>
      <c r="J23" s="117"/>
      <c r="K23" s="426">
        <v>715.06892412151399</v>
      </c>
      <c r="L23" s="426">
        <v>7.696930981475953</v>
      </c>
      <c r="M23" s="426">
        <v>198.0273246193633</v>
      </c>
      <c r="N23" s="426">
        <v>13.447644288179097</v>
      </c>
      <c r="O23" s="426">
        <v>2.5664192228811378</v>
      </c>
      <c r="P23" s="426">
        <v>242.40888698105309</v>
      </c>
      <c r="Q23" s="117"/>
      <c r="R23" s="426">
        <v>6599.1284284156445</v>
      </c>
      <c r="S23" s="426">
        <v>0</v>
      </c>
      <c r="T23" s="426">
        <v>4225.230599999999</v>
      </c>
      <c r="U23" s="426">
        <v>0</v>
      </c>
      <c r="V23" s="426">
        <v>235.35749999999996</v>
      </c>
      <c r="W23" s="426">
        <v>0</v>
      </c>
      <c r="X23" s="426">
        <v>112429.61859999999</v>
      </c>
      <c r="Y23" s="426">
        <v>0</v>
      </c>
    </row>
    <row r="24" spans="3:43" x14ac:dyDescent="0.25">
      <c r="E24" s="75"/>
      <c r="F24" s="118" t="s">
        <v>246</v>
      </c>
      <c r="G24" s="118" t="s">
        <v>205</v>
      </c>
      <c r="J24" s="119"/>
      <c r="K24" s="427">
        <v>4081.6408178065876</v>
      </c>
      <c r="L24" s="427">
        <v>25.332240503208126</v>
      </c>
      <c r="M24" s="427">
        <v>646.70434049451774</v>
      </c>
      <c r="N24" s="427">
        <v>40.520219497595626</v>
      </c>
      <c r="O24" s="427">
        <v>11.002529471759216</v>
      </c>
      <c r="P24" s="427">
        <v>1161.2830145445171</v>
      </c>
      <c r="Q24" s="119"/>
      <c r="R24" s="428">
        <v>28720.756111830458</v>
      </c>
      <c r="S24" s="428">
        <v>0</v>
      </c>
      <c r="T24" s="427">
        <v>14462.468000000003</v>
      </c>
      <c r="U24" s="427">
        <v>0</v>
      </c>
      <c r="V24" s="427">
        <v>947.41909999999996</v>
      </c>
      <c r="W24" s="427">
        <v>0</v>
      </c>
      <c r="X24" s="427">
        <v>305558.88569999998</v>
      </c>
      <c r="Y24" s="427">
        <v>0</v>
      </c>
    </row>
    <row r="25" spans="3:43" x14ac:dyDescent="0.25">
      <c r="E25" s="75"/>
      <c r="F25" s="118" t="s">
        <v>247</v>
      </c>
      <c r="G25" s="118" t="s">
        <v>205</v>
      </c>
      <c r="J25" s="119"/>
      <c r="K25" s="427">
        <v>17683.252822043934</v>
      </c>
      <c r="L25" s="427">
        <v>39.923331593029232</v>
      </c>
      <c r="M25" s="427">
        <v>3204.1147499679787</v>
      </c>
      <c r="N25" s="427">
        <v>70.471131041730487</v>
      </c>
      <c r="O25" s="427">
        <v>11.361295850310261</v>
      </c>
      <c r="P25" s="427">
        <v>2208.6032563465164</v>
      </c>
      <c r="Q25" s="119"/>
      <c r="R25" s="428">
        <v>17040.400238646263</v>
      </c>
      <c r="S25" s="428">
        <v>0</v>
      </c>
      <c r="T25" s="427">
        <v>21962.315499999997</v>
      </c>
      <c r="U25" s="427">
        <v>0</v>
      </c>
      <c r="V25" s="427">
        <v>1266.3393000000001</v>
      </c>
      <c r="W25" s="427">
        <v>0</v>
      </c>
      <c r="X25" s="427">
        <v>457934.66330000001</v>
      </c>
      <c r="Y25" s="427">
        <v>0</v>
      </c>
    </row>
    <row r="26" spans="3:43" x14ac:dyDescent="0.25">
      <c r="E26" s="75"/>
      <c r="F26" s="118" t="s">
        <v>210</v>
      </c>
      <c r="G26" s="118" t="s">
        <v>210</v>
      </c>
      <c r="J26" s="119"/>
      <c r="K26" s="427">
        <v>7577.1293347193641</v>
      </c>
      <c r="L26" s="427">
        <v>9.9596740630511906</v>
      </c>
      <c r="M26" s="427">
        <v>589.96666666666681</v>
      </c>
      <c r="N26" s="427">
        <v>14.217631648321902</v>
      </c>
      <c r="O26" s="427">
        <v>1.1300558635282172</v>
      </c>
      <c r="P26" s="427">
        <v>79.202625039218034</v>
      </c>
      <c r="Q26" s="119"/>
      <c r="R26" s="427">
        <v>24062.24357489097</v>
      </c>
      <c r="S26" s="427">
        <v>0</v>
      </c>
      <c r="T26" s="427">
        <v>372</v>
      </c>
      <c r="U26" s="427">
        <v>0</v>
      </c>
      <c r="V26" s="427">
        <v>36</v>
      </c>
      <c r="W26" s="427">
        <v>0</v>
      </c>
      <c r="X26" s="427">
        <v>176</v>
      </c>
      <c r="Y26" s="427">
        <v>0</v>
      </c>
    </row>
    <row r="27" spans="3:43" x14ac:dyDescent="0.25">
      <c r="E27" s="75"/>
      <c r="F27" s="118" t="s">
        <v>248</v>
      </c>
      <c r="G27" s="118" t="s">
        <v>249</v>
      </c>
      <c r="J27" s="119"/>
      <c r="K27" s="119"/>
      <c r="L27" s="119"/>
      <c r="M27" s="119"/>
      <c r="N27" s="427">
        <v>843</v>
      </c>
      <c r="O27" s="427">
        <v>40</v>
      </c>
      <c r="P27" s="427">
        <v>18295</v>
      </c>
      <c r="Q27" s="119"/>
      <c r="R27" s="119"/>
      <c r="S27" s="119"/>
      <c r="T27" s="119"/>
      <c r="U27" s="119"/>
      <c r="V27" s="119"/>
      <c r="W27" s="119"/>
      <c r="X27" s="119"/>
      <c r="Y27" s="119"/>
    </row>
    <row r="28" spans="3:43" x14ac:dyDescent="0.25">
      <c r="E28" s="75"/>
      <c r="F28" s="118" t="s">
        <v>250</v>
      </c>
      <c r="G28" s="118" t="s">
        <v>249</v>
      </c>
      <c r="J28" s="119"/>
      <c r="K28" s="119"/>
      <c r="L28" s="119"/>
      <c r="M28" s="119"/>
      <c r="N28" s="427">
        <v>94.747945205479454</v>
      </c>
      <c r="O28" s="427">
        <v>0</v>
      </c>
      <c r="P28" s="427">
        <v>1900.6575342465753</v>
      </c>
      <c r="Q28" s="119"/>
      <c r="R28" s="119"/>
      <c r="S28" s="119"/>
      <c r="T28" s="119"/>
      <c r="U28" s="119"/>
      <c r="V28" s="119"/>
      <c r="W28" s="119"/>
      <c r="X28" s="119"/>
      <c r="Y28" s="119"/>
    </row>
    <row r="29" spans="3:43" x14ac:dyDescent="0.25">
      <c r="E29" s="75"/>
      <c r="F29" s="120" t="s">
        <v>251</v>
      </c>
      <c r="G29" s="120" t="s">
        <v>252</v>
      </c>
      <c r="H29" s="96"/>
      <c r="I29" s="96"/>
      <c r="J29" s="121"/>
      <c r="K29" s="121"/>
      <c r="L29" s="121"/>
      <c r="M29" s="121"/>
      <c r="N29" s="429">
        <v>81.983999999999995</v>
      </c>
      <c r="O29" s="429">
        <v>0.121</v>
      </c>
      <c r="P29" s="429">
        <v>2734.0590000000002</v>
      </c>
      <c r="Q29" s="121"/>
      <c r="R29" s="121"/>
      <c r="S29" s="121"/>
      <c r="T29" s="429">
        <v>2476.223</v>
      </c>
      <c r="U29" s="121"/>
      <c r="V29" s="429">
        <v>449.26600000000002</v>
      </c>
      <c r="W29" s="121"/>
      <c r="X29" s="429">
        <v>19742.777000000002</v>
      </c>
      <c r="Y29" s="121"/>
    </row>
    <row r="30" spans="3:43" x14ac:dyDescent="0.2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25">
      <c r="E31" s="75" t="s">
        <v>890</v>
      </c>
      <c r="G31" s="61"/>
    </row>
    <row r="32" spans="3:43" x14ac:dyDescent="0.25">
      <c r="E32" s="75"/>
      <c r="F32" s="116" t="s">
        <v>245</v>
      </c>
      <c r="G32" s="116" t="s">
        <v>205</v>
      </c>
      <c r="H32" s="95"/>
      <c r="I32" s="95"/>
      <c r="J32" s="426">
        <v>579883.72027765436</v>
      </c>
      <c r="K32" s="117"/>
      <c r="L32" s="426">
        <v>12258.078266776743</v>
      </c>
      <c r="M32" s="117"/>
      <c r="N32" s="426">
        <v>52135.324507523284</v>
      </c>
      <c r="O32" s="426">
        <v>202.99214242792689</v>
      </c>
      <c r="P32" s="426">
        <v>12777.289122671493</v>
      </c>
      <c r="Q32" s="426">
        <v>5937.4754569442684</v>
      </c>
      <c r="R32" s="117"/>
      <c r="S32" s="117"/>
      <c r="T32" s="117"/>
      <c r="U32" s="117"/>
      <c r="V32" s="117"/>
      <c r="W32" s="117"/>
      <c r="X32" s="117"/>
      <c r="Y32" s="117"/>
    </row>
    <row r="33" spans="5:42" x14ac:dyDescent="0.25">
      <c r="E33" s="75"/>
      <c r="F33" s="118" t="s">
        <v>246</v>
      </c>
      <c r="G33" s="118" t="s">
        <v>205</v>
      </c>
      <c r="J33" s="427">
        <v>1430655.1045502957</v>
      </c>
      <c r="K33" s="119"/>
      <c r="L33" s="427">
        <v>45535.31819338545</v>
      </c>
      <c r="M33" s="126"/>
      <c r="N33" s="427">
        <v>183989.97677608862</v>
      </c>
      <c r="O33" s="427">
        <v>650.71252434400071</v>
      </c>
      <c r="P33" s="427">
        <v>45197.951800702001</v>
      </c>
      <c r="Q33" s="428">
        <v>24507.063165733918</v>
      </c>
      <c r="R33" s="119"/>
      <c r="S33" s="119"/>
      <c r="T33" s="119"/>
      <c r="U33" s="119"/>
      <c r="V33" s="119"/>
      <c r="W33" s="119"/>
      <c r="X33" s="119"/>
      <c r="Y33" s="119"/>
    </row>
    <row r="34" spans="5:42" x14ac:dyDescent="0.25">
      <c r="E34" s="75"/>
      <c r="F34" s="118" t="s">
        <v>247</v>
      </c>
      <c r="G34" s="118" t="s">
        <v>205</v>
      </c>
      <c r="J34" s="427">
        <v>2144526.879086318</v>
      </c>
      <c r="K34" s="119"/>
      <c r="L34" s="427">
        <v>47280.034446671227</v>
      </c>
      <c r="M34" s="126"/>
      <c r="N34" s="427">
        <v>207554.39368217392</v>
      </c>
      <c r="O34" s="427">
        <v>969.79862163028963</v>
      </c>
      <c r="P34" s="427">
        <v>59499.165019762986</v>
      </c>
      <c r="Q34" s="428">
        <v>73996.161970165136</v>
      </c>
      <c r="R34" s="119"/>
      <c r="S34" s="119"/>
      <c r="T34" s="119"/>
      <c r="U34" s="119"/>
      <c r="V34" s="119"/>
      <c r="W34" s="119"/>
      <c r="X34" s="119"/>
      <c r="Y34" s="119"/>
    </row>
    <row r="35" spans="5:42" x14ac:dyDescent="0.25">
      <c r="E35" s="75"/>
      <c r="F35" s="118" t="s">
        <v>210</v>
      </c>
      <c r="G35" s="118" t="s">
        <v>210</v>
      </c>
      <c r="J35" s="427">
        <v>1493778.5153092039</v>
      </c>
      <c r="K35" s="119"/>
      <c r="L35" s="427">
        <v>37167.77725980278</v>
      </c>
      <c r="M35" s="126"/>
      <c r="N35" s="427">
        <v>5811.9647088104448</v>
      </c>
      <c r="O35" s="427">
        <v>10.170502771753956</v>
      </c>
      <c r="P35" s="427">
        <v>218.31492799271635</v>
      </c>
      <c r="Q35" s="427">
        <v>915.3</v>
      </c>
      <c r="R35" s="119"/>
      <c r="S35" s="119"/>
      <c r="T35" s="119"/>
      <c r="U35" s="119"/>
      <c r="V35" s="119"/>
      <c r="W35" s="119"/>
      <c r="X35" s="119"/>
      <c r="Y35" s="119"/>
    </row>
    <row r="36" spans="5:42" x14ac:dyDescent="0.25">
      <c r="E36" s="75"/>
      <c r="F36" s="118" t="s">
        <v>248</v>
      </c>
      <c r="G36" s="118" t="s">
        <v>249</v>
      </c>
      <c r="J36" s="119"/>
      <c r="K36" s="119"/>
      <c r="L36" s="119"/>
      <c r="M36" s="126"/>
      <c r="N36" s="427">
        <v>254239</v>
      </c>
      <c r="O36" s="427">
        <v>465</v>
      </c>
      <c r="P36" s="427">
        <v>57982</v>
      </c>
      <c r="Q36" s="119"/>
      <c r="R36" s="119"/>
      <c r="S36" s="119"/>
      <c r="T36" s="119"/>
      <c r="U36" s="119"/>
      <c r="V36" s="119"/>
      <c r="W36" s="119"/>
      <c r="X36" s="119"/>
      <c r="Y36" s="119"/>
    </row>
    <row r="37" spans="5:42" x14ac:dyDescent="0.25">
      <c r="E37" s="75"/>
      <c r="F37" s="118" t="s">
        <v>250</v>
      </c>
      <c r="G37" s="118" t="s">
        <v>249</v>
      </c>
      <c r="J37" s="119"/>
      <c r="K37" s="119"/>
      <c r="L37" s="119"/>
      <c r="M37" s="126"/>
      <c r="N37" s="427">
        <v>15271.972602739726</v>
      </c>
      <c r="O37" s="427">
        <v>104.53150684931506</v>
      </c>
      <c r="P37" s="427">
        <v>2483.0904109589042</v>
      </c>
      <c r="Q37" s="119"/>
      <c r="R37" s="119"/>
      <c r="S37" s="119"/>
      <c r="T37" s="119"/>
      <c r="U37" s="119"/>
      <c r="V37" s="119"/>
      <c r="W37" s="119"/>
      <c r="X37" s="119"/>
      <c r="Y37" s="119"/>
    </row>
    <row r="38" spans="5:42" x14ac:dyDescent="0.25">
      <c r="E38" s="75"/>
      <c r="F38" s="120" t="s">
        <v>251</v>
      </c>
      <c r="G38" s="120" t="s">
        <v>252</v>
      </c>
      <c r="H38" s="96"/>
      <c r="I38" s="96"/>
      <c r="J38" s="121"/>
      <c r="K38" s="121"/>
      <c r="L38" s="121"/>
      <c r="M38" s="121"/>
      <c r="N38" s="429">
        <v>30892.314999999999</v>
      </c>
      <c r="O38" s="429">
        <v>114.407</v>
      </c>
      <c r="P38" s="429">
        <v>10425.413</v>
      </c>
      <c r="Q38" s="121"/>
      <c r="R38" s="121"/>
      <c r="S38" s="121"/>
      <c r="T38" s="121"/>
      <c r="U38" s="121"/>
      <c r="V38" s="121"/>
      <c r="W38" s="121"/>
      <c r="X38" s="121"/>
      <c r="Y38" s="121"/>
    </row>
    <row r="39" spans="5:42" x14ac:dyDescent="0.2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25">
      <c r="E40" s="75" t="s">
        <v>891</v>
      </c>
      <c r="G40" s="61"/>
    </row>
    <row r="41" spans="5:42" x14ac:dyDescent="0.25">
      <c r="E41" s="75"/>
      <c r="F41" s="116" t="s">
        <v>245</v>
      </c>
      <c r="G41" s="116" t="s">
        <v>205</v>
      </c>
      <c r="H41" s="95"/>
      <c r="I41" s="95"/>
      <c r="J41" s="117"/>
      <c r="K41" s="117"/>
      <c r="L41" s="426">
        <v>29158.406938515887</v>
      </c>
      <c r="M41" s="117"/>
      <c r="N41" s="426">
        <v>60095.545827618633</v>
      </c>
      <c r="O41" s="426">
        <v>1236.3318759829881</v>
      </c>
      <c r="P41" s="426">
        <v>46010.796816080023</v>
      </c>
      <c r="Q41" s="117"/>
      <c r="R41" s="117"/>
      <c r="S41" s="117"/>
      <c r="T41" s="117"/>
      <c r="U41" s="117"/>
      <c r="V41" s="117"/>
      <c r="W41" s="117"/>
      <c r="X41" s="117"/>
      <c r="Y41" s="117"/>
    </row>
    <row r="42" spans="5:42" x14ac:dyDescent="0.25">
      <c r="E42" s="75"/>
      <c r="F42" s="118" t="s">
        <v>246</v>
      </c>
      <c r="G42" s="118" t="s">
        <v>205</v>
      </c>
      <c r="J42" s="119"/>
      <c r="K42" s="119"/>
      <c r="L42" s="427">
        <v>108813.75209876517</v>
      </c>
      <c r="M42" s="119"/>
      <c r="N42" s="427">
        <v>200290.54233089768</v>
      </c>
      <c r="O42" s="427">
        <v>3959.9119770152979</v>
      </c>
      <c r="P42" s="427">
        <v>152757.53879532445</v>
      </c>
      <c r="Q42" s="119"/>
      <c r="R42" s="119"/>
      <c r="S42" s="119"/>
      <c r="T42" s="119"/>
      <c r="U42" s="119"/>
      <c r="V42" s="119"/>
      <c r="W42" s="119"/>
      <c r="X42" s="119"/>
      <c r="Y42" s="119"/>
    </row>
    <row r="43" spans="5:42" x14ac:dyDescent="0.25">
      <c r="E43" s="75"/>
      <c r="F43" s="118" t="s">
        <v>247</v>
      </c>
      <c r="G43" s="118" t="s">
        <v>205</v>
      </c>
      <c r="J43" s="119"/>
      <c r="K43" s="119"/>
      <c r="L43" s="427">
        <v>112611.67120953253</v>
      </c>
      <c r="M43" s="119"/>
      <c r="N43" s="427">
        <v>234321.50176221589</v>
      </c>
      <c r="O43" s="427">
        <v>5536.7329464132736</v>
      </c>
      <c r="P43" s="427">
        <v>209436.08229326349</v>
      </c>
      <c r="Q43" s="119"/>
      <c r="R43" s="119"/>
      <c r="S43" s="119"/>
      <c r="T43" s="119"/>
      <c r="U43" s="119"/>
      <c r="V43" s="119"/>
      <c r="W43" s="119"/>
      <c r="X43" s="119"/>
      <c r="Y43" s="119"/>
    </row>
    <row r="44" spans="5:42" x14ac:dyDescent="0.25">
      <c r="E44" s="75"/>
      <c r="F44" s="118" t="s">
        <v>210</v>
      </c>
      <c r="G44" s="118" t="s">
        <v>210</v>
      </c>
      <c r="J44" s="119"/>
      <c r="K44" s="119"/>
      <c r="L44" s="427">
        <v>31815.382020491983</v>
      </c>
      <c r="M44" s="119"/>
      <c r="N44" s="427">
        <v>2997.8891875604468</v>
      </c>
      <c r="O44" s="427">
        <v>33.90167590584651</v>
      </c>
      <c r="P44" s="427">
        <v>282.28627898593101</v>
      </c>
      <c r="Q44" s="119"/>
      <c r="R44" s="119"/>
      <c r="S44" s="119"/>
      <c r="T44" s="119"/>
      <c r="U44" s="119"/>
      <c r="V44" s="119"/>
      <c r="W44" s="119"/>
      <c r="X44" s="119"/>
      <c r="Y44" s="119"/>
    </row>
    <row r="45" spans="5:42" x14ac:dyDescent="0.25">
      <c r="E45" s="75"/>
      <c r="F45" s="118" t="s">
        <v>248</v>
      </c>
      <c r="G45" s="118" t="s">
        <v>249</v>
      </c>
      <c r="J45" s="119"/>
      <c r="K45" s="119"/>
      <c r="L45" s="119"/>
      <c r="M45" s="119"/>
      <c r="N45" s="427">
        <v>338005</v>
      </c>
      <c r="O45" s="427">
        <v>4520</v>
      </c>
      <c r="P45" s="427">
        <v>196857</v>
      </c>
      <c r="Q45" s="119"/>
      <c r="R45" s="119"/>
      <c r="S45" s="119"/>
      <c r="T45" s="119"/>
      <c r="U45" s="119"/>
      <c r="V45" s="119"/>
      <c r="W45" s="119"/>
      <c r="X45" s="119"/>
      <c r="Y45" s="119"/>
    </row>
    <row r="46" spans="5:42" x14ac:dyDescent="0.25">
      <c r="E46" s="75"/>
      <c r="F46" s="118" t="s">
        <v>250</v>
      </c>
      <c r="G46" s="118" t="s">
        <v>249</v>
      </c>
      <c r="J46" s="119"/>
      <c r="K46" s="119"/>
      <c r="L46" s="119"/>
      <c r="M46" s="119"/>
      <c r="N46" s="427">
        <v>3904.3616438356166</v>
      </c>
      <c r="O46" s="427">
        <v>66.739726027397253</v>
      </c>
      <c r="P46" s="427">
        <v>2999.0904109589042</v>
      </c>
      <c r="Q46" s="119"/>
      <c r="R46" s="119"/>
      <c r="S46" s="119"/>
      <c r="T46" s="119"/>
      <c r="U46" s="119"/>
      <c r="V46" s="119"/>
      <c r="W46" s="119"/>
      <c r="X46" s="119"/>
      <c r="Y46" s="119"/>
    </row>
    <row r="47" spans="5:42" x14ac:dyDescent="0.25">
      <c r="E47" s="75"/>
      <c r="F47" s="120" t="s">
        <v>251</v>
      </c>
      <c r="G47" s="120" t="s">
        <v>252</v>
      </c>
      <c r="H47" s="96"/>
      <c r="I47" s="96"/>
      <c r="J47" s="121"/>
      <c r="K47" s="121"/>
      <c r="L47" s="121"/>
      <c r="M47" s="121"/>
      <c r="N47" s="429">
        <v>37540.389000000003</v>
      </c>
      <c r="O47" s="429">
        <v>856.41800000000001</v>
      </c>
      <c r="P47" s="429">
        <v>29969.406999999999</v>
      </c>
      <c r="Q47" s="121"/>
      <c r="R47" s="121"/>
      <c r="S47" s="121"/>
      <c r="T47" s="121"/>
      <c r="U47" s="121"/>
      <c r="V47" s="121"/>
      <c r="W47" s="121"/>
      <c r="X47" s="121"/>
      <c r="Y47" s="121"/>
    </row>
    <row r="48" spans="5:42" x14ac:dyDescent="0.2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25">
      <c r="E49" s="75" t="s">
        <v>892</v>
      </c>
      <c r="G49" s="61"/>
    </row>
    <row r="50" spans="5:42" x14ac:dyDescent="0.25">
      <c r="E50" s="75"/>
      <c r="F50" s="116" t="s">
        <v>245</v>
      </c>
      <c r="G50" s="116" t="s">
        <v>205</v>
      </c>
      <c r="H50" s="95"/>
      <c r="I50" s="95"/>
      <c r="J50" s="117"/>
      <c r="K50" s="117"/>
      <c r="L50" s="426">
        <v>28526.128746387698</v>
      </c>
      <c r="M50" s="117"/>
      <c r="N50" s="426">
        <v>36828.972836163521</v>
      </c>
      <c r="O50" s="426">
        <v>3823.8592014583974</v>
      </c>
      <c r="P50" s="426">
        <v>41091.386751278791</v>
      </c>
      <c r="Q50" s="117"/>
      <c r="R50" s="117"/>
      <c r="S50" s="117"/>
      <c r="T50" s="117"/>
      <c r="U50" s="117"/>
      <c r="V50" s="117"/>
      <c r="W50" s="117"/>
      <c r="X50" s="117"/>
      <c r="Y50" s="117"/>
    </row>
    <row r="51" spans="5:42" x14ac:dyDescent="0.25">
      <c r="E51" s="75"/>
      <c r="F51" s="118" t="s">
        <v>246</v>
      </c>
      <c r="G51" s="118" t="s">
        <v>205</v>
      </c>
      <c r="J51" s="119"/>
      <c r="K51" s="119"/>
      <c r="L51" s="427">
        <v>105525.67882863466</v>
      </c>
      <c r="M51" s="119"/>
      <c r="N51" s="427">
        <v>127169.13986490383</v>
      </c>
      <c r="O51" s="427">
        <v>12247.597024042267</v>
      </c>
      <c r="P51" s="427">
        <v>134647.25017921132</v>
      </c>
      <c r="Q51" s="119"/>
      <c r="R51" s="119"/>
      <c r="S51" s="119"/>
      <c r="T51" s="119"/>
      <c r="U51" s="119"/>
      <c r="V51" s="119"/>
      <c r="W51" s="119"/>
      <c r="X51" s="119"/>
      <c r="Y51" s="119"/>
    </row>
    <row r="52" spans="5:42" x14ac:dyDescent="0.25">
      <c r="E52" s="75"/>
      <c r="F52" s="118" t="s">
        <v>247</v>
      </c>
      <c r="G52" s="118" t="s">
        <v>205</v>
      </c>
      <c r="J52" s="119"/>
      <c r="K52" s="119"/>
      <c r="L52" s="427">
        <v>114192.44307093632</v>
      </c>
      <c r="M52" s="119"/>
      <c r="N52" s="427">
        <v>149128.24605172256</v>
      </c>
      <c r="O52" s="427">
        <v>17663.053036980134</v>
      </c>
      <c r="P52" s="427">
        <v>178323.48614948278</v>
      </c>
      <c r="Q52" s="119"/>
      <c r="R52" s="119"/>
      <c r="S52" s="119"/>
      <c r="T52" s="119"/>
      <c r="U52" s="119"/>
      <c r="V52" s="119"/>
      <c r="W52" s="119"/>
      <c r="X52" s="119"/>
      <c r="Y52" s="119"/>
    </row>
    <row r="53" spans="5:42" x14ac:dyDescent="0.25">
      <c r="E53" s="75"/>
      <c r="F53" s="118" t="s">
        <v>210</v>
      </c>
      <c r="G53" s="118" t="s">
        <v>210</v>
      </c>
      <c r="J53" s="119"/>
      <c r="K53" s="119"/>
      <c r="L53" s="427">
        <v>14625.283377887516</v>
      </c>
      <c r="M53" s="119"/>
      <c r="N53" s="427">
        <v>1261.3070362297005</v>
      </c>
      <c r="O53" s="427">
        <v>64.413184221108395</v>
      </c>
      <c r="P53" s="427">
        <v>136.06604814429764</v>
      </c>
      <c r="Q53" s="119"/>
      <c r="R53" s="119"/>
      <c r="S53" s="119"/>
      <c r="T53" s="119"/>
      <c r="U53" s="119"/>
      <c r="V53" s="119"/>
      <c r="W53" s="119"/>
      <c r="X53" s="119"/>
      <c r="Y53" s="119"/>
    </row>
    <row r="54" spans="5:42" x14ac:dyDescent="0.25">
      <c r="E54" s="75"/>
      <c r="F54" s="118" t="s">
        <v>248</v>
      </c>
      <c r="G54" s="118" t="s">
        <v>249</v>
      </c>
      <c r="J54" s="119"/>
      <c r="K54" s="119"/>
      <c r="L54" s="119"/>
      <c r="M54" s="119"/>
      <c r="N54" s="427">
        <v>231229</v>
      </c>
      <c r="O54" s="427">
        <v>11840</v>
      </c>
      <c r="P54" s="427">
        <v>188257</v>
      </c>
      <c r="Q54" s="119"/>
      <c r="R54" s="119"/>
      <c r="S54" s="119"/>
      <c r="T54" s="119"/>
      <c r="U54" s="119"/>
      <c r="V54" s="119"/>
      <c r="W54" s="119"/>
      <c r="X54" s="119"/>
      <c r="Y54" s="119"/>
    </row>
    <row r="55" spans="5:42" x14ac:dyDescent="0.25">
      <c r="E55" s="75"/>
      <c r="F55" s="118" t="s">
        <v>250</v>
      </c>
      <c r="G55" s="118" t="s">
        <v>249</v>
      </c>
      <c r="J55" s="119"/>
      <c r="K55" s="119"/>
      <c r="L55" s="119"/>
      <c r="M55" s="119"/>
      <c r="N55" s="427">
        <v>1581.5972602739726</v>
      </c>
      <c r="O55" s="427">
        <v>129.77534246575343</v>
      </c>
      <c r="P55" s="427">
        <v>1930.1698630136987</v>
      </c>
      <c r="Q55" s="119"/>
      <c r="R55" s="119"/>
      <c r="S55" s="119"/>
      <c r="T55" s="119"/>
      <c r="U55" s="119"/>
      <c r="V55" s="119"/>
      <c r="W55" s="119"/>
      <c r="X55" s="119"/>
      <c r="Y55" s="119"/>
    </row>
    <row r="56" spans="5:42" x14ac:dyDescent="0.25">
      <c r="E56" s="75"/>
      <c r="F56" s="120" t="s">
        <v>251</v>
      </c>
      <c r="G56" s="120" t="s">
        <v>252</v>
      </c>
      <c r="H56" s="96"/>
      <c r="I56" s="96"/>
      <c r="J56" s="121"/>
      <c r="K56" s="121"/>
      <c r="L56" s="121"/>
      <c r="M56" s="121"/>
      <c r="N56" s="429">
        <v>21900.852999999999</v>
      </c>
      <c r="O56" s="429">
        <v>2245.5549999999998</v>
      </c>
      <c r="P56" s="429">
        <v>23654.614000000001</v>
      </c>
      <c r="Q56" s="121"/>
      <c r="R56" s="121"/>
      <c r="S56" s="121"/>
      <c r="T56" s="121"/>
      <c r="U56" s="121"/>
      <c r="V56" s="121"/>
      <c r="W56" s="121"/>
      <c r="X56" s="121"/>
      <c r="Y56" s="121"/>
    </row>
    <row r="57" spans="5:42" x14ac:dyDescent="0.2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25">
      <c r="E58" s="75" t="s">
        <v>893</v>
      </c>
      <c r="G58" s="61"/>
    </row>
    <row r="59" spans="5:42" x14ac:dyDescent="0.25">
      <c r="E59" s="75"/>
      <c r="F59" s="116" t="s">
        <v>245</v>
      </c>
      <c r="G59" s="116" t="s">
        <v>205</v>
      </c>
      <c r="H59" s="95"/>
      <c r="I59" s="95"/>
      <c r="J59" s="117"/>
      <c r="K59" s="117"/>
      <c r="L59" s="426">
        <v>88426.692759469719</v>
      </c>
      <c r="M59" s="117"/>
      <c r="N59" s="426">
        <v>62348.29685655464</v>
      </c>
      <c r="O59" s="426">
        <v>68009.827254132833</v>
      </c>
      <c r="P59" s="426">
        <v>153851.35500201487</v>
      </c>
      <c r="Q59" s="117"/>
      <c r="R59" s="117"/>
      <c r="S59" s="117"/>
      <c r="T59" s="117"/>
      <c r="U59" s="117"/>
      <c r="V59" s="117"/>
      <c r="W59" s="117"/>
      <c r="X59" s="117"/>
      <c r="Y59" s="117"/>
    </row>
    <row r="60" spans="5:42" x14ac:dyDescent="0.25">
      <c r="E60" s="75"/>
      <c r="F60" s="118" t="s">
        <v>246</v>
      </c>
      <c r="G60" s="118" t="s">
        <v>205</v>
      </c>
      <c r="J60" s="119"/>
      <c r="K60" s="119"/>
      <c r="L60" s="427">
        <v>312806.23371116089</v>
      </c>
      <c r="M60" s="119"/>
      <c r="N60" s="427">
        <v>224807.17886229389</v>
      </c>
      <c r="O60" s="427">
        <v>224289.01380512866</v>
      </c>
      <c r="P60" s="427">
        <v>487503.85702717229</v>
      </c>
      <c r="Q60" s="119"/>
      <c r="R60" s="119"/>
      <c r="S60" s="119"/>
      <c r="T60" s="119"/>
      <c r="U60" s="119"/>
      <c r="V60" s="119"/>
      <c r="W60" s="119"/>
      <c r="X60" s="119"/>
      <c r="Y60" s="119"/>
    </row>
    <row r="61" spans="5:42" x14ac:dyDescent="0.25">
      <c r="E61" s="75"/>
      <c r="F61" s="118" t="s">
        <v>247</v>
      </c>
      <c r="G61" s="118" t="s">
        <v>205</v>
      </c>
      <c r="J61" s="119"/>
      <c r="K61" s="119"/>
      <c r="L61" s="427">
        <v>356653.55904973327</v>
      </c>
      <c r="M61" s="119"/>
      <c r="N61" s="427">
        <v>257080.66833231715</v>
      </c>
      <c r="O61" s="427">
        <v>307183.24702094012</v>
      </c>
      <c r="P61" s="427">
        <v>723222.40697721124</v>
      </c>
      <c r="Q61" s="119"/>
      <c r="R61" s="119"/>
      <c r="S61" s="119"/>
      <c r="T61" s="119"/>
      <c r="U61" s="119"/>
      <c r="V61" s="119"/>
      <c r="W61" s="119"/>
      <c r="X61" s="119"/>
      <c r="Y61" s="119"/>
    </row>
    <row r="62" spans="5:42" x14ac:dyDescent="0.25">
      <c r="E62" s="75"/>
      <c r="F62" s="118" t="s">
        <v>210</v>
      </c>
      <c r="G62" s="118" t="s">
        <v>210</v>
      </c>
      <c r="J62" s="119"/>
      <c r="K62" s="119"/>
      <c r="L62" s="427">
        <v>16549.260014474206</v>
      </c>
      <c r="M62" s="119"/>
      <c r="N62" s="427">
        <v>1046.0114712693974</v>
      </c>
      <c r="O62" s="427">
        <v>620.40066907699111</v>
      </c>
      <c r="P62" s="427">
        <v>193.94488951911072</v>
      </c>
      <c r="Q62" s="119"/>
      <c r="R62" s="119"/>
      <c r="S62" s="119"/>
      <c r="T62" s="119"/>
      <c r="U62" s="119"/>
      <c r="V62" s="119"/>
      <c r="W62" s="119"/>
      <c r="X62" s="119"/>
      <c r="Y62" s="119"/>
    </row>
    <row r="63" spans="5:42" x14ac:dyDescent="0.25">
      <c r="E63" s="75"/>
      <c r="F63" s="118" t="s">
        <v>248</v>
      </c>
      <c r="G63" s="118" t="s">
        <v>249</v>
      </c>
      <c r="J63" s="119"/>
      <c r="K63" s="119"/>
      <c r="L63" s="119"/>
      <c r="M63" s="119"/>
      <c r="N63" s="427">
        <v>396537</v>
      </c>
      <c r="O63" s="427">
        <v>308442</v>
      </c>
      <c r="P63" s="427">
        <v>718872</v>
      </c>
      <c r="Q63" s="119"/>
      <c r="R63" s="119"/>
      <c r="S63" s="119"/>
      <c r="T63" s="119"/>
      <c r="U63" s="119"/>
      <c r="V63" s="119"/>
      <c r="W63" s="119"/>
      <c r="X63" s="119"/>
      <c r="Y63" s="119"/>
    </row>
    <row r="64" spans="5:42" x14ac:dyDescent="0.25">
      <c r="E64" s="75"/>
      <c r="F64" s="118" t="s">
        <v>250</v>
      </c>
      <c r="G64" s="118" t="s">
        <v>249</v>
      </c>
      <c r="J64" s="119"/>
      <c r="K64" s="119"/>
      <c r="L64" s="119"/>
      <c r="M64" s="119"/>
      <c r="N64" s="427">
        <v>1918.6273972602739</v>
      </c>
      <c r="O64" s="427">
        <v>1205.8054794520549</v>
      </c>
      <c r="P64" s="427">
        <v>3922.6410958904112</v>
      </c>
      <c r="Q64" s="119"/>
      <c r="R64" s="119"/>
      <c r="S64" s="119"/>
      <c r="T64" s="119"/>
      <c r="U64" s="119"/>
      <c r="V64" s="119"/>
      <c r="W64" s="119"/>
      <c r="X64" s="119"/>
      <c r="Y64" s="119"/>
    </row>
    <row r="65" spans="4:43" x14ac:dyDescent="0.25">
      <c r="E65" s="75"/>
      <c r="F65" s="120" t="s">
        <v>251</v>
      </c>
      <c r="G65" s="120" t="s">
        <v>252</v>
      </c>
      <c r="H65" s="96"/>
      <c r="I65" s="96"/>
      <c r="J65" s="121"/>
      <c r="K65" s="121"/>
      <c r="L65" s="121"/>
      <c r="M65" s="121"/>
      <c r="N65" s="429">
        <v>48141.654000000002</v>
      </c>
      <c r="O65" s="429">
        <v>41099.591999999997</v>
      </c>
      <c r="P65" s="429">
        <v>167436.514</v>
      </c>
      <c r="Q65" s="121"/>
      <c r="R65" s="121"/>
      <c r="S65" s="121"/>
      <c r="T65" s="121"/>
      <c r="U65" s="121"/>
      <c r="V65" s="121"/>
      <c r="W65" s="121"/>
      <c r="X65" s="121"/>
      <c r="Y65" s="121"/>
    </row>
    <row r="66" spans="4:43" x14ac:dyDescent="0.2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25">
      <c r="D67" s="86" t="s">
        <v>903</v>
      </c>
      <c r="G67" s="61"/>
      <c r="I67" t="s">
        <v>152</v>
      </c>
      <c r="AQ67" t="s">
        <v>244</v>
      </c>
    </row>
    <row r="68" spans="4:43" x14ac:dyDescent="0.25">
      <c r="G68" s="61"/>
    </row>
    <row r="69" spans="4:43" x14ac:dyDescent="0.25">
      <c r="E69" s="75" t="s">
        <v>857</v>
      </c>
      <c r="G69" s="61"/>
    </row>
    <row r="70" spans="4:43" x14ac:dyDescent="0.25">
      <c r="E70" s="75"/>
      <c r="F70" s="116" t="s">
        <v>245</v>
      </c>
      <c r="G70" s="116" t="s">
        <v>205</v>
      </c>
      <c r="H70" s="95"/>
      <c r="I70" s="95"/>
      <c r="J70" s="117"/>
      <c r="K70" s="426">
        <v>0</v>
      </c>
      <c r="L70" s="426">
        <v>0</v>
      </c>
      <c r="M70" s="426">
        <v>0</v>
      </c>
      <c r="N70" s="426">
        <v>0</v>
      </c>
      <c r="O70" s="117"/>
      <c r="P70" s="117"/>
      <c r="Q70" s="117"/>
      <c r="R70" s="426">
        <v>159.863</v>
      </c>
      <c r="S70" s="117"/>
      <c r="T70" s="426">
        <v>0</v>
      </c>
      <c r="U70" s="117"/>
      <c r="V70" s="117"/>
      <c r="W70" s="117"/>
      <c r="X70" s="117"/>
      <c r="Y70" s="117"/>
    </row>
    <row r="71" spans="4:43" x14ac:dyDescent="0.25">
      <c r="E71" s="75"/>
      <c r="F71" s="118" t="s">
        <v>246</v>
      </c>
      <c r="G71" s="118" t="s">
        <v>205</v>
      </c>
      <c r="J71" s="119"/>
      <c r="K71" s="427">
        <v>0</v>
      </c>
      <c r="L71" s="427">
        <v>0</v>
      </c>
      <c r="M71" s="427">
        <v>0</v>
      </c>
      <c r="N71" s="427">
        <v>0</v>
      </c>
      <c r="O71" s="119"/>
      <c r="P71" s="119"/>
      <c r="Q71" s="119"/>
      <c r="R71" s="428">
        <v>706.57100000000003</v>
      </c>
      <c r="S71" s="119"/>
      <c r="T71" s="427">
        <v>0</v>
      </c>
      <c r="U71" s="119"/>
      <c r="V71" s="119"/>
      <c r="W71" s="119"/>
      <c r="X71" s="119"/>
      <c r="Y71" s="119"/>
    </row>
    <row r="72" spans="4:43" x14ac:dyDescent="0.25">
      <c r="E72" s="75"/>
      <c r="F72" s="118" t="s">
        <v>247</v>
      </c>
      <c r="G72" s="118" t="s">
        <v>205</v>
      </c>
      <c r="J72" s="119"/>
      <c r="K72" s="427">
        <v>0</v>
      </c>
      <c r="L72" s="427">
        <v>0</v>
      </c>
      <c r="M72" s="427">
        <v>0</v>
      </c>
      <c r="N72" s="427">
        <v>0</v>
      </c>
      <c r="O72" s="119"/>
      <c r="P72" s="119"/>
      <c r="Q72" s="119"/>
      <c r="R72" s="428">
        <v>409.77800000000002</v>
      </c>
      <c r="S72" s="119"/>
      <c r="T72" s="427">
        <v>0</v>
      </c>
      <c r="U72" s="119"/>
      <c r="V72" s="119"/>
      <c r="W72" s="119"/>
      <c r="X72" s="119"/>
      <c r="Y72" s="119"/>
    </row>
    <row r="73" spans="4:43" x14ac:dyDescent="0.25">
      <c r="E73" s="75"/>
      <c r="F73" s="118" t="s">
        <v>210</v>
      </c>
      <c r="G73" s="118" t="s">
        <v>210</v>
      </c>
      <c r="J73" s="119"/>
      <c r="K73" s="427">
        <v>0</v>
      </c>
      <c r="L73" s="427">
        <v>0</v>
      </c>
      <c r="M73" s="427">
        <v>0</v>
      </c>
      <c r="N73" s="427">
        <v>0</v>
      </c>
      <c r="O73" s="119"/>
      <c r="P73" s="119"/>
      <c r="Q73" s="119"/>
      <c r="R73" s="427">
        <v>395.6</v>
      </c>
      <c r="S73" s="119"/>
      <c r="T73" s="427">
        <v>0</v>
      </c>
      <c r="U73" s="119"/>
      <c r="V73" s="119"/>
      <c r="W73" s="119"/>
      <c r="X73" s="119"/>
      <c r="Y73" s="119"/>
    </row>
    <row r="74" spans="4:43" x14ac:dyDescent="0.25">
      <c r="E74" s="75"/>
      <c r="F74" s="118" t="s">
        <v>248</v>
      </c>
      <c r="G74" s="118" t="s">
        <v>249</v>
      </c>
      <c r="J74" s="119"/>
      <c r="K74" s="119"/>
      <c r="L74" s="119"/>
      <c r="M74" s="119"/>
      <c r="N74" s="427">
        <v>0</v>
      </c>
      <c r="O74" s="119"/>
      <c r="P74" s="119"/>
      <c r="Q74" s="119"/>
      <c r="R74" s="119"/>
      <c r="S74" s="119"/>
      <c r="T74" s="119"/>
      <c r="U74" s="119"/>
      <c r="V74" s="119"/>
      <c r="W74" s="119"/>
      <c r="X74" s="119"/>
      <c r="Y74" s="119"/>
    </row>
    <row r="75" spans="4:43" x14ac:dyDescent="0.25">
      <c r="E75" s="75"/>
      <c r="F75" s="118" t="s">
        <v>250</v>
      </c>
      <c r="G75" s="118" t="s">
        <v>249</v>
      </c>
      <c r="J75" s="119"/>
      <c r="K75" s="119"/>
      <c r="L75" s="119"/>
      <c r="M75" s="119"/>
      <c r="N75" s="427">
        <v>0</v>
      </c>
      <c r="O75" s="119"/>
      <c r="P75" s="119"/>
      <c r="Q75" s="119"/>
      <c r="R75" s="119"/>
      <c r="S75" s="119"/>
      <c r="T75" s="119"/>
      <c r="U75" s="119"/>
      <c r="V75" s="119"/>
      <c r="W75" s="119"/>
      <c r="X75" s="119"/>
      <c r="Y75" s="119"/>
    </row>
    <row r="76" spans="4:43" x14ac:dyDescent="0.25">
      <c r="E76" s="75"/>
      <c r="F76" s="120" t="s">
        <v>251</v>
      </c>
      <c r="G76" s="120" t="s">
        <v>252</v>
      </c>
      <c r="H76" s="96"/>
      <c r="I76" s="96"/>
      <c r="J76" s="121"/>
      <c r="K76" s="121"/>
      <c r="L76" s="121"/>
      <c r="M76" s="121"/>
      <c r="N76" s="429">
        <v>0</v>
      </c>
      <c r="O76" s="121"/>
      <c r="P76" s="121"/>
      <c r="Q76" s="121"/>
      <c r="R76" s="121"/>
      <c r="S76" s="121"/>
      <c r="T76" s="429">
        <v>0</v>
      </c>
      <c r="U76" s="121"/>
      <c r="V76" s="121"/>
      <c r="W76" s="121"/>
      <c r="X76" s="121"/>
      <c r="Y76" s="121"/>
    </row>
    <row r="77" spans="4:43" x14ac:dyDescent="0.2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25">
      <c r="E78" s="75" t="s">
        <v>894</v>
      </c>
      <c r="G78" s="61"/>
    </row>
    <row r="79" spans="4:43" x14ac:dyDescent="0.25">
      <c r="E79" s="75"/>
      <c r="F79" s="116" t="s">
        <v>245</v>
      </c>
      <c r="G79" s="116" t="s">
        <v>205</v>
      </c>
      <c r="H79" s="95"/>
      <c r="I79" s="95"/>
      <c r="J79" s="426">
        <v>16127.506661950501</v>
      </c>
      <c r="K79" s="117"/>
      <c r="L79" s="426">
        <v>329.07846552302044</v>
      </c>
      <c r="M79" s="117"/>
      <c r="N79" s="426">
        <v>69.139060154742793</v>
      </c>
      <c r="O79" s="117"/>
      <c r="P79" s="117"/>
      <c r="Q79" s="426">
        <v>14.024757151810981</v>
      </c>
      <c r="R79" s="117"/>
      <c r="S79" s="117"/>
      <c r="T79" s="117"/>
      <c r="U79" s="117"/>
      <c r="V79" s="117"/>
      <c r="W79" s="117"/>
      <c r="X79" s="117"/>
      <c r="Y79" s="117"/>
    </row>
    <row r="80" spans="4:43" x14ac:dyDescent="0.25">
      <c r="E80" s="75"/>
      <c r="F80" s="118" t="s">
        <v>246</v>
      </c>
      <c r="G80" s="118" t="s">
        <v>205</v>
      </c>
      <c r="J80" s="427">
        <v>39606.222663234104</v>
      </c>
      <c r="K80" s="119"/>
      <c r="L80" s="427">
        <v>1235.1438249573946</v>
      </c>
      <c r="M80" s="126"/>
      <c r="N80" s="427">
        <v>224.9158936646063</v>
      </c>
      <c r="O80" s="119"/>
      <c r="P80" s="119"/>
      <c r="Q80" s="428">
        <v>121.69638635406008</v>
      </c>
      <c r="R80" s="119"/>
      <c r="S80" s="119"/>
      <c r="T80" s="119"/>
      <c r="U80" s="119"/>
      <c r="V80" s="119"/>
      <c r="W80" s="119"/>
      <c r="X80" s="119"/>
      <c r="Y80" s="119"/>
    </row>
    <row r="81" spans="5:42" x14ac:dyDescent="0.25">
      <c r="E81" s="75"/>
      <c r="F81" s="118" t="s">
        <v>247</v>
      </c>
      <c r="G81" s="118" t="s">
        <v>205</v>
      </c>
      <c r="J81" s="427">
        <v>56456.583827742812</v>
      </c>
      <c r="K81" s="119"/>
      <c r="L81" s="427">
        <v>1213.8972596975429</v>
      </c>
      <c r="M81" s="126"/>
      <c r="N81" s="427">
        <v>324.38540708140818</v>
      </c>
      <c r="O81" s="119"/>
      <c r="P81" s="119"/>
      <c r="Q81" s="428">
        <v>188.91722132605392</v>
      </c>
      <c r="R81" s="119"/>
      <c r="S81" s="119"/>
      <c r="T81" s="119"/>
      <c r="U81" s="119"/>
      <c r="V81" s="119"/>
      <c r="W81" s="119"/>
      <c r="X81" s="119"/>
      <c r="Y81" s="119"/>
    </row>
    <row r="82" spans="5:42" x14ac:dyDescent="0.25">
      <c r="E82" s="75"/>
      <c r="F82" s="118" t="s">
        <v>210</v>
      </c>
      <c r="G82" s="118" t="s">
        <v>210</v>
      </c>
      <c r="J82" s="427">
        <v>40123.208470178259</v>
      </c>
      <c r="K82" s="119"/>
      <c r="L82" s="427">
        <v>325.88785128898581</v>
      </c>
      <c r="M82" s="126"/>
      <c r="N82" s="427">
        <v>16.587870269212281</v>
      </c>
      <c r="O82" s="119"/>
      <c r="P82" s="119"/>
      <c r="Q82" s="427">
        <v>168.09041872801774</v>
      </c>
      <c r="R82" s="119"/>
      <c r="S82" s="119"/>
      <c r="T82" s="119"/>
      <c r="U82" s="119"/>
      <c r="V82" s="119"/>
      <c r="W82" s="119"/>
      <c r="X82" s="119"/>
      <c r="Y82" s="119"/>
    </row>
    <row r="83" spans="5:42" x14ac:dyDescent="0.25">
      <c r="E83" s="75"/>
      <c r="F83" s="118" t="s">
        <v>248</v>
      </c>
      <c r="G83" s="118" t="s">
        <v>249</v>
      </c>
      <c r="J83" s="119"/>
      <c r="K83" s="119"/>
      <c r="L83" s="119"/>
      <c r="M83" s="126"/>
      <c r="N83" s="427">
        <v>746</v>
      </c>
      <c r="O83" s="119"/>
      <c r="P83" s="119"/>
      <c r="Q83" s="119"/>
      <c r="R83" s="119"/>
      <c r="S83" s="119"/>
      <c r="T83" s="119"/>
      <c r="U83" s="119"/>
      <c r="V83" s="119"/>
      <c r="W83" s="119"/>
      <c r="X83" s="119"/>
      <c r="Y83" s="119"/>
    </row>
    <row r="84" spans="5:42" x14ac:dyDescent="0.25">
      <c r="E84" s="75"/>
      <c r="F84" s="118" t="s">
        <v>250</v>
      </c>
      <c r="G84" s="118" t="s">
        <v>249</v>
      </c>
      <c r="J84" s="119"/>
      <c r="K84" s="119"/>
      <c r="L84" s="119"/>
      <c r="M84" s="126"/>
      <c r="N84" s="427">
        <v>16.265753424657536</v>
      </c>
      <c r="O84" s="119"/>
      <c r="P84" s="119"/>
      <c r="Q84" s="119"/>
      <c r="R84" s="119"/>
      <c r="S84" s="119"/>
      <c r="T84" s="119"/>
      <c r="U84" s="119"/>
      <c r="V84" s="119"/>
      <c r="W84" s="119"/>
      <c r="X84" s="119"/>
      <c r="Y84" s="119"/>
    </row>
    <row r="85" spans="5:42" x14ac:dyDescent="0.25">
      <c r="E85" s="75"/>
      <c r="F85" s="120" t="s">
        <v>251</v>
      </c>
      <c r="G85" s="120" t="s">
        <v>252</v>
      </c>
      <c r="H85" s="96"/>
      <c r="I85" s="96"/>
      <c r="J85" s="121"/>
      <c r="K85" s="121"/>
      <c r="L85" s="121"/>
      <c r="M85" s="121"/>
      <c r="N85" s="429">
        <v>10.371</v>
      </c>
      <c r="O85" s="121"/>
      <c r="P85" s="121"/>
      <c r="Q85" s="121"/>
      <c r="R85" s="121"/>
      <c r="S85" s="121"/>
      <c r="T85" s="121"/>
      <c r="U85" s="121"/>
      <c r="V85" s="121"/>
      <c r="W85" s="121"/>
      <c r="X85" s="121"/>
      <c r="Y85" s="121"/>
    </row>
    <row r="86" spans="5:42" x14ac:dyDescent="0.2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25">
      <c r="E87" s="75" t="s">
        <v>895</v>
      </c>
      <c r="G87" s="61"/>
    </row>
    <row r="88" spans="5:42" x14ac:dyDescent="0.25">
      <c r="E88" s="75"/>
      <c r="F88" s="116" t="s">
        <v>245</v>
      </c>
      <c r="G88" s="116" t="s">
        <v>205</v>
      </c>
      <c r="H88" s="95"/>
      <c r="I88" s="95"/>
      <c r="J88" s="117"/>
      <c r="K88" s="117"/>
      <c r="L88" s="426">
        <v>93.827394510249619</v>
      </c>
      <c r="M88" s="117"/>
      <c r="N88" s="426">
        <v>720.85360039384284</v>
      </c>
      <c r="O88" s="117"/>
      <c r="P88" s="117"/>
      <c r="Q88" s="117"/>
      <c r="R88" s="117"/>
      <c r="S88" s="117"/>
      <c r="T88" s="117"/>
      <c r="U88" s="117"/>
      <c r="V88" s="117"/>
      <c r="W88" s="117"/>
      <c r="X88" s="117"/>
      <c r="Y88" s="117"/>
    </row>
    <row r="89" spans="5:42" x14ac:dyDescent="0.25">
      <c r="E89" s="75"/>
      <c r="F89" s="118" t="s">
        <v>246</v>
      </c>
      <c r="G89" s="118" t="s">
        <v>205</v>
      </c>
      <c r="J89" s="119"/>
      <c r="K89" s="119"/>
      <c r="L89" s="427">
        <v>350.01259872653554</v>
      </c>
      <c r="M89" s="119"/>
      <c r="N89" s="427">
        <v>1902.5677891009304</v>
      </c>
      <c r="O89" s="119"/>
      <c r="P89" s="119"/>
      <c r="Q89" s="119"/>
      <c r="R89" s="119"/>
      <c r="S89" s="119"/>
      <c r="T89" s="119"/>
      <c r="U89" s="119"/>
      <c r="V89" s="119"/>
      <c r="W89" s="119"/>
      <c r="X89" s="119"/>
      <c r="Y89" s="119"/>
    </row>
    <row r="90" spans="5:42" x14ac:dyDescent="0.25">
      <c r="E90" s="75"/>
      <c r="F90" s="118" t="s">
        <v>247</v>
      </c>
      <c r="G90" s="118" t="s">
        <v>205</v>
      </c>
      <c r="J90" s="119"/>
      <c r="K90" s="119"/>
      <c r="L90" s="427">
        <v>347.81386389483004</v>
      </c>
      <c r="M90" s="119"/>
      <c r="N90" s="427">
        <v>2391.6379085410845</v>
      </c>
      <c r="O90" s="119"/>
      <c r="P90" s="119"/>
      <c r="Q90" s="119"/>
      <c r="R90" s="119"/>
      <c r="S90" s="119"/>
      <c r="T90" s="119"/>
      <c r="U90" s="119"/>
      <c r="V90" s="119"/>
      <c r="W90" s="119"/>
      <c r="X90" s="119"/>
      <c r="Y90" s="119"/>
    </row>
    <row r="91" spans="5:42" x14ac:dyDescent="0.25">
      <c r="E91" s="75"/>
      <c r="F91" s="118" t="s">
        <v>210</v>
      </c>
      <c r="G91" s="118" t="s">
        <v>210</v>
      </c>
      <c r="J91" s="119"/>
      <c r="K91" s="119"/>
      <c r="L91" s="427">
        <v>74.815548214216406</v>
      </c>
      <c r="M91" s="119"/>
      <c r="N91" s="427">
        <v>68.903461118266407</v>
      </c>
      <c r="O91" s="119"/>
      <c r="P91" s="119"/>
      <c r="Q91" s="119"/>
      <c r="R91" s="119"/>
      <c r="S91" s="119"/>
      <c r="T91" s="119"/>
      <c r="U91" s="119"/>
      <c r="V91" s="119"/>
      <c r="W91" s="119"/>
      <c r="X91" s="119"/>
      <c r="Y91" s="119"/>
    </row>
    <row r="92" spans="5:42" x14ac:dyDescent="0.25">
      <c r="E92" s="75"/>
      <c r="F92" s="118" t="s">
        <v>248</v>
      </c>
      <c r="G92" s="118" t="s">
        <v>249</v>
      </c>
      <c r="J92" s="119"/>
      <c r="K92" s="119"/>
      <c r="L92" s="119"/>
      <c r="M92" s="119"/>
      <c r="N92" s="427">
        <v>5999</v>
      </c>
      <c r="O92" s="119"/>
      <c r="P92" s="119"/>
      <c r="Q92" s="119"/>
      <c r="R92" s="119"/>
      <c r="S92" s="119"/>
      <c r="T92" s="119"/>
      <c r="U92" s="119"/>
      <c r="V92" s="119"/>
      <c r="W92" s="119"/>
      <c r="X92" s="119"/>
      <c r="Y92" s="119"/>
    </row>
    <row r="93" spans="5:42" x14ac:dyDescent="0.25">
      <c r="E93" s="75"/>
      <c r="F93" s="118" t="s">
        <v>250</v>
      </c>
      <c r="G93" s="118" t="s">
        <v>249</v>
      </c>
      <c r="J93" s="119"/>
      <c r="K93" s="119"/>
      <c r="L93" s="119"/>
      <c r="M93" s="119"/>
      <c r="N93" s="427">
        <v>0</v>
      </c>
      <c r="O93" s="119"/>
      <c r="P93" s="119"/>
      <c r="Q93" s="119"/>
      <c r="R93" s="119"/>
      <c r="S93" s="119"/>
      <c r="T93" s="119"/>
      <c r="U93" s="119"/>
      <c r="V93" s="119"/>
      <c r="W93" s="119"/>
      <c r="X93" s="119"/>
      <c r="Y93" s="119"/>
    </row>
    <row r="94" spans="5:42" x14ac:dyDescent="0.25">
      <c r="E94" s="75"/>
      <c r="F94" s="120" t="s">
        <v>251</v>
      </c>
      <c r="G94" s="120" t="s">
        <v>252</v>
      </c>
      <c r="H94" s="96"/>
      <c r="I94" s="96"/>
      <c r="J94" s="121"/>
      <c r="K94" s="121"/>
      <c r="L94" s="121"/>
      <c r="M94" s="121"/>
      <c r="N94" s="429">
        <v>381.089</v>
      </c>
      <c r="O94" s="121"/>
      <c r="P94" s="121"/>
      <c r="Q94" s="121"/>
      <c r="R94" s="121"/>
      <c r="S94" s="121"/>
      <c r="T94" s="121"/>
      <c r="U94" s="121"/>
      <c r="V94" s="121"/>
      <c r="W94" s="121"/>
      <c r="X94" s="121"/>
      <c r="Y94" s="121"/>
    </row>
    <row r="95" spans="5:42" x14ac:dyDescent="0.2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25">
      <c r="E96" s="75" t="s">
        <v>896</v>
      </c>
      <c r="G96" s="61"/>
    </row>
    <row r="97" spans="5:42" x14ac:dyDescent="0.25">
      <c r="E97" s="75"/>
      <c r="F97" s="116" t="s">
        <v>245</v>
      </c>
      <c r="G97" s="116" t="s">
        <v>205</v>
      </c>
      <c r="H97" s="95"/>
      <c r="I97" s="95"/>
      <c r="J97" s="117"/>
      <c r="K97" s="117"/>
      <c r="L97" s="426">
        <v>118.17195849188202</v>
      </c>
      <c r="M97" s="117"/>
      <c r="N97" s="426">
        <v>1229.971444169684</v>
      </c>
      <c r="O97" s="117"/>
      <c r="P97" s="117"/>
      <c r="Q97" s="117"/>
      <c r="R97" s="117"/>
      <c r="S97" s="117"/>
      <c r="T97" s="117"/>
      <c r="U97" s="117"/>
      <c r="V97" s="117"/>
      <c r="W97" s="117"/>
      <c r="X97" s="117"/>
      <c r="Y97" s="117"/>
    </row>
    <row r="98" spans="5:42" x14ac:dyDescent="0.25">
      <c r="E98" s="75"/>
      <c r="F98" s="118" t="s">
        <v>246</v>
      </c>
      <c r="G98" s="118" t="s">
        <v>205</v>
      </c>
      <c r="J98" s="119"/>
      <c r="K98" s="119"/>
      <c r="L98" s="427">
        <v>439.04272692967311</v>
      </c>
      <c r="M98" s="119"/>
      <c r="N98" s="427">
        <v>3649.5449112820097</v>
      </c>
      <c r="O98" s="119"/>
      <c r="P98" s="119"/>
      <c r="Q98" s="119"/>
      <c r="R98" s="119"/>
      <c r="S98" s="119"/>
      <c r="T98" s="119"/>
      <c r="U98" s="119"/>
      <c r="V98" s="119"/>
      <c r="W98" s="119"/>
      <c r="X98" s="119"/>
      <c r="Y98" s="119"/>
    </row>
    <row r="99" spans="5:42" x14ac:dyDescent="0.25">
      <c r="E99" s="75"/>
      <c r="F99" s="118" t="s">
        <v>247</v>
      </c>
      <c r="G99" s="118" t="s">
        <v>205</v>
      </c>
      <c r="J99" s="119"/>
      <c r="K99" s="119"/>
      <c r="L99" s="427">
        <v>449.68866278313999</v>
      </c>
      <c r="M99" s="119"/>
      <c r="N99" s="427">
        <v>4431.4649009080076</v>
      </c>
      <c r="O99" s="119"/>
      <c r="P99" s="119"/>
      <c r="Q99" s="119"/>
      <c r="R99" s="119"/>
      <c r="S99" s="119"/>
      <c r="T99" s="119"/>
      <c r="U99" s="119"/>
      <c r="V99" s="119"/>
      <c r="W99" s="119"/>
      <c r="X99" s="119"/>
      <c r="Y99" s="119"/>
    </row>
    <row r="100" spans="5:42" x14ac:dyDescent="0.25">
      <c r="E100" s="75"/>
      <c r="F100" s="118" t="s">
        <v>210</v>
      </c>
      <c r="G100" s="118" t="s">
        <v>210</v>
      </c>
      <c r="J100" s="119"/>
      <c r="K100" s="119"/>
      <c r="L100" s="427">
        <v>95.699251553147761</v>
      </c>
      <c r="M100" s="119"/>
      <c r="N100" s="427">
        <v>63.799501035431824</v>
      </c>
      <c r="O100" s="119"/>
      <c r="P100" s="119"/>
      <c r="Q100" s="119"/>
      <c r="R100" s="119"/>
      <c r="S100" s="119"/>
      <c r="T100" s="119"/>
      <c r="U100" s="119"/>
      <c r="V100" s="119"/>
      <c r="W100" s="119"/>
      <c r="X100" s="119"/>
      <c r="Y100" s="119"/>
    </row>
    <row r="101" spans="5:42" x14ac:dyDescent="0.25">
      <c r="E101" s="75"/>
      <c r="F101" s="118" t="s">
        <v>248</v>
      </c>
      <c r="G101" s="118" t="s">
        <v>249</v>
      </c>
      <c r="J101" s="119"/>
      <c r="K101" s="119"/>
      <c r="L101" s="119"/>
      <c r="M101" s="119"/>
      <c r="N101" s="427">
        <v>8922</v>
      </c>
      <c r="O101" s="119"/>
      <c r="P101" s="119"/>
      <c r="Q101" s="119"/>
      <c r="R101" s="119"/>
      <c r="S101" s="119"/>
      <c r="T101" s="119"/>
      <c r="U101" s="119"/>
      <c r="V101" s="119"/>
      <c r="W101" s="119"/>
      <c r="X101" s="119"/>
      <c r="Y101" s="119"/>
    </row>
    <row r="102" spans="5:42" x14ac:dyDescent="0.25">
      <c r="E102" s="75"/>
      <c r="F102" s="118" t="s">
        <v>250</v>
      </c>
      <c r="G102" s="118" t="s">
        <v>249</v>
      </c>
      <c r="J102" s="119"/>
      <c r="K102" s="119"/>
      <c r="L102" s="119"/>
      <c r="M102" s="119"/>
      <c r="N102" s="427">
        <v>3.5671232876712327</v>
      </c>
      <c r="O102" s="119"/>
      <c r="P102" s="119"/>
      <c r="Q102" s="119"/>
      <c r="R102" s="119"/>
      <c r="S102" s="119"/>
      <c r="T102" s="119"/>
      <c r="U102" s="119"/>
      <c r="V102" s="119"/>
      <c r="W102" s="119"/>
      <c r="X102" s="119"/>
      <c r="Y102" s="119"/>
    </row>
    <row r="103" spans="5:42" x14ac:dyDescent="0.25">
      <c r="E103" s="75"/>
      <c r="F103" s="120" t="s">
        <v>251</v>
      </c>
      <c r="G103" s="120" t="s">
        <v>252</v>
      </c>
      <c r="H103" s="96"/>
      <c r="I103" s="96"/>
      <c r="J103" s="121"/>
      <c r="K103" s="121"/>
      <c r="L103" s="121"/>
      <c r="M103" s="121"/>
      <c r="N103" s="429">
        <v>516.75760000000002</v>
      </c>
      <c r="O103" s="121"/>
      <c r="P103" s="121"/>
      <c r="Q103" s="121"/>
      <c r="R103" s="121"/>
      <c r="S103" s="121"/>
      <c r="T103" s="121"/>
      <c r="U103" s="121"/>
      <c r="V103" s="121"/>
      <c r="W103" s="121"/>
      <c r="X103" s="121"/>
      <c r="Y103" s="121"/>
    </row>
    <row r="104" spans="5:42" x14ac:dyDescent="0.2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25">
      <c r="E105" s="75" t="s">
        <v>897</v>
      </c>
      <c r="G105" s="61"/>
    </row>
    <row r="106" spans="5:42" x14ac:dyDescent="0.25">
      <c r="E106" s="75"/>
      <c r="F106" s="116" t="s">
        <v>245</v>
      </c>
      <c r="G106" s="116" t="s">
        <v>205</v>
      </c>
      <c r="H106" s="95"/>
      <c r="I106" s="95"/>
      <c r="J106" s="117"/>
      <c r="K106" s="117"/>
      <c r="L106" s="426">
        <v>61.470355801425313</v>
      </c>
      <c r="M106" s="117"/>
      <c r="N106" s="426">
        <v>651.8457421548685</v>
      </c>
      <c r="O106" s="117"/>
      <c r="P106" s="117"/>
      <c r="Q106" s="117"/>
      <c r="R106" s="117"/>
      <c r="S106" s="117"/>
      <c r="T106" s="117"/>
      <c r="U106" s="117"/>
      <c r="V106" s="117"/>
      <c r="W106" s="117"/>
      <c r="X106" s="117"/>
      <c r="Y106" s="117"/>
    </row>
    <row r="107" spans="5:42" x14ac:dyDescent="0.25">
      <c r="E107" s="75"/>
      <c r="F107" s="118" t="s">
        <v>246</v>
      </c>
      <c r="G107" s="118" t="s">
        <v>205</v>
      </c>
      <c r="J107" s="119"/>
      <c r="K107" s="119"/>
      <c r="L107" s="427">
        <v>224.5665870758485</v>
      </c>
      <c r="M107" s="119"/>
      <c r="N107" s="427">
        <v>2358.5634723120479</v>
      </c>
      <c r="O107" s="119"/>
      <c r="P107" s="119"/>
      <c r="Q107" s="119"/>
      <c r="R107" s="119"/>
      <c r="S107" s="119"/>
      <c r="T107" s="119"/>
      <c r="U107" s="119"/>
      <c r="V107" s="119"/>
      <c r="W107" s="119"/>
      <c r="X107" s="119"/>
      <c r="Y107" s="119"/>
    </row>
    <row r="108" spans="5:42" x14ac:dyDescent="0.25">
      <c r="E108" s="75"/>
      <c r="F108" s="118" t="s">
        <v>247</v>
      </c>
      <c r="G108" s="118" t="s">
        <v>205</v>
      </c>
      <c r="J108" s="119"/>
      <c r="K108" s="119"/>
      <c r="L108" s="427">
        <v>230.16194603042726</v>
      </c>
      <c r="M108" s="119"/>
      <c r="N108" s="427">
        <v>2717.5809132152681</v>
      </c>
      <c r="O108" s="119"/>
      <c r="P108" s="119"/>
      <c r="Q108" s="119"/>
      <c r="R108" s="119"/>
      <c r="S108" s="119"/>
      <c r="T108" s="119"/>
      <c r="U108" s="119"/>
      <c r="V108" s="119"/>
      <c r="W108" s="119"/>
      <c r="X108" s="119"/>
      <c r="Y108" s="119"/>
    </row>
    <row r="109" spans="5:42" x14ac:dyDescent="0.25">
      <c r="E109" s="75"/>
      <c r="F109" s="118" t="s">
        <v>210</v>
      </c>
      <c r="G109" s="118" t="s">
        <v>210</v>
      </c>
      <c r="J109" s="119"/>
      <c r="K109" s="119"/>
      <c r="L109" s="427">
        <v>51.16719983041633</v>
      </c>
      <c r="M109" s="119"/>
      <c r="N109" s="427">
        <v>22.967820372755462</v>
      </c>
      <c r="O109" s="119"/>
      <c r="P109" s="119"/>
      <c r="Q109" s="119"/>
      <c r="R109" s="119"/>
      <c r="S109" s="119"/>
      <c r="T109" s="119"/>
      <c r="U109" s="119"/>
      <c r="V109" s="119"/>
      <c r="W109" s="119"/>
      <c r="X109" s="119"/>
      <c r="Y109" s="119"/>
    </row>
    <row r="110" spans="5:42" x14ac:dyDescent="0.25">
      <c r="E110" s="75"/>
      <c r="F110" s="118" t="s">
        <v>248</v>
      </c>
      <c r="G110" s="118" t="s">
        <v>249</v>
      </c>
      <c r="J110" s="119"/>
      <c r="K110" s="119"/>
      <c r="L110" s="119"/>
      <c r="M110" s="119"/>
      <c r="N110" s="427">
        <v>6146</v>
      </c>
      <c r="O110" s="119"/>
      <c r="P110" s="119"/>
      <c r="Q110" s="119"/>
      <c r="R110" s="119"/>
      <c r="S110" s="119"/>
      <c r="T110" s="119"/>
      <c r="U110" s="119"/>
      <c r="V110" s="119"/>
      <c r="W110" s="119"/>
      <c r="X110" s="119"/>
      <c r="Y110" s="119"/>
    </row>
    <row r="111" spans="5:42" x14ac:dyDescent="0.25">
      <c r="E111" s="75"/>
      <c r="F111" s="118" t="s">
        <v>250</v>
      </c>
      <c r="G111" s="118" t="s">
        <v>249</v>
      </c>
      <c r="J111" s="119"/>
      <c r="K111" s="119"/>
      <c r="L111" s="119"/>
      <c r="M111" s="119"/>
      <c r="N111" s="427">
        <v>0</v>
      </c>
      <c r="O111" s="119"/>
      <c r="P111" s="119"/>
      <c r="Q111" s="119"/>
      <c r="R111" s="119"/>
      <c r="S111" s="119"/>
      <c r="T111" s="119"/>
      <c r="U111" s="119"/>
      <c r="V111" s="119"/>
      <c r="W111" s="119"/>
      <c r="X111" s="119"/>
      <c r="Y111" s="119"/>
    </row>
    <row r="112" spans="5:42" x14ac:dyDescent="0.25">
      <c r="E112" s="75"/>
      <c r="F112" s="120" t="s">
        <v>251</v>
      </c>
      <c r="G112" s="120" t="s">
        <v>252</v>
      </c>
      <c r="H112" s="96"/>
      <c r="I112" s="96"/>
      <c r="J112" s="121"/>
      <c r="K112" s="121"/>
      <c r="L112" s="121"/>
      <c r="M112" s="121"/>
      <c r="N112" s="429">
        <v>359.30200000000002</v>
      </c>
      <c r="O112" s="121"/>
      <c r="P112" s="121"/>
      <c r="Q112" s="121"/>
      <c r="R112" s="121"/>
      <c r="S112" s="121"/>
      <c r="T112" s="121"/>
      <c r="U112" s="121"/>
      <c r="V112" s="121"/>
      <c r="W112" s="121"/>
      <c r="X112" s="121"/>
      <c r="Y112" s="121"/>
    </row>
    <row r="113" spans="4:43" x14ac:dyDescent="0.2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25">
      <c r="D114" s="86" t="s">
        <v>904</v>
      </c>
      <c r="G114" s="61"/>
      <c r="I114" t="s">
        <v>152</v>
      </c>
      <c r="AQ114" t="s">
        <v>244</v>
      </c>
    </row>
    <row r="115" spans="4:43" x14ac:dyDescent="0.25">
      <c r="G115" s="61"/>
    </row>
    <row r="116" spans="4:43" x14ac:dyDescent="0.25">
      <c r="E116" s="75" t="s">
        <v>858</v>
      </c>
      <c r="G116" s="61"/>
    </row>
    <row r="117" spans="4:43" x14ac:dyDescent="0.25">
      <c r="E117" s="75"/>
      <c r="F117" s="116" t="s">
        <v>245</v>
      </c>
      <c r="G117" s="116" t="s">
        <v>205</v>
      </c>
      <c r="H117" s="95"/>
      <c r="I117" s="95"/>
      <c r="J117" s="117"/>
      <c r="K117" s="426">
        <v>0</v>
      </c>
      <c r="L117" s="426">
        <v>0</v>
      </c>
      <c r="M117" s="426">
        <v>0</v>
      </c>
      <c r="N117" s="426">
        <v>0</v>
      </c>
      <c r="O117" s="426">
        <v>0</v>
      </c>
      <c r="P117" s="426">
        <v>0</v>
      </c>
      <c r="Q117" s="117"/>
      <c r="R117" s="426">
        <v>230.125</v>
      </c>
      <c r="S117" s="426">
        <v>0</v>
      </c>
      <c r="T117" s="426">
        <v>84.814999999999998</v>
      </c>
      <c r="U117" s="117"/>
      <c r="V117" s="426">
        <v>0.17</v>
      </c>
      <c r="W117" s="117"/>
      <c r="X117" s="426">
        <v>0</v>
      </c>
      <c r="Y117" s="117"/>
    </row>
    <row r="118" spans="4:43" x14ac:dyDescent="0.25">
      <c r="E118" s="75"/>
      <c r="F118" s="118" t="s">
        <v>246</v>
      </c>
      <c r="G118" s="118" t="s">
        <v>205</v>
      </c>
      <c r="J118" s="119"/>
      <c r="K118" s="427">
        <v>0</v>
      </c>
      <c r="L118" s="427">
        <v>0</v>
      </c>
      <c r="M118" s="427">
        <v>0</v>
      </c>
      <c r="N118" s="427">
        <v>0</v>
      </c>
      <c r="O118" s="427">
        <v>0</v>
      </c>
      <c r="P118" s="427">
        <v>0</v>
      </c>
      <c r="Q118" s="119"/>
      <c r="R118" s="428">
        <v>984.601</v>
      </c>
      <c r="S118" s="428">
        <v>0</v>
      </c>
      <c r="T118" s="427">
        <v>251.92699999999999</v>
      </c>
      <c r="U118" s="119"/>
      <c r="V118" s="427">
        <v>1.5920000000000001</v>
      </c>
      <c r="W118" s="119"/>
      <c r="X118" s="427">
        <v>0</v>
      </c>
      <c r="Y118" s="119"/>
    </row>
    <row r="119" spans="4:43" x14ac:dyDescent="0.25">
      <c r="E119" s="75"/>
      <c r="F119" s="118" t="s">
        <v>247</v>
      </c>
      <c r="G119" s="118" t="s">
        <v>205</v>
      </c>
      <c r="J119" s="119"/>
      <c r="K119" s="427">
        <v>0</v>
      </c>
      <c r="L119" s="427">
        <v>0</v>
      </c>
      <c r="M119" s="427">
        <v>0</v>
      </c>
      <c r="N119" s="427">
        <v>0</v>
      </c>
      <c r="O119" s="427">
        <v>0</v>
      </c>
      <c r="P119" s="427">
        <v>0</v>
      </c>
      <c r="Q119" s="119"/>
      <c r="R119" s="428">
        <v>580.29999999999995</v>
      </c>
      <c r="S119" s="428">
        <v>0</v>
      </c>
      <c r="T119" s="427">
        <v>504.68799999999999</v>
      </c>
      <c r="U119" s="119"/>
      <c r="V119" s="427">
        <v>1.3879999999999999</v>
      </c>
      <c r="W119" s="119"/>
      <c r="X119" s="427">
        <v>0</v>
      </c>
      <c r="Y119" s="119"/>
    </row>
    <row r="120" spans="4:43" x14ac:dyDescent="0.25">
      <c r="E120" s="75"/>
      <c r="F120" s="118" t="s">
        <v>210</v>
      </c>
      <c r="G120" s="118" t="s">
        <v>210</v>
      </c>
      <c r="J120" s="119"/>
      <c r="K120" s="427">
        <v>0</v>
      </c>
      <c r="L120" s="427">
        <v>0</v>
      </c>
      <c r="M120" s="427">
        <v>0</v>
      </c>
      <c r="N120" s="427">
        <v>0</v>
      </c>
      <c r="O120" s="427">
        <v>0</v>
      </c>
      <c r="P120" s="427">
        <v>0</v>
      </c>
      <c r="Q120" s="119"/>
      <c r="R120" s="427">
        <v>673.7</v>
      </c>
      <c r="S120" s="427">
        <v>0</v>
      </c>
      <c r="T120" s="427">
        <v>11</v>
      </c>
      <c r="U120" s="119"/>
      <c r="V120" s="427">
        <v>1</v>
      </c>
      <c r="W120" s="119"/>
      <c r="X120" s="427">
        <v>0</v>
      </c>
      <c r="Y120" s="119"/>
    </row>
    <row r="121" spans="4:43" x14ac:dyDescent="0.25">
      <c r="E121" s="75"/>
      <c r="F121" s="118" t="s">
        <v>248</v>
      </c>
      <c r="G121" s="118" t="s">
        <v>249</v>
      </c>
      <c r="J121" s="119"/>
      <c r="K121" s="119"/>
      <c r="L121" s="119"/>
      <c r="M121" s="119"/>
      <c r="N121" s="427">
        <v>0</v>
      </c>
      <c r="O121" s="427">
        <v>0</v>
      </c>
      <c r="P121" s="427">
        <v>0</v>
      </c>
      <c r="Q121" s="119"/>
      <c r="R121" s="119"/>
      <c r="S121" s="119"/>
      <c r="T121" s="119"/>
      <c r="U121" s="119"/>
      <c r="V121" s="119"/>
      <c r="W121" s="119"/>
      <c r="X121" s="119"/>
      <c r="Y121" s="119"/>
    </row>
    <row r="122" spans="4:43" x14ac:dyDescent="0.25">
      <c r="E122" s="75"/>
      <c r="F122" s="118" t="s">
        <v>250</v>
      </c>
      <c r="G122" s="118" t="s">
        <v>249</v>
      </c>
      <c r="J122" s="119"/>
      <c r="K122" s="119"/>
      <c r="L122" s="119"/>
      <c r="M122" s="119"/>
      <c r="N122" s="427">
        <v>0</v>
      </c>
      <c r="O122" s="427">
        <v>0</v>
      </c>
      <c r="P122" s="427">
        <v>0</v>
      </c>
      <c r="Q122" s="119"/>
      <c r="R122" s="119"/>
      <c r="S122" s="119"/>
      <c r="T122" s="119"/>
      <c r="U122" s="119"/>
      <c r="V122" s="119"/>
      <c r="W122" s="119"/>
      <c r="X122" s="119"/>
      <c r="Y122" s="119"/>
    </row>
    <row r="123" spans="4:43" x14ac:dyDescent="0.25">
      <c r="E123" s="75"/>
      <c r="F123" s="120" t="s">
        <v>251</v>
      </c>
      <c r="G123" s="120" t="s">
        <v>252</v>
      </c>
      <c r="H123" s="96"/>
      <c r="I123" s="96"/>
      <c r="J123" s="121"/>
      <c r="K123" s="121"/>
      <c r="L123" s="121"/>
      <c r="M123" s="121"/>
      <c r="N123" s="429">
        <v>0</v>
      </c>
      <c r="O123" s="429">
        <v>0</v>
      </c>
      <c r="P123" s="429">
        <v>0</v>
      </c>
      <c r="Q123" s="121"/>
      <c r="R123" s="121"/>
      <c r="S123" s="121"/>
      <c r="T123" s="429">
        <v>646.82399999999996</v>
      </c>
      <c r="U123" s="121"/>
      <c r="V123" s="429">
        <v>1.1100000000000001</v>
      </c>
      <c r="W123" s="121"/>
      <c r="X123" s="429">
        <v>0</v>
      </c>
      <c r="Y123" s="121"/>
    </row>
    <row r="124" spans="4:43" x14ac:dyDescent="0.2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25">
      <c r="E125" s="75" t="s">
        <v>898</v>
      </c>
      <c r="G125" s="61"/>
    </row>
    <row r="126" spans="4:43" x14ac:dyDescent="0.25">
      <c r="E126" s="75"/>
      <c r="F126" s="116" t="s">
        <v>245</v>
      </c>
      <c r="G126" s="116" t="s">
        <v>205</v>
      </c>
      <c r="H126" s="95"/>
      <c r="I126" s="95"/>
      <c r="J126" s="426">
        <v>31829.037375021369</v>
      </c>
      <c r="K126" s="117"/>
      <c r="L126" s="426">
        <v>643.82002526439703</v>
      </c>
      <c r="M126" s="117"/>
      <c r="N126" s="426">
        <v>355.27523191957931</v>
      </c>
      <c r="O126" s="426">
        <v>21.920595632617061</v>
      </c>
      <c r="P126" s="426">
        <v>70.258122065776249</v>
      </c>
      <c r="Q126" s="426">
        <v>40.707850525482606</v>
      </c>
      <c r="R126" s="117"/>
      <c r="S126" s="117"/>
      <c r="T126" s="117"/>
      <c r="U126" s="117"/>
      <c r="V126" s="117"/>
      <c r="W126" s="117"/>
      <c r="X126" s="117"/>
      <c r="Y126" s="117"/>
    </row>
    <row r="127" spans="4:43" x14ac:dyDescent="0.25">
      <c r="E127" s="75"/>
      <c r="F127" s="118" t="s">
        <v>246</v>
      </c>
      <c r="G127" s="118" t="s">
        <v>205</v>
      </c>
      <c r="J127" s="427">
        <v>79080.430414891482</v>
      </c>
      <c r="K127" s="119"/>
      <c r="L127" s="427">
        <v>2405.0519923834713</v>
      </c>
      <c r="M127" s="126"/>
      <c r="N127" s="427">
        <v>1195.1781652446687</v>
      </c>
      <c r="O127" s="427">
        <v>79.699102276418756</v>
      </c>
      <c r="P127" s="427">
        <v>209.75268025935443</v>
      </c>
      <c r="Q127" s="428">
        <v>377.84831934996407</v>
      </c>
      <c r="R127" s="119"/>
      <c r="S127" s="119"/>
      <c r="T127" s="119"/>
      <c r="U127" s="119"/>
      <c r="V127" s="119"/>
      <c r="W127" s="119"/>
      <c r="X127" s="119"/>
      <c r="Y127" s="119"/>
    </row>
    <row r="128" spans="4:43" x14ac:dyDescent="0.25">
      <c r="E128" s="75"/>
      <c r="F128" s="118" t="s">
        <v>247</v>
      </c>
      <c r="G128" s="118" t="s">
        <v>205</v>
      </c>
      <c r="J128" s="427">
        <v>118157.8057162469</v>
      </c>
      <c r="K128" s="119"/>
      <c r="L128" s="427">
        <v>2463.3335185133765</v>
      </c>
      <c r="M128" s="126"/>
      <c r="N128" s="427">
        <v>1500.0113393091394</v>
      </c>
      <c r="O128" s="427">
        <v>80.365104526443531</v>
      </c>
      <c r="P128" s="427">
        <v>176.04767660096385</v>
      </c>
      <c r="Q128" s="428">
        <v>604.00730285321674</v>
      </c>
      <c r="R128" s="119"/>
      <c r="S128" s="119"/>
      <c r="T128" s="119"/>
      <c r="U128" s="119"/>
      <c r="V128" s="119"/>
      <c r="W128" s="119"/>
      <c r="X128" s="119"/>
      <c r="Y128" s="119"/>
    </row>
    <row r="129" spans="5:42" x14ac:dyDescent="0.25">
      <c r="E129" s="75"/>
      <c r="F129" s="118" t="s">
        <v>210</v>
      </c>
      <c r="G129" s="118" t="s">
        <v>210</v>
      </c>
      <c r="J129" s="427">
        <v>76462.255868941589</v>
      </c>
      <c r="K129" s="119"/>
      <c r="L129" s="427">
        <v>553.94980099030954</v>
      </c>
      <c r="M129" s="126"/>
      <c r="N129" s="427">
        <v>57.419550931888651</v>
      </c>
      <c r="O129" s="427">
        <v>1</v>
      </c>
      <c r="P129" s="427">
        <v>7.6559401242518197</v>
      </c>
      <c r="Q129" s="427">
        <v>290.92572472156917</v>
      </c>
      <c r="R129" s="119"/>
      <c r="S129" s="119"/>
      <c r="T129" s="119"/>
      <c r="U129" s="119"/>
      <c r="V129" s="119"/>
      <c r="W129" s="119"/>
      <c r="X129" s="119"/>
      <c r="Y129" s="119"/>
    </row>
    <row r="130" spans="5:42" x14ac:dyDescent="0.25">
      <c r="E130" s="75"/>
      <c r="F130" s="118" t="s">
        <v>248</v>
      </c>
      <c r="G130" s="118" t="s">
        <v>249</v>
      </c>
      <c r="J130" s="119"/>
      <c r="K130" s="119"/>
      <c r="L130" s="119"/>
      <c r="M130" s="126"/>
      <c r="N130" s="427">
        <v>5717</v>
      </c>
      <c r="O130" s="427">
        <v>0</v>
      </c>
      <c r="P130" s="427">
        <v>1515</v>
      </c>
      <c r="Q130" s="119"/>
      <c r="R130" s="119"/>
      <c r="S130" s="119"/>
      <c r="T130" s="119"/>
      <c r="U130" s="119"/>
      <c r="V130" s="119"/>
      <c r="W130" s="119"/>
      <c r="X130" s="119"/>
      <c r="Y130" s="119"/>
    </row>
    <row r="131" spans="5:42" x14ac:dyDescent="0.25">
      <c r="E131" s="75"/>
      <c r="F131" s="118" t="s">
        <v>250</v>
      </c>
      <c r="G131" s="118" t="s">
        <v>249</v>
      </c>
      <c r="J131" s="119"/>
      <c r="K131" s="119"/>
      <c r="L131" s="119"/>
      <c r="M131" s="126"/>
      <c r="N131" s="427">
        <v>6.117808219178082</v>
      </c>
      <c r="O131" s="427">
        <v>0</v>
      </c>
      <c r="P131" s="427">
        <v>0</v>
      </c>
      <c r="Q131" s="119"/>
      <c r="R131" s="119"/>
      <c r="S131" s="119"/>
      <c r="T131" s="119"/>
      <c r="U131" s="119"/>
      <c r="V131" s="119"/>
      <c r="W131" s="119"/>
      <c r="X131" s="119"/>
      <c r="Y131" s="119"/>
    </row>
    <row r="132" spans="5:42" x14ac:dyDescent="0.25">
      <c r="E132" s="75"/>
      <c r="F132" s="120" t="s">
        <v>251</v>
      </c>
      <c r="G132" s="120" t="s">
        <v>252</v>
      </c>
      <c r="H132" s="96"/>
      <c r="I132" s="96"/>
      <c r="J132" s="121"/>
      <c r="K132" s="121"/>
      <c r="L132" s="121"/>
      <c r="M132" s="121"/>
      <c r="N132" s="429">
        <v>135.124</v>
      </c>
      <c r="O132" s="429">
        <v>22.466000000000001</v>
      </c>
      <c r="P132" s="429">
        <v>5.1639999999999997</v>
      </c>
      <c r="Q132" s="121"/>
      <c r="R132" s="121"/>
      <c r="S132" s="121"/>
      <c r="T132" s="121"/>
      <c r="U132" s="121"/>
      <c r="V132" s="121"/>
      <c r="W132" s="121"/>
      <c r="X132" s="121"/>
      <c r="Y132" s="121"/>
    </row>
    <row r="133" spans="5:42" x14ac:dyDescent="0.2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25">
      <c r="E134" s="75" t="s">
        <v>899</v>
      </c>
      <c r="G134" s="61"/>
    </row>
    <row r="135" spans="5:42" x14ac:dyDescent="0.25">
      <c r="E135" s="75"/>
      <c r="F135" s="116" t="s">
        <v>245</v>
      </c>
      <c r="G135" s="116" t="s">
        <v>205</v>
      </c>
      <c r="H135" s="95"/>
      <c r="I135" s="95"/>
      <c r="J135" s="117"/>
      <c r="K135" s="117"/>
      <c r="L135" s="426">
        <v>63.777721905310862</v>
      </c>
      <c r="M135" s="117"/>
      <c r="N135" s="426">
        <v>2001.739870641889</v>
      </c>
      <c r="O135" s="426">
        <v>23.099592989369587</v>
      </c>
      <c r="P135" s="426">
        <v>746.83356114339722</v>
      </c>
      <c r="Q135" s="117"/>
      <c r="R135" s="117"/>
      <c r="S135" s="117"/>
      <c r="T135" s="117"/>
      <c r="U135" s="117"/>
      <c r="V135" s="117"/>
      <c r="W135" s="117"/>
      <c r="X135" s="117"/>
      <c r="Y135" s="117"/>
    </row>
    <row r="136" spans="5:42" x14ac:dyDescent="0.25">
      <c r="E136" s="75"/>
      <c r="F136" s="118" t="s">
        <v>246</v>
      </c>
      <c r="G136" s="118" t="s">
        <v>205</v>
      </c>
      <c r="J136" s="119"/>
      <c r="K136" s="119"/>
      <c r="L136" s="430">
        <v>233.59451056002302</v>
      </c>
      <c r="M136" s="119"/>
      <c r="N136" s="427">
        <v>5895.9240720745174</v>
      </c>
      <c r="O136" s="427">
        <v>59.259669945692295</v>
      </c>
      <c r="P136" s="427">
        <v>2001.0417419758055</v>
      </c>
      <c r="Q136" s="119"/>
      <c r="R136" s="119"/>
      <c r="S136" s="119"/>
      <c r="T136" s="119"/>
      <c r="U136" s="119"/>
      <c r="V136" s="119"/>
      <c r="W136" s="119"/>
      <c r="X136" s="119"/>
      <c r="Y136" s="119"/>
    </row>
    <row r="137" spans="5:42" x14ac:dyDescent="0.25">
      <c r="E137" s="75"/>
      <c r="F137" s="118" t="s">
        <v>247</v>
      </c>
      <c r="G137" s="118" t="s">
        <v>205</v>
      </c>
      <c r="J137" s="119"/>
      <c r="K137" s="119"/>
      <c r="L137" s="430">
        <v>229.96841444690912</v>
      </c>
      <c r="M137" s="119"/>
      <c r="N137" s="427">
        <v>6309.7310700949438</v>
      </c>
      <c r="O137" s="427">
        <v>102.85449916564507</v>
      </c>
      <c r="P137" s="427">
        <v>3212.5747073624748</v>
      </c>
      <c r="Q137" s="119"/>
      <c r="R137" s="119"/>
      <c r="S137" s="119"/>
      <c r="T137" s="119"/>
      <c r="U137" s="119"/>
      <c r="V137" s="119"/>
      <c r="W137" s="119"/>
      <c r="X137" s="119"/>
      <c r="Y137" s="119"/>
    </row>
    <row r="138" spans="5:42" x14ac:dyDescent="0.25">
      <c r="E138" s="75"/>
      <c r="F138" s="118" t="s">
        <v>210</v>
      </c>
      <c r="G138" s="118" t="s">
        <v>210</v>
      </c>
      <c r="J138" s="119"/>
      <c r="K138" s="119"/>
      <c r="L138" s="427">
        <v>62.523511014723212</v>
      </c>
      <c r="M138" s="119"/>
      <c r="N138" s="427">
        <v>119.94306194661185</v>
      </c>
      <c r="O138" s="427">
        <v>1.2759900207086368</v>
      </c>
      <c r="P138" s="427">
        <v>6.3799501035431829</v>
      </c>
      <c r="Q138" s="119"/>
      <c r="R138" s="119"/>
      <c r="S138" s="119"/>
      <c r="T138" s="119"/>
      <c r="U138" s="119"/>
      <c r="V138" s="119"/>
      <c r="W138" s="119"/>
      <c r="X138" s="119"/>
      <c r="Y138" s="119"/>
    </row>
    <row r="139" spans="5:42" x14ac:dyDescent="0.25">
      <c r="E139" s="75"/>
      <c r="F139" s="118" t="s">
        <v>248</v>
      </c>
      <c r="G139" s="118" t="s">
        <v>249</v>
      </c>
      <c r="J139" s="119"/>
      <c r="K139" s="119"/>
      <c r="L139" s="119"/>
      <c r="M139" s="119"/>
      <c r="N139" s="427">
        <v>13264</v>
      </c>
      <c r="O139" s="427">
        <v>150</v>
      </c>
      <c r="P139" s="427">
        <v>3806</v>
      </c>
      <c r="Q139" s="119"/>
      <c r="R139" s="119"/>
      <c r="S139" s="119"/>
      <c r="T139" s="119"/>
      <c r="U139" s="119"/>
      <c r="V139" s="119"/>
      <c r="W139" s="119"/>
      <c r="X139" s="119"/>
      <c r="Y139" s="119"/>
    </row>
    <row r="140" spans="5:42" x14ac:dyDescent="0.25">
      <c r="E140" s="75"/>
      <c r="F140" s="118" t="s">
        <v>250</v>
      </c>
      <c r="G140" s="118" t="s">
        <v>249</v>
      </c>
      <c r="J140" s="119"/>
      <c r="K140" s="119"/>
      <c r="L140" s="119"/>
      <c r="M140" s="119"/>
      <c r="N140" s="427">
        <v>0.33972602739726027</v>
      </c>
      <c r="O140" s="427">
        <v>0</v>
      </c>
      <c r="P140" s="427">
        <v>0</v>
      </c>
      <c r="Q140" s="119"/>
      <c r="R140" s="119"/>
      <c r="S140" s="119"/>
      <c r="T140" s="119"/>
      <c r="U140" s="119"/>
      <c r="V140" s="119"/>
      <c r="W140" s="119"/>
      <c r="X140" s="119"/>
      <c r="Y140" s="119"/>
    </row>
    <row r="141" spans="5:42" x14ac:dyDescent="0.25">
      <c r="E141" s="75"/>
      <c r="F141" s="120" t="s">
        <v>251</v>
      </c>
      <c r="G141" s="120" t="s">
        <v>252</v>
      </c>
      <c r="H141" s="96"/>
      <c r="I141" s="96"/>
      <c r="J141" s="121"/>
      <c r="K141" s="121"/>
      <c r="L141" s="121"/>
      <c r="M141" s="121"/>
      <c r="N141" s="429">
        <v>362.83800000000002</v>
      </c>
      <c r="O141" s="429">
        <v>4.8659999999999997</v>
      </c>
      <c r="P141" s="429">
        <v>20.867000000000001</v>
      </c>
      <c r="Q141" s="121"/>
      <c r="R141" s="121"/>
      <c r="S141" s="121"/>
      <c r="T141" s="121"/>
      <c r="U141" s="121"/>
      <c r="V141" s="121"/>
      <c r="W141" s="121"/>
      <c r="X141" s="121"/>
      <c r="Y141" s="121"/>
    </row>
    <row r="142" spans="5:42" x14ac:dyDescent="0.2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25">
      <c r="E143" s="75" t="s">
        <v>900</v>
      </c>
      <c r="G143" s="61"/>
    </row>
    <row r="144" spans="5:42" x14ac:dyDescent="0.25">
      <c r="E144" s="75"/>
      <c r="F144" s="116" t="s">
        <v>245</v>
      </c>
      <c r="G144" s="116" t="s">
        <v>205</v>
      </c>
      <c r="H144" s="95"/>
      <c r="I144" s="95"/>
      <c r="J144" s="117"/>
      <c r="K144" s="117"/>
      <c r="L144" s="426">
        <v>25.242002373418064</v>
      </c>
      <c r="M144" s="117"/>
      <c r="N144" s="426">
        <v>2413.4032334363415</v>
      </c>
      <c r="O144" s="426">
        <v>340.2666582654191</v>
      </c>
      <c r="P144" s="426">
        <v>917.22498545853773</v>
      </c>
      <c r="Q144" s="117"/>
      <c r="R144" s="117"/>
      <c r="S144" s="117"/>
      <c r="T144" s="117"/>
      <c r="U144" s="117"/>
      <c r="V144" s="117"/>
      <c r="W144" s="117"/>
      <c r="X144" s="117"/>
      <c r="Y144" s="117"/>
    </row>
    <row r="145" spans="5:42" x14ac:dyDescent="0.25">
      <c r="E145" s="75"/>
      <c r="F145" s="118" t="s">
        <v>246</v>
      </c>
      <c r="G145" s="118" t="s">
        <v>205</v>
      </c>
      <c r="J145" s="119"/>
      <c r="K145" s="119"/>
      <c r="L145" s="427">
        <v>94.278144601704184</v>
      </c>
      <c r="M145" s="119"/>
      <c r="N145" s="427">
        <v>6919.4852937500391</v>
      </c>
      <c r="O145" s="427">
        <v>977.42062749509728</v>
      </c>
      <c r="P145" s="427">
        <v>2868.2140479588438</v>
      </c>
      <c r="Q145" s="119"/>
      <c r="R145" s="119"/>
      <c r="S145" s="119"/>
      <c r="T145" s="119"/>
      <c r="U145" s="119"/>
      <c r="V145" s="119"/>
      <c r="W145" s="119"/>
      <c r="X145" s="119"/>
      <c r="Y145" s="119"/>
    </row>
    <row r="146" spans="5:42" x14ac:dyDescent="0.25">
      <c r="E146" s="75"/>
      <c r="F146" s="118" t="s">
        <v>247</v>
      </c>
      <c r="G146" s="118" t="s">
        <v>205</v>
      </c>
      <c r="J146" s="119"/>
      <c r="K146" s="119"/>
      <c r="L146" s="427">
        <v>99.215814288248879</v>
      </c>
      <c r="M146" s="119"/>
      <c r="N146" s="427">
        <v>9202.1264358624467</v>
      </c>
      <c r="O146" s="427">
        <v>1236.5020422378602</v>
      </c>
      <c r="P146" s="427">
        <v>3658.760540971949</v>
      </c>
      <c r="Q146" s="119"/>
      <c r="R146" s="119"/>
      <c r="S146" s="119"/>
      <c r="T146" s="119"/>
      <c r="U146" s="119"/>
      <c r="V146" s="119"/>
      <c r="W146" s="119"/>
      <c r="X146" s="119"/>
      <c r="Y146" s="119"/>
    </row>
    <row r="147" spans="5:42" x14ac:dyDescent="0.25">
      <c r="E147" s="75"/>
      <c r="F147" s="118" t="s">
        <v>210</v>
      </c>
      <c r="G147" s="118" t="s">
        <v>210</v>
      </c>
      <c r="J147" s="119"/>
      <c r="K147" s="119"/>
      <c r="L147" s="427">
        <v>10.207920165669094</v>
      </c>
      <c r="M147" s="119"/>
      <c r="N147" s="427">
        <v>80.387371304644105</v>
      </c>
      <c r="O147" s="427">
        <v>8.9319301449604591</v>
      </c>
      <c r="P147" s="427">
        <v>5.1039600828345471</v>
      </c>
      <c r="Q147" s="119"/>
      <c r="R147" s="119"/>
      <c r="S147" s="119"/>
      <c r="T147" s="119"/>
      <c r="U147" s="119"/>
      <c r="V147" s="119"/>
      <c r="W147" s="119"/>
      <c r="X147" s="119"/>
      <c r="Y147" s="119"/>
    </row>
    <row r="148" spans="5:42" x14ac:dyDescent="0.25">
      <c r="E148" s="75"/>
      <c r="F148" s="118" t="s">
        <v>248</v>
      </c>
      <c r="G148" s="118" t="s">
        <v>249</v>
      </c>
      <c r="J148" s="119"/>
      <c r="K148" s="119"/>
      <c r="L148" s="119"/>
      <c r="M148" s="119"/>
      <c r="N148" s="427">
        <v>11561</v>
      </c>
      <c r="O148" s="427">
        <v>1491</v>
      </c>
      <c r="P148" s="427">
        <v>5150</v>
      </c>
      <c r="Q148" s="119"/>
      <c r="R148" s="119"/>
      <c r="S148" s="119"/>
      <c r="T148" s="119"/>
      <c r="U148" s="119"/>
      <c r="V148" s="119"/>
      <c r="W148" s="119"/>
      <c r="X148" s="119"/>
      <c r="Y148" s="119"/>
    </row>
    <row r="149" spans="5:42" x14ac:dyDescent="0.25">
      <c r="E149" s="75"/>
      <c r="F149" s="118" t="s">
        <v>250</v>
      </c>
      <c r="G149" s="118" t="s">
        <v>249</v>
      </c>
      <c r="J149" s="119"/>
      <c r="K149" s="119"/>
      <c r="L149" s="119"/>
      <c r="M149" s="119"/>
      <c r="N149" s="427">
        <v>0</v>
      </c>
      <c r="O149" s="427">
        <v>0</v>
      </c>
      <c r="P149" s="427">
        <v>0</v>
      </c>
      <c r="Q149" s="119"/>
      <c r="R149" s="119"/>
      <c r="S149" s="119"/>
      <c r="T149" s="119"/>
      <c r="U149" s="119"/>
      <c r="V149" s="119"/>
      <c r="W149" s="119"/>
      <c r="X149" s="119"/>
      <c r="Y149" s="119"/>
    </row>
    <row r="150" spans="5:42" x14ac:dyDescent="0.25">
      <c r="E150" s="75"/>
      <c r="F150" s="120" t="s">
        <v>251</v>
      </c>
      <c r="G150" s="120" t="s">
        <v>252</v>
      </c>
      <c r="H150" s="96"/>
      <c r="I150" s="96"/>
      <c r="J150" s="121"/>
      <c r="K150" s="121"/>
      <c r="L150" s="121"/>
      <c r="M150" s="121"/>
      <c r="N150" s="429">
        <v>445.52199999999999</v>
      </c>
      <c r="O150" s="429">
        <v>18.196999999999999</v>
      </c>
      <c r="P150" s="429">
        <v>1007.367</v>
      </c>
      <c r="Q150" s="121"/>
      <c r="R150" s="121"/>
      <c r="S150" s="121"/>
      <c r="T150" s="121"/>
      <c r="U150" s="121"/>
      <c r="V150" s="121"/>
      <c r="W150" s="121"/>
      <c r="X150" s="121"/>
      <c r="Y150" s="121"/>
    </row>
    <row r="151" spans="5:42" x14ac:dyDescent="0.2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25">
      <c r="E152" s="75" t="s">
        <v>901</v>
      </c>
      <c r="G152" s="61"/>
    </row>
    <row r="153" spans="5:42" x14ac:dyDescent="0.25">
      <c r="E153" s="75"/>
      <c r="F153" s="116" t="s">
        <v>245</v>
      </c>
      <c r="G153" s="116" t="s">
        <v>205</v>
      </c>
      <c r="H153" s="95"/>
      <c r="I153" s="95"/>
      <c r="J153" s="117"/>
      <c r="K153" s="117"/>
      <c r="L153" s="426">
        <v>150.47467025223492</v>
      </c>
      <c r="M153" s="117"/>
      <c r="N153" s="426">
        <v>7748.6955125512804</v>
      </c>
      <c r="O153" s="426">
        <v>3281.5835476877965</v>
      </c>
      <c r="P153" s="426">
        <v>5927.8182270778243</v>
      </c>
      <c r="Q153" s="117"/>
      <c r="R153" s="117"/>
      <c r="S153" s="117"/>
      <c r="T153" s="117"/>
      <c r="U153" s="117"/>
      <c r="V153" s="117"/>
      <c r="W153" s="117"/>
      <c r="X153" s="117"/>
      <c r="Y153" s="117"/>
    </row>
    <row r="154" spans="5:42" x14ac:dyDescent="0.25">
      <c r="E154" s="75"/>
      <c r="F154" s="118" t="s">
        <v>246</v>
      </c>
      <c r="G154" s="118" t="s">
        <v>205</v>
      </c>
      <c r="J154" s="119"/>
      <c r="K154" s="119"/>
      <c r="L154" s="427">
        <v>560.72102389980466</v>
      </c>
      <c r="M154" s="119"/>
      <c r="N154" s="427">
        <v>24846.692244107315</v>
      </c>
      <c r="O154" s="427">
        <v>10459.138616231952</v>
      </c>
      <c r="P154" s="427">
        <v>17803.108321774722</v>
      </c>
      <c r="Q154" s="119"/>
      <c r="R154" s="119"/>
      <c r="S154" s="119"/>
      <c r="T154" s="119"/>
      <c r="U154" s="119"/>
      <c r="V154" s="119"/>
      <c r="W154" s="119"/>
      <c r="X154" s="119"/>
      <c r="Y154" s="119"/>
    </row>
    <row r="155" spans="5:42" x14ac:dyDescent="0.25">
      <c r="E155" s="75"/>
      <c r="F155" s="118" t="s">
        <v>247</v>
      </c>
      <c r="G155" s="118" t="s">
        <v>205</v>
      </c>
      <c r="J155" s="119"/>
      <c r="K155" s="119"/>
      <c r="L155" s="427">
        <v>579.21794245192518</v>
      </c>
      <c r="M155" s="119"/>
      <c r="N155" s="427">
        <v>31307.872645210697</v>
      </c>
      <c r="O155" s="427">
        <v>10852.495700512316</v>
      </c>
      <c r="P155" s="427">
        <v>28428.944949375062</v>
      </c>
      <c r="Q155" s="119"/>
      <c r="R155" s="119"/>
      <c r="S155" s="119"/>
      <c r="T155" s="119"/>
      <c r="U155" s="119"/>
      <c r="V155" s="119"/>
      <c r="W155" s="119"/>
      <c r="X155" s="119"/>
      <c r="Y155" s="119"/>
    </row>
    <row r="156" spans="5:42" x14ac:dyDescent="0.25">
      <c r="E156" s="75"/>
      <c r="F156" s="118" t="s">
        <v>210</v>
      </c>
      <c r="G156" s="118" t="s">
        <v>210</v>
      </c>
      <c r="J156" s="119"/>
      <c r="K156" s="119"/>
      <c r="L156" s="427">
        <v>92.509276501376092</v>
      </c>
      <c r="M156" s="119"/>
      <c r="N156" s="427">
        <v>145.46286236078453</v>
      </c>
      <c r="O156" s="427">
        <v>47.211630766219535</v>
      </c>
      <c r="P156" s="427">
        <v>8.9319301449604591</v>
      </c>
      <c r="Q156" s="119"/>
      <c r="R156" s="119"/>
      <c r="S156" s="119"/>
      <c r="T156" s="119"/>
      <c r="U156" s="119"/>
      <c r="V156" s="119"/>
      <c r="W156" s="119"/>
      <c r="X156" s="119"/>
      <c r="Y156" s="119"/>
    </row>
    <row r="157" spans="5:42" x14ac:dyDescent="0.25">
      <c r="E157" s="75"/>
      <c r="F157" s="118" t="s">
        <v>248</v>
      </c>
      <c r="G157" s="118" t="s">
        <v>249</v>
      </c>
      <c r="J157" s="119"/>
      <c r="K157" s="119"/>
      <c r="L157" s="119"/>
      <c r="M157" s="119"/>
      <c r="N157" s="427">
        <v>63486</v>
      </c>
      <c r="O157" s="427">
        <v>24657</v>
      </c>
      <c r="P157" s="427">
        <v>34520</v>
      </c>
      <c r="Q157" s="119"/>
      <c r="R157" s="119"/>
      <c r="S157" s="119"/>
      <c r="T157" s="119"/>
      <c r="U157" s="119"/>
      <c r="V157" s="119"/>
      <c r="W157" s="119"/>
      <c r="X157" s="119"/>
      <c r="Y157" s="119"/>
    </row>
    <row r="158" spans="5:42" x14ac:dyDescent="0.25">
      <c r="E158" s="75"/>
      <c r="F158" s="118" t="s">
        <v>250</v>
      </c>
      <c r="G158" s="118" t="s">
        <v>249</v>
      </c>
      <c r="J158" s="119"/>
      <c r="K158" s="119"/>
      <c r="L158" s="119"/>
      <c r="M158" s="119"/>
      <c r="N158" s="427">
        <v>0</v>
      </c>
      <c r="O158" s="427">
        <v>64.717808219178082</v>
      </c>
      <c r="P158" s="427">
        <v>147.01643835616437</v>
      </c>
      <c r="Q158" s="119"/>
      <c r="R158" s="119"/>
      <c r="S158" s="119"/>
      <c r="T158" s="119"/>
      <c r="U158" s="119"/>
      <c r="V158" s="119"/>
      <c r="W158" s="119"/>
      <c r="X158" s="119"/>
      <c r="Y158" s="119"/>
    </row>
    <row r="159" spans="5:42" x14ac:dyDescent="0.25">
      <c r="E159" s="75"/>
      <c r="F159" s="120" t="s">
        <v>251</v>
      </c>
      <c r="G159" s="120" t="s">
        <v>252</v>
      </c>
      <c r="H159" s="96"/>
      <c r="I159" s="96"/>
      <c r="J159" s="121"/>
      <c r="K159" s="121"/>
      <c r="L159" s="121"/>
      <c r="M159" s="121"/>
      <c r="N159" s="429">
        <v>6670.91</v>
      </c>
      <c r="O159" s="429">
        <v>764.13300000000004</v>
      </c>
      <c r="P159" s="429">
        <v>443.77100000000002</v>
      </c>
      <c r="Q159" s="121"/>
      <c r="R159" s="121"/>
      <c r="S159" s="121"/>
      <c r="T159" s="121"/>
      <c r="U159" s="121"/>
      <c r="V159" s="121"/>
      <c r="W159" s="121"/>
      <c r="X159" s="121"/>
      <c r="Y159" s="121"/>
    </row>
    <row r="160" spans="5:42" x14ac:dyDescent="0.2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25">
      <c r="E161" s="75" t="s">
        <v>837</v>
      </c>
      <c r="G161" s="61" t="s">
        <v>210</v>
      </c>
      <c r="I161" t="s">
        <v>152</v>
      </c>
      <c r="J161" s="431">
        <v>3875.1816928921298</v>
      </c>
      <c r="K161" s="431">
        <v>0</v>
      </c>
      <c r="L161" s="431">
        <v>37.003710600550477</v>
      </c>
      <c r="M161" s="431">
        <v>0</v>
      </c>
      <c r="N161" s="431">
        <v>20.139850310629548</v>
      </c>
      <c r="O161" s="431">
        <v>1.2759900207086368</v>
      </c>
      <c r="P161" s="431">
        <v>5.1039600828345471</v>
      </c>
      <c r="Q161" s="431">
        <v>0</v>
      </c>
      <c r="R161" s="431">
        <v>2</v>
      </c>
      <c r="S161" s="431">
        <v>0</v>
      </c>
      <c r="T161" s="431">
        <v>0</v>
      </c>
      <c r="U161" s="431">
        <v>0</v>
      </c>
      <c r="V161" s="431">
        <v>0</v>
      </c>
      <c r="W161" s="431">
        <v>0</v>
      </c>
      <c r="X161" s="431">
        <v>0</v>
      </c>
      <c r="Y161" s="431">
        <v>0</v>
      </c>
      <c r="AQ161" t="s">
        <v>853</v>
      </c>
    </row>
    <row r="162" spans="3:43" x14ac:dyDescent="0.25">
      <c r="G162" s="61"/>
    </row>
    <row r="163" spans="3:43" x14ac:dyDescent="0.2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25">
      <c r="G164" s="61"/>
    </row>
    <row r="165" spans="3:43" x14ac:dyDescent="0.25">
      <c r="D165" s="86" t="s">
        <v>1072</v>
      </c>
      <c r="G165" s="61"/>
      <c r="I165" t="s">
        <v>152</v>
      </c>
      <c r="AQ165" t="s">
        <v>1084</v>
      </c>
    </row>
    <row r="166" spans="3:43" x14ac:dyDescent="0.25">
      <c r="D166" s="86" t="s">
        <v>1073</v>
      </c>
      <c r="G166" s="61"/>
    </row>
    <row r="167" spans="3:43" x14ac:dyDescent="0.25">
      <c r="G167" s="61"/>
    </row>
    <row r="168" spans="3:43" x14ac:dyDescent="0.25">
      <c r="E168" s="75" t="s">
        <v>933</v>
      </c>
      <c r="G168" s="61"/>
      <c r="J168" s="115" t="s">
        <v>924</v>
      </c>
      <c r="K168" s="115" t="s">
        <v>929</v>
      </c>
      <c r="L168" s="115" t="s">
        <v>930</v>
      </c>
      <c r="M168" s="115" t="s">
        <v>931</v>
      </c>
      <c r="N168" s="115" t="s">
        <v>932</v>
      </c>
    </row>
    <row r="169" spans="3:43" x14ac:dyDescent="0.25">
      <c r="E169" s="75"/>
      <c r="F169" s="116" t="s">
        <v>245</v>
      </c>
      <c r="G169" s="116" t="s">
        <v>165</v>
      </c>
      <c r="H169" s="128"/>
      <c r="I169" s="95"/>
      <c r="J169" s="432">
        <v>0</v>
      </c>
      <c r="K169" s="432">
        <v>0.08</v>
      </c>
      <c r="L169" s="432">
        <v>0.18</v>
      </c>
      <c r="M169" s="432">
        <v>0.18</v>
      </c>
      <c r="N169" s="432">
        <v>0.56000000000000005</v>
      </c>
    </row>
    <row r="170" spans="3:43" x14ac:dyDescent="0.25">
      <c r="E170" s="75"/>
      <c r="F170" s="129" t="s">
        <v>246</v>
      </c>
      <c r="G170" s="129" t="s">
        <v>165</v>
      </c>
      <c r="H170" s="130"/>
      <c r="J170" s="433">
        <v>0</v>
      </c>
      <c r="K170" s="433">
        <v>0.08</v>
      </c>
      <c r="L170" s="433">
        <v>0.18</v>
      </c>
      <c r="M170" s="433">
        <v>0.18</v>
      </c>
      <c r="N170" s="433">
        <v>0.56000000000000005</v>
      </c>
    </row>
    <row r="171" spans="3:43" x14ac:dyDescent="0.25">
      <c r="E171" s="75"/>
      <c r="F171" s="120" t="s">
        <v>247</v>
      </c>
      <c r="G171" s="120" t="s">
        <v>165</v>
      </c>
      <c r="H171" s="131"/>
      <c r="I171" s="96"/>
      <c r="J171" s="434">
        <v>0</v>
      </c>
      <c r="K171" s="434">
        <v>0.08</v>
      </c>
      <c r="L171" s="434">
        <v>0.18</v>
      </c>
      <c r="M171" s="434">
        <v>0.18</v>
      </c>
      <c r="N171" s="434">
        <v>0.56000000000000005</v>
      </c>
    </row>
    <row r="172" spans="3:43" x14ac:dyDescent="0.25">
      <c r="E172" s="122"/>
      <c r="F172" s="123"/>
      <c r="G172" s="123"/>
      <c r="H172" s="14"/>
      <c r="I172" s="14"/>
      <c r="J172" s="124"/>
      <c r="K172" s="124"/>
      <c r="L172" s="124"/>
      <c r="M172" s="124"/>
      <c r="N172" s="124"/>
    </row>
    <row r="173" spans="3:43" x14ac:dyDescent="0.25">
      <c r="E173" s="75" t="s">
        <v>934</v>
      </c>
      <c r="G173" s="61"/>
      <c r="J173" s="115" t="s">
        <v>924</v>
      </c>
      <c r="K173" s="115" t="s">
        <v>929</v>
      </c>
      <c r="L173" s="115" t="s">
        <v>930</v>
      </c>
      <c r="M173" s="115" t="s">
        <v>931</v>
      </c>
      <c r="N173" s="115" t="s">
        <v>932</v>
      </c>
    </row>
    <row r="174" spans="3:43" x14ac:dyDescent="0.25">
      <c r="E174" s="75"/>
      <c r="F174" s="116" t="s">
        <v>245</v>
      </c>
      <c r="G174" s="116" t="s">
        <v>165</v>
      </c>
      <c r="H174" s="128"/>
      <c r="I174" s="95"/>
      <c r="J174" s="432">
        <v>0</v>
      </c>
      <c r="K174" s="432">
        <v>0.08</v>
      </c>
      <c r="L174" s="432">
        <v>0.18</v>
      </c>
      <c r="M174" s="432">
        <v>0.18</v>
      </c>
      <c r="N174" s="432">
        <v>0.56000000000000005</v>
      </c>
    </row>
    <row r="175" spans="3:43" x14ac:dyDescent="0.25">
      <c r="E175" s="75"/>
      <c r="F175" s="129" t="s">
        <v>246</v>
      </c>
      <c r="G175" s="129" t="s">
        <v>165</v>
      </c>
      <c r="H175" s="130"/>
      <c r="J175" s="433">
        <v>0</v>
      </c>
      <c r="K175" s="433">
        <v>0.08</v>
      </c>
      <c r="L175" s="433">
        <v>0.18</v>
      </c>
      <c r="M175" s="433">
        <v>0.18</v>
      </c>
      <c r="N175" s="433">
        <v>0.56000000000000005</v>
      </c>
    </row>
    <row r="176" spans="3:43" x14ac:dyDescent="0.25">
      <c r="E176" s="75"/>
      <c r="F176" s="120" t="s">
        <v>247</v>
      </c>
      <c r="G176" s="120" t="s">
        <v>165</v>
      </c>
      <c r="H176" s="131"/>
      <c r="I176" s="96"/>
      <c r="J176" s="434">
        <v>0</v>
      </c>
      <c r="K176" s="434">
        <v>0.08</v>
      </c>
      <c r="L176" s="434">
        <v>0.18</v>
      </c>
      <c r="M176" s="434">
        <v>0.18</v>
      </c>
      <c r="N176" s="434">
        <v>0.56000000000000005</v>
      </c>
    </row>
    <row r="177" spans="3:43" x14ac:dyDescent="0.25">
      <c r="E177" s="122"/>
      <c r="F177" s="123"/>
      <c r="G177" s="123"/>
      <c r="H177" s="14"/>
      <c r="I177" s="14"/>
      <c r="J177" s="124"/>
      <c r="K177" s="124"/>
      <c r="L177" s="124"/>
      <c r="M177" s="124"/>
      <c r="N177" s="124"/>
    </row>
    <row r="178" spans="3:43" x14ac:dyDescent="0.25">
      <c r="E178" s="75" t="s">
        <v>935</v>
      </c>
      <c r="G178" s="61"/>
      <c r="J178" s="115" t="s">
        <v>924</v>
      </c>
      <c r="K178" s="115" t="s">
        <v>929</v>
      </c>
      <c r="L178" s="115" t="s">
        <v>930</v>
      </c>
      <c r="M178" s="115" t="s">
        <v>931</v>
      </c>
      <c r="N178" s="115" t="s">
        <v>932</v>
      </c>
    </row>
    <row r="179" spans="3:43" x14ac:dyDescent="0.25">
      <c r="E179" s="75"/>
      <c r="F179" s="116" t="s">
        <v>245</v>
      </c>
      <c r="G179" s="116" t="s">
        <v>165</v>
      </c>
      <c r="H179" s="128"/>
      <c r="I179" s="95"/>
      <c r="J179" s="432">
        <v>0</v>
      </c>
      <c r="K179" s="432">
        <v>0.08</v>
      </c>
      <c r="L179" s="432">
        <v>0.18</v>
      </c>
      <c r="M179" s="432">
        <v>0.18</v>
      </c>
      <c r="N179" s="432">
        <v>0.56000000000000005</v>
      </c>
    </row>
    <row r="180" spans="3:43" x14ac:dyDescent="0.25">
      <c r="E180" s="75"/>
      <c r="F180" s="129" t="s">
        <v>246</v>
      </c>
      <c r="G180" s="129" t="s">
        <v>165</v>
      </c>
      <c r="H180" s="130"/>
      <c r="J180" s="433">
        <v>0</v>
      </c>
      <c r="K180" s="433">
        <v>0.08</v>
      </c>
      <c r="L180" s="433">
        <v>0.18</v>
      </c>
      <c r="M180" s="433">
        <v>0.18</v>
      </c>
      <c r="N180" s="433">
        <v>0.56000000000000005</v>
      </c>
    </row>
    <row r="181" spans="3:43" x14ac:dyDescent="0.25">
      <c r="E181" s="75"/>
      <c r="F181" s="120" t="s">
        <v>247</v>
      </c>
      <c r="G181" s="120" t="s">
        <v>165</v>
      </c>
      <c r="H181" s="131"/>
      <c r="I181" s="96"/>
      <c r="J181" s="434">
        <v>0</v>
      </c>
      <c r="K181" s="434">
        <v>0.08</v>
      </c>
      <c r="L181" s="434">
        <v>0.18</v>
      </c>
      <c r="M181" s="434">
        <v>0.18</v>
      </c>
      <c r="N181" s="434">
        <v>0.56000000000000005</v>
      </c>
    </row>
    <row r="182" spans="3:43" x14ac:dyDescent="0.25">
      <c r="E182" s="122"/>
      <c r="F182" s="123"/>
      <c r="G182" s="123"/>
      <c r="H182" s="14"/>
      <c r="I182" s="14"/>
      <c r="J182" s="124"/>
      <c r="K182" s="124"/>
      <c r="L182" s="124"/>
      <c r="M182" s="124"/>
      <c r="N182" s="125"/>
      <c r="O182" s="125"/>
      <c r="P182" s="125"/>
      <c r="Q182" s="124"/>
      <c r="R182" s="124"/>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2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25">
      <c r="G184" s="61"/>
    </row>
    <row r="185" spans="3:43" x14ac:dyDescent="0.25">
      <c r="D185" s="86" t="s">
        <v>256</v>
      </c>
      <c r="H185" s="97"/>
    </row>
    <row r="186" spans="3:43" x14ac:dyDescent="0.25">
      <c r="G186" s="61"/>
      <c r="I186" t="s">
        <v>152</v>
      </c>
      <c r="AQ186" t="s">
        <v>257</v>
      </c>
    </row>
    <row r="187" spans="3:43" x14ac:dyDescent="0.25">
      <c r="D187" s="105"/>
      <c r="E187" t="s">
        <v>258</v>
      </c>
      <c r="G187" t="s">
        <v>259</v>
      </c>
      <c r="H187" s="78"/>
      <c r="J187" s="427">
        <v>2494</v>
      </c>
      <c r="K187" s="119"/>
      <c r="L187" s="427">
        <v>2240</v>
      </c>
      <c r="M187" s="119"/>
      <c r="N187" s="427">
        <v>2965</v>
      </c>
      <c r="O187" s="427">
        <v>2965</v>
      </c>
      <c r="P187" s="119"/>
      <c r="Q187" s="119"/>
      <c r="R187" s="427">
        <v>0</v>
      </c>
      <c r="S187" s="427">
        <v>0</v>
      </c>
      <c r="T187" s="427">
        <v>0</v>
      </c>
      <c r="U187" s="427">
        <v>0</v>
      </c>
      <c r="V187" s="427">
        <v>0</v>
      </c>
      <c r="W187" s="427">
        <v>0</v>
      </c>
      <c r="X187" s="119"/>
      <c r="Y187" s="119"/>
    </row>
    <row r="188" spans="3:43" x14ac:dyDescent="0.25">
      <c r="D188" s="105"/>
      <c r="E188" t="s">
        <v>260</v>
      </c>
      <c r="G188" t="s">
        <v>259</v>
      </c>
      <c r="H188" s="78"/>
      <c r="J188" s="119"/>
      <c r="K188" s="119"/>
      <c r="L188" s="119"/>
      <c r="M188" s="119"/>
      <c r="N188" s="119"/>
      <c r="O188" s="119"/>
      <c r="P188" s="427">
        <v>61585</v>
      </c>
      <c r="Q188" s="119"/>
      <c r="R188" s="119"/>
      <c r="S188" s="119"/>
      <c r="T188" s="119"/>
      <c r="U188" s="119"/>
      <c r="V188" s="119"/>
      <c r="W188" s="119"/>
      <c r="X188" s="427">
        <v>13738.9272</v>
      </c>
      <c r="Y188" s="427">
        <v>13738.9272</v>
      </c>
    </row>
    <row r="189" spans="3:43" x14ac:dyDescent="0.25">
      <c r="G189" s="61"/>
      <c r="J189" s="106"/>
      <c r="K189" s="106"/>
      <c r="L189" s="106"/>
      <c r="M189" s="106"/>
      <c r="N189" s="106"/>
      <c r="O189" s="106"/>
      <c r="P189" s="106"/>
      <c r="Q189" s="106"/>
      <c r="R189" s="106"/>
      <c r="S189" s="106"/>
      <c r="T189" s="106"/>
      <c r="U189" s="106"/>
      <c r="V189" s="106"/>
      <c r="W189" s="106"/>
      <c r="X189" s="106"/>
      <c r="Y189" s="106"/>
    </row>
    <row r="190" spans="3:43" x14ac:dyDescent="0.25">
      <c r="D190" s="105"/>
      <c r="E190" t="s">
        <v>261</v>
      </c>
      <c r="G190" t="s">
        <v>262</v>
      </c>
      <c r="I190" t="s">
        <v>152</v>
      </c>
      <c r="J190" s="119"/>
      <c r="K190" s="119"/>
      <c r="L190" s="119"/>
      <c r="M190" s="119"/>
      <c r="N190" s="119"/>
      <c r="O190" s="119"/>
      <c r="P190" s="119"/>
      <c r="Q190" s="427">
        <v>0</v>
      </c>
      <c r="R190" s="119"/>
      <c r="S190" s="119"/>
      <c r="T190" s="119"/>
      <c r="U190" s="119"/>
      <c r="V190" s="119"/>
      <c r="W190" s="119"/>
      <c r="X190" s="119"/>
      <c r="Y190" s="119"/>
      <c r="AQ190" t="s">
        <v>263</v>
      </c>
    </row>
    <row r="191" spans="3:43" x14ac:dyDescent="0.25">
      <c r="D191" s="105"/>
      <c r="J191" s="106"/>
      <c r="K191" s="106"/>
      <c r="L191" s="106"/>
      <c r="M191" s="106"/>
      <c r="N191" s="106"/>
      <c r="O191" s="106"/>
      <c r="P191" s="106"/>
      <c r="Q191" s="106"/>
      <c r="R191" s="106"/>
      <c r="S191" s="106"/>
      <c r="T191" s="106"/>
      <c r="U191" s="106"/>
      <c r="V191" s="106"/>
      <c r="W191" s="106"/>
      <c r="X191" s="106"/>
      <c r="Y191" s="106"/>
    </row>
    <row r="192" spans="3:43" x14ac:dyDescent="0.2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2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25">
      <c r="D194" s="86" t="s">
        <v>264</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25">
      <c r="D195" s="134" t="s">
        <v>265</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2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60" x14ac:dyDescent="0.25">
      <c r="E197" s="75" t="s">
        <v>266</v>
      </c>
      <c r="G197" s="61"/>
      <c r="J197" s="107" t="s">
        <v>1114</v>
      </c>
      <c r="K197" s="107" t="s">
        <v>783</v>
      </c>
      <c r="L197" s="107" t="s">
        <v>1115</v>
      </c>
      <c r="M197" s="107" t="s">
        <v>1116</v>
      </c>
      <c r="N197" s="107" t="s">
        <v>1117</v>
      </c>
      <c r="O197" s="107" t="s">
        <v>1118</v>
      </c>
      <c r="P197" s="107" t="s">
        <v>1119</v>
      </c>
      <c r="Q197" s="107" t="s">
        <v>784</v>
      </c>
      <c r="R197" s="107" t="s">
        <v>860</v>
      </c>
      <c r="S197" s="107" t="s">
        <v>861</v>
      </c>
      <c r="T197" s="107" t="s">
        <v>862</v>
      </c>
      <c r="U197" s="107" t="s">
        <v>863</v>
      </c>
      <c r="V197" s="107" t="s">
        <v>864</v>
      </c>
      <c r="W197" s="107" t="s">
        <v>865</v>
      </c>
      <c r="X197" s="107" t="s">
        <v>866</v>
      </c>
      <c r="Y197" s="107" t="s">
        <v>867</v>
      </c>
      <c r="Z197" s="107" t="s">
        <v>868</v>
      </c>
      <c r="AA197" s="107" t="s">
        <v>869</v>
      </c>
      <c r="AB197" s="107" t="s">
        <v>870</v>
      </c>
      <c r="AC197" s="107" t="s">
        <v>871</v>
      </c>
      <c r="AD197" s="107" t="s">
        <v>872</v>
      </c>
      <c r="AE197" s="107" t="s">
        <v>873</v>
      </c>
      <c r="AF197" s="107" t="s">
        <v>874</v>
      </c>
      <c r="AG197" s="107" t="s">
        <v>793</v>
      </c>
      <c r="AH197" s="107" t="s">
        <v>785</v>
      </c>
      <c r="AI197" s="107" t="s">
        <v>786</v>
      </c>
      <c r="AJ197" s="107" t="s">
        <v>787</v>
      </c>
      <c r="AK197" s="107" t="s">
        <v>796</v>
      </c>
      <c r="AL197" s="107" t="s">
        <v>788</v>
      </c>
      <c r="AM197" s="107" t="s">
        <v>795</v>
      </c>
      <c r="AN197" s="107" t="s">
        <v>789</v>
      </c>
      <c r="AO197" s="107" t="s">
        <v>794</v>
      </c>
    </row>
    <row r="198" spans="3:43" x14ac:dyDescent="0.25">
      <c r="D198" s="75"/>
      <c r="F198" s="95" t="s">
        <v>154</v>
      </c>
      <c r="G198" s="95" t="s">
        <v>267</v>
      </c>
      <c r="H198" s="95"/>
      <c r="I198" s="95"/>
      <c r="J198" s="426">
        <v>9.5679999999999996</v>
      </c>
      <c r="K198" s="426">
        <v>9.5679999999999996</v>
      </c>
      <c r="L198" s="426">
        <v>10.975</v>
      </c>
      <c r="M198" s="426">
        <v>10.975</v>
      </c>
      <c r="N198" s="426">
        <v>10.975</v>
      </c>
      <c r="O198" s="426">
        <v>10.975</v>
      </c>
      <c r="P198" s="426">
        <v>10.975</v>
      </c>
      <c r="Q198" s="426">
        <v>10.975</v>
      </c>
      <c r="R198" s="426">
        <v>7.1180000000000003</v>
      </c>
      <c r="S198" s="426">
        <v>7.1180000000000003</v>
      </c>
      <c r="T198" s="426">
        <v>7.1180000000000003</v>
      </c>
      <c r="U198" s="426">
        <v>7.1180000000000003</v>
      </c>
      <c r="V198" s="426">
        <v>7.1180000000000003</v>
      </c>
      <c r="W198" s="426">
        <v>3.9279999999999999</v>
      </c>
      <c r="X198" s="426">
        <v>3.9279999999999999</v>
      </c>
      <c r="Y198" s="426">
        <v>3.9279999999999999</v>
      </c>
      <c r="Z198" s="426">
        <v>3.9279999999999999</v>
      </c>
      <c r="AA198" s="426">
        <v>3.9279999999999999</v>
      </c>
      <c r="AB198" s="426">
        <v>2.9260000000000002</v>
      </c>
      <c r="AC198" s="426">
        <v>2.9260000000000002</v>
      </c>
      <c r="AD198" s="426">
        <v>2.9260000000000002</v>
      </c>
      <c r="AE198" s="426">
        <v>2.9260000000000002</v>
      </c>
      <c r="AF198" s="426">
        <v>2.9260000000000002</v>
      </c>
      <c r="AG198" s="426">
        <v>26.366</v>
      </c>
      <c r="AH198" s="426">
        <v>-6.7629999999999999</v>
      </c>
      <c r="AI198" s="426">
        <v>-5.7779999999999996</v>
      </c>
      <c r="AJ198" s="426">
        <v>-6.7629999999999999</v>
      </c>
      <c r="AK198" s="426">
        <v>-6.7629999999999999</v>
      </c>
      <c r="AL198" s="426">
        <v>-5.7779999999999996</v>
      </c>
      <c r="AM198" s="426">
        <v>-5.7779999999999996</v>
      </c>
      <c r="AN198" s="426">
        <v>-3.343</v>
      </c>
      <c r="AO198" s="426">
        <v>-3.343</v>
      </c>
    </row>
    <row r="199" spans="3:43" x14ac:dyDescent="0.25">
      <c r="D199" s="75"/>
      <c r="F199" t="s">
        <v>155</v>
      </c>
      <c r="G199" t="s">
        <v>267</v>
      </c>
      <c r="J199" s="430">
        <v>1.59</v>
      </c>
      <c r="K199" s="430">
        <v>1.59</v>
      </c>
      <c r="L199" s="430">
        <v>1.8240000000000001</v>
      </c>
      <c r="M199" s="430">
        <v>1.8240000000000001</v>
      </c>
      <c r="N199" s="430">
        <v>1.8240000000000001</v>
      </c>
      <c r="O199" s="430">
        <v>1.8240000000000001</v>
      </c>
      <c r="P199" s="430">
        <v>1.8240000000000001</v>
      </c>
      <c r="Q199" s="430">
        <v>1.8240000000000001</v>
      </c>
      <c r="R199" s="430">
        <v>1.153</v>
      </c>
      <c r="S199" s="430">
        <v>1.153</v>
      </c>
      <c r="T199" s="430">
        <v>1.153</v>
      </c>
      <c r="U199" s="430">
        <v>1.153</v>
      </c>
      <c r="V199" s="430">
        <v>1.153</v>
      </c>
      <c r="W199" s="430">
        <v>0.58799999999999997</v>
      </c>
      <c r="X199" s="430">
        <v>0.58799999999999997</v>
      </c>
      <c r="Y199" s="430">
        <v>0.58799999999999997</v>
      </c>
      <c r="Z199" s="430">
        <v>0.58799999999999997</v>
      </c>
      <c r="AA199" s="430">
        <v>0.58799999999999997</v>
      </c>
      <c r="AB199" s="430">
        <v>0.41199999999999998</v>
      </c>
      <c r="AC199" s="430">
        <v>0.41199999999999998</v>
      </c>
      <c r="AD199" s="430">
        <v>0.41199999999999998</v>
      </c>
      <c r="AE199" s="430">
        <v>0.41199999999999998</v>
      </c>
      <c r="AF199" s="430">
        <v>0.41199999999999998</v>
      </c>
      <c r="AG199" s="430">
        <v>1.665</v>
      </c>
      <c r="AH199" s="430">
        <v>-1.1240000000000001</v>
      </c>
      <c r="AI199" s="430">
        <v>-0.94699999999999995</v>
      </c>
      <c r="AJ199" s="430">
        <v>-1.1240000000000001</v>
      </c>
      <c r="AK199" s="430">
        <v>-1.1240000000000001</v>
      </c>
      <c r="AL199" s="430">
        <v>-0.94699999999999995</v>
      </c>
      <c r="AM199" s="430">
        <v>-0.94699999999999995</v>
      </c>
      <c r="AN199" s="430">
        <v>-0.501</v>
      </c>
      <c r="AO199" s="430">
        <v>-0.501</v>
      </c>
    </row>
    <row r="200" spans="3:43" x14ac:dyDescent="0.25">
      <c r="D200" s="75"/>
      <c r="F200" t="s">
        <v>156</v>
      </c>
      <c r="G200" t="s">
        <v>267</v>
      </c>
      <c r="J200" s="430">
        <v>0.311</v>
      </c>
      <c r="K200" s="430">
        <v>0.311</v>
      </c>
      <c r="L200" s="430">
        <v>0.35699999999999998</v>
      </c>
      <c r="M200" s="430">
        <v>0.35699999999999998</v>
      </c>
      <c r="N200" s="430">
        <v>0.35699999999999998</v>
      </c>
      <c r="O200" s="430">
        <v>0.35699999999999998</v>
      </c>
      <c r="P200" s="430">
        <v>0.35699999999999998</v>
      </c>
      <c r="Q200" s="430">
        <v>0.35699999999999998</v>
      </c>
      <c r="R200" s="430">
        <v>0.222</v>
      </c>
      <c r="S200" s="430">
        <v>0.222</v>
      </c>
      <c r="T200" s="430">
        <v>0.222</v>
      </c>
      <c r="U200" s="430">
        <v>0.222</v>
      </c>
      <c r="V200" s="430">
        <v>0.222</v>
      </c>
      <c r="W200" s="430">
        <v>0.107</v>
      </c>
      <c r="X200" s="430">
        <v>0.107</v>
      </c>
      <c r="Y200" s="430">
        <v>0.107</v>
      </c>
      <c r="Z200" s="430">
        <v>0.107</v>
      </c>
      <c r="AA200" s="430">
        <v>0.107</v>
      </c>
      <c r="AB200" s="430">
        <v>7.0999999999999994E-2</v>
      </c>
      <c r="AC200" s="430">
        <v>7.0999999999999994E-2</v>
      </c>
      <c r="AD200" s="430">
        <v>7.0999999999999994E-2</v>
      </c>
      <c r="AE200" s="430">
        <v>7.0999999999999994E-2</v>
      </c>
      <c r="AF200" s="430">
        <v>7.0999999999999994E-2</v>
      </c>
      <c r="AG200" s="430">
        <v>0.52800000000000002</v>
      </c>
      <c r="AH200" s="430">
        <v>-0.22</v>
      </c>
      <c r="AI200" s="430">
        <v>-0.184</v>
      </c>
      <c r="AJ200" s="430">
        <v>-0.22</v>
      </c>
      <c r="AK200" s="430">
        <v>-0.22</v>
      </c>
      <c r="AL200" s="430">
        <v>-0.184</v>
      </c>
      <c r="AM200" s="430">
        <v>-0.184</v>
      </c>
      <c r="AN200" s="430">
        <v>-9.0999999999999998E-2</v>
      </c>
      <c r="AO200" s="430">
        <v>-9.0999999999999998E-2</v>
      </c>
    </row>
    <row r="201" spans="3:43" x14ac:dyDescent="0.25">
      <c r="D201" s="75"/>
      <c r="F201" t="s">
        <v>157</v>
      </c>
      <c r="G201" t="s">
        <v>268</v>
      </c>
      <c r="J201" s="430">
        <v>18.12</v>
      </c>
      <c r="K201" s="126"/>
      <c r="L201" s="430">
        <v>15.09</v>
      </c>
      <c r="M201" s="430">
        <v>16.73</v>
      </c>
      <c r="N201" s="430">
        <v>19.72</v>
      </c>
      <c r="O201" s="430">
        <v>25.57</v>
      </c>
      <c r="P201" s="430">
        <v>43.33</v>
      </c>
      <c r="Q201" s="126"/>
      <c r="R201" s="430">
        <v>15.88</v>
      </c>
      <c r="S201" s="430">
        <v>62.53</v>
      </c>
      <c r="T201" s="430">
        <v>117.29</v>
      </c>
      <c r="U201" s="430">
        <v>172.72</v>
      </c>
      <c r="V201" s="430">
        <v>434.61</v>
      </c>
      <c r="W201" s="430">
        <v>15.88</v>
      </c>
      <c r="X201" s="430">
        <v>62.53</v>
      </c>
      <c r="Y201" s="430">
        <v>117.29</v>
      </c>
      <c r="Z201" s="430">
        <v>172.72</v>
      </c>
      <c r="AA201" s="430">
        <v>434.61</v>
      </c>
      <c r="AB201" s="430">
        <v>330.12</v>
      </c>
      <c r="AC201" s="430">
        <v>665.46</v>
      </c>
      <c r="AD201" s="430">
        <v>1185.67</v>
      </c>
      <c r="AE201" s="430">
        <v>1883.8</v>
      </c>
      <c r="AF201" s="430">
        <v>4543.8500000000004</v>
      </c>
      <c r="AG201" s="126"/>
      <c r="AH201" s="126"/>
      <c r="AI201" s="126"/>
      <c r="AJ201" s="126"/>
      <c r="AK201" s="126"/>
      <c r="AL201" s="126"/>
      <c r="AM201" s="126"/>
      <c r="AN201" s="430">
        <v>73.650000000000006</v>
      </c>
      <c r="AO201" s="430">
        <v>73.650000000000006</v>
      </c>
    </row>
    <row r="202" spans="3:43" x14ac:dyDescent="0.25">
      <c r="D202" s="75"/>
      <c r="F202" t="s">
        <v>158</v>
      </c>
      <c r="G202" t="s">
        <v>269</v>
      </c>
      <c r="J202" s="126"/>
      <c r="K202" s="126"/>
      <c r="L202" s="126"/>
      <c r="M202" s="126"/>
      <c r="N202" s="126"/>
      <c r="O202" s="126"/>
      <c r="P202" s="126"/>
      <c r="Q202" s="126"/>
      <c r="R202" s="430">
        <v>5.23</v>
      </c>
      <c r="S202" s="430">
        <v>5.23</v>
      </c>
      <c r="T202" s="430">
        <v>5.23</v>
      </c>
      <c r="U202" s="430">
        <v>5.23</v>
      </c>
      <c r="V202" s="430">
        <v>5.23</v>
      </c>
      <c r="W202" s="430">
        <v>4.87</v>
      </c>
      <c r="X202" s="430">
        <v>4.87</v>
      </c>
      <c r="Y202" s="430">
        <v>4.87</v>
      </c>
      <c r="Z202" s="430">
        <v>4.87</v>
      </c>
      <c r="AA202" s="430">
        <v>4.87</v>
      </c>
      <c r="AB202" s="430">
        <v>5.09</v>
      </c>
      <c r="AC202" s="430">
        <v>5.09</v>
      </c>
      <c r="AD202" s="430">
        <v>5.09</v>
      </c>
      <c r="AE202" s="430">
        <v>5.09</v>
      </c>
      <c r="AF202" s="430">
        <v>5.09</v>
      </c>
      <c r="AG202" s="126"/>
      <c r="AH202" s="126"/>
      <c r="AI202" s="126"/>
      <c r="AJ202" s="126"/>
      <c r="AK202" s="126"/>
      <c r="AL202" s="126"/>
      <c r="AM202" s="126"/>
      <c r="AN202" s="126"/>
      <c r="AO202" s="126"/>
    </row>
    <row r="203" spans="3:43" x14ac:dyDescent="0.25">
      <c r="D203" s="135"/>
      <c r="F203" t="s">
        <v>159</v>
      </c>
      <c r="G203" t="s">
        <v>269</v>
      </c>
      <c r="J203" s="126"/>
      <c r="K203" s="126"/>
      <c r="L203" s="126"/>
      <c r="M203" s="126"/>
      <c r="N203" s="126"/>
      <c r="O203" s="126"/>
      <c r="P203" s="126"/>
      <c r="Q203" s="126"/>
      <c r="R203" s="430">
        <v>5.23</v>
      </c>
      <c r="S203" s="430">
        <v>5.23</v>
      </c>
      <c r="T203" s="430">
        <v>5.23</v>
      </c>
      <c r="U203" s="430">
        <v>5.23</v>
      </c>
      <c r="V203" s="430">
        <v>5.23</v>
      </c>
      <c r="W203" s="430">
        <v>4.87</v>
      </c>
      <c r="X203" s="430">
        <v>4.87</v>
      </c>
      <c r="Y203" s="430">
        <v>4.87</v>
      </c>
      <c r="Z203" s="430">
        <v>4.87</v>
      </c>
      <c r="AA203" s="430">
        <v>4.87</v>
      </c>
      <c r="AB203" s="430">
        <v>5.09</v>
      </c>
      <c r="AC203" s="430">
        <v>5.09</v>
      </c>
      <c r="AD203" s="430">
        <v>5.09</v>
      </c>
      <c r="AE203" s="430">
        <v>5.09</v>
      </c>
      <c r="AF203" s="430">
        <v>5.09</v>
      </c>
      <c r="AG203" s="126"/>
      <c r="AH203" s="126"/>
      <c r="AI203" s="126"/>
      <c r="AJ203" s="126"/>
      <c r="AK203" s="126"/>
      <c r="AL203" s="126"/>
      <c r="AM203" s="126"/>
      <c r="AN203" s="126"/>
      <c r="AO203" s="126"/>
    </row>
    <row r="204" spans="3:43" x14ac:dyDescent="0.25">
      <c r="D204" s="135"/>
      <c r="F204" s="96" t="s">
        <v>160</v>
      </c>
      <c r="G204" s="96" t="s">
        <v>270</v>
      </c>
      <c r="H204" s="96"/>
      <c r="I204" s="96"/>
      <c r="J204" s="121"/>
      <c r="K204" s="121"/>
      <c r="L204" s="121"/>
      <c r="M204" s="121"/>
      <c r="N204" s="121"/>
      <c r="O204" s="121"/>
      <c r="P204" s="121"/>
      <c r="Q204" s="121"/>
      <c r="R204" s="429">
        <v>0.14599999999999999</v>
      </c>
      <c r="S204" s="429">
        <v>0.14599999999999999</v>
      </c>
      <c r="T204" s="429">
        <v>0.14599999999999999</v>
      </c>
      <c r="U204" s="429">
        <v>0.14599999999999999</v>
      </c>
      <c r="V204" s="429">
        <v>0.14599999999999999</v>
      </c>
      <c r="W204" s="429">
        <v>6.9000000000000006E-2</v>
      </c>
      <c r="X204" s="429">
        <v>6.9000000000000006E-2</v>
      </c>
      <c r="Y204" s="429">
        <v>6.9000000000000006E-2</v>
      </c>
      <c r="Z204" s="429">
        <v>6.9000000000000006E-2</v>
      </c>
      <c r="AA204" s="429">
        <v>6.9000000000000006E-2</v>
      </c>
      <c r="AB204" s="429">
        <v>4.8000000000000001E-2</v>
      </c>
      <c r="AC204" s="429">
        <v>4.8000000000000001E-2</v>
      </c>
      <c r="AD204" s="429">
        <v>4.8000000000000001E-2</v>
      </c>
      <c r="AE204" s="429">
        <v>4.8000000000000001E-2</v>
      </c>
      <c r="AF204" s="429">
        <v>4.8000000000000001E-2</v>
      </c>
      <c r="AG204" s="121"/>
      <c r="AH204" s="429">
        <v>0</v>
      </c>
      <c r="AI204" s="429">
        <v>0</v>
      </c>
      <c r="AJ204" s="429">
        <v>0.126</v>
      </c>
      <c r="AK204" s="121"/>
      <c r="AL204" s="429">
        <v>0.122</v>
      </c>
      <c r="AM204" s="121"/>
      <c r="AN204" s="429">
        <v>0.104</v>
      </c>
      <c r="AO204" s="121"/>
    </row>
    <row r="205" spans="3:43" x14ac:dyDescent="0.2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2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2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25">
      <c r="D208" s="86" t="s">
        <v>271</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25">
      <c r="D209" s="134" t="s">
        <v>272</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25">
      <c r="D210" s="86" t="s">
        <v>273</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2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60" x14ac:dyDescent="0.25">
      <c r="J212" s="136" t="s">
        <v>1114</v>
      </c>
      <c r="K212" s="136" t="s">
        <v>783</v>
      </c>
      <c r="L212" s="136" t="s">
        <v>1115</v>
      </c>
      <c r="M212" s="136" t="s">
        <v>1116</v>
      </c>
      <c r="N212" s="136" t="s">
        <v>1117</v>
      </c>
      <c r="O212" s="136" t="s">
        <v>1118</v>
      </c>
      <c r="P212" s="136" t="s">
        <v>1119</v>
      </c>
      <c r="Q212" s="136" t="s">
        <v>784</v>
      </c>
      <c r="R212" s="136" t="s">
        <v>860</v>
      </c>
      <c r="S212" s="136" t="s">
        <v>861</v>
      </c>
      <c r="T212" s="136" t="s">
        <v>862</v>
      </c>
      <c r="U212" s="136" t="s">
        <v>863</v>
      </c>
      <c r="V212" s="136" t="s">
        <v>864</v>
      </c>
      <c r="W212" s="136" t="s">
        <v>865</v>
      </c>
      <c r="X212" s="136" t="s">
        <v>866</v>
      </c>
      <c r="Y212" s="136" t="s">
        <v>867</v>
      </c>
      <c r="Z212" s="136" t="s">
        <v>868</v>
      </c>
      <c r="AA212" s="136" t="s">
        <v>869</v>
      </c>
      <c r="AB212" s="136" t="s">
        <v>870</v>
      </c>
      <c r="AC212" s="136" t="s">
        <v>871</v>
      </c>
      <c r="AD212" s="136" t="s">
        <v>872</v>
      </c>
      <c r="AE212" s="136" t="s">
        <v>873</v>
      </c>
      <c r="AF212" s="136" t="s">
        <v>874</v>
      </c>
      <c r="AG212" s="136" t="s">
        <v>793</v>
      </c>
      <c r="AH212" s="136" t="s">
        <v>785</v>
      </c>
      <c r="AI212" s="136" t="s">
        <v>786</v>
      </c>
      <c r="AJ212" s="136" t="s">
        <v>787</v>
      </c>
      <c r="AK212" s="136" t="s">
        <v>796</v>
      </c>
      <c r="AL212" s="136" t="s">
        <v>788</v>
      </c>
      <c r="AM212" s="136" t="s">
        <v>795</v>
      </c>
      <c r="AN212" s="136" t="s">
        <v>789</v>
      </c>
      <c r="AO212" s="136" t="s">
        <v>794</v>
      </c>
    </row>
    <row r="213" spans="2:43" x14ac:dyDescent="0.25">
      <c r="E213" s="94" t="s">
        <v>274</v>
      </c>
      <c r="G213" t="s">
        <v>275</v>
      </c>
      <c r="J213" s="430">
        <v>183794512.0916124</v>
      </c>
      <c r="K213" s="430">
        <v>249377.26641827606</v>
      </c>
      <c r="L213" s="430">
        <v>1593.0990717822024</v>
      </c>
      <c r="M213" s="430">
        <v>4644978.4638355374</v>
      </c>
      <c r="N213" s="430">
        <v>8266466.7534394851</v>
      </c>
      <c r="O213" s="430">
        <v>6984810.7738460097</v>
      </c>
      <c r="P213" s="430">
        <v>19884357.077525776</v>
      </c>
      <c r="Q213" s="430">
        <v>49874.643345214194</v>
      </c>
      <c r="R213" s="430">
        <v>19265.102617452194</v>
      </c>
      <c r="S213" s="430">
        <v>12869728.448300241</v>
      </c>
      <c r="T213" s="430">
        <v>14899292.238293063</v>
      </c>
      <c r="U213" s="430">
        <v>9533597.4846087415</v>
      </c>
      <c r="V213" s="430">
        <v>17378908.502850283</v>
      </c>
      <c r="W213" s="430">
        <v>809.24724451785266</v>
      </c>
      <c r="X213" s="430">
        <v>56452.776291216403</v>
      </c>
      <c r="Y213" s="430">
        <v>168125.17774130002</v>
      </c>
      <c r="Z213" s="430">
        <v>487986.06002651213</v>
      </c>
      <c r="AA213" s="430">
        <v>10554376.842591954</v>
      </c>
      <c r="AB213" s="430">
        <v>478835.14540924673</v>
      </c>
      <c r="AC213" s="430">
        <v>2227961.939204467</v>
      </c>
      <c r="AD213" s="430">
        <v>6955853.0797291864</v>
      </c>
      <c r="AE213" s="430">
        <v>6284046.8376187151</v>
      </c>
      <c r="AF213" s="430">
        <v>23978568.631382667</v>
      </c>
      <c r="AG213" s="430">
        <v>2515532.6646171017</v>
      </c>
      <c r="AH213" s="430">
        <v>-2086478.8392677195</v>
      </c>
      <c r="AI213" s="430">
        <v>0</v>
      </c>
      <c r="AJ213" s="430">
        <v>-430854.68224099989</v>
      </c>
      <c r="AK213" s="430">
        <v>0</v>
      </c>
      <c r="AL213" s="430">
        <v>-12998.077112999998</v>
      </c>
      <c r="AM213" s="430">
        <v>0</v>
      </c>
      <c r="AN213" s="430">
        <v>-5337277.4795239996</v>
      </c>
      <c r="AO213" s="430">
        <v>0</v>
      </c>
    </row>
    <row r="214" spans="2:43" x14ac:dyDescent="0.25">
      <c r="G214" s="61"/>
    </row>
    <row r="215" spans="2:43" x14ac:dyDescent="0.25">
      <c r="B215" s="85" t="s">
        <v>229</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25">
      <c r="G216" s="61"/>
    </row>
    <row r="217" spans="2:43" x14ac:dyDescent="0.25">
      <c r="E217" s="75" t="s">
        <v>1059</v>
      </c>
      <c r="G217" s="61"/>
    </row>
    <row r="218" spans="2:43" x14ac:dyDescent="0.25">
      <c r="E218" s="75"/>
      <c r="F218" s="116" t="s">
        <v>245</v>
      </c>
      <c r="G218" s="116" t="s">
        <v>207</v>
      </c>
      <c r="H218" s="128" t="b">
        <f>SUM(J169:N169)=1</f>
        <v>1</v>
      </c>
    </row>
    <row r="219" spans="2:43" x14ac:dyDescent="0.25">
      <c r="E219" s="75"/>
      <c r="F219" s="129" t="s">
        <v>246</v>
      </c>
      <c r="G219" s="129" t="s">
        <v>207</v>
      </c>
      <c r="H219" s="130" t="b">
        <f t="shared" ref="H219:H220" si="0">SUM(J170:N170)=1</f>
        <v>1</v>
      </c>
    </row>
    <row r="220" spans="2:43" x14ac:dyDescent="0.25">
      <c r="E220" s="75"/>
      <c r="F220" s="120" t="s">
        <v>247</v>
      </c>
      <c r="G220" s="120" t="s">
        <v>207</v>
      </c>
      <c r="H220" s="131" t="b">
        <f t="shared" si="0"/>
        <v>1</v>
      </c>
    </row>
    <row r="221" spans="2:43" x14ac:dyDescent="0.25">
      <c r="E221" s="122"/>
      <c r="F221" s="123"/>
      <c r="G221" s="123"/>
      <c r="H221" s="14"/>
    </row>
    <row r="222" spans="2:43" x14ac:dyDescent="0.25">
      <c r="E222" s="75" t="s">
        <v>1060</v>
      </c>
      <c r="G222" s="61"/>
    </row>
    <row r="223" spans="2:43" x14ac:dyDescent="0.25">
      <c r="E223" s="75"/>
      <c r="F223" s="116" t="s">
        <v>245</v>
      </c>
      <c r="G223" s="116" t="s">
        <v>207</v>
      </c>
      <c r="H223" s="128" t="b">
        <f>SUM(J174:N174)=1</f>
        <v>1</v>
      </c>
    </row>
    <row r="224" spans="2:43" x14ac:dyDescent="0.25">
      <c r="E224" s="75"/>
      <c r="F224" s="129" t="s">
        <v>246</v>
      </c>
      <c r="G224" s="129" t="s">
        <v>207</v>
      </c>
      <c r="H224" s="130" t="b">
        <f t="shared" ref="H224:H225" si="1">SUM(J175:N175)=1</f>
        <v>1</v>
      </c>
    </row>
    <row r="225" spans="2:43" x14ac:dyDescent="0.25">
      <c r="E225" s="75"/>
      <c r="F225" s="120" t="s">
        <v>247</v>
      </c>
      <c r="G225" s="120" t="s">
        <v>207</v>
      </c>
      <c r="H225" s="131" t="b">
        <f t="shared" si="1"/>
        <v>1</v>
      </c>
    </row>
    <row r="226" spans="2:43" x14ac:dyDescent="0.25">
      <c r="E226" s="122"/>
      <c r="F226" s="123"/>
      <c r="G226" s="123"/>
      <c r="H226" s="14"/>
    </row>
    <row r="227" spans="2:43" x14ac:dyDescent="0.25">
      <c r="E227" s="75" t="s">
        <v>1061</v>
      </c>
      <c r="G227" s="61"/>
    </row>
    <row r="228" spans="2:43" x14ac:dyDescent="0.25">
      <c r="E228" s="75"/>
      <c r="F228" s="116" t="s">
        <v>245</v>
      </c>
      <c r="G228" s="116" t="s">
        <v>207</v>
      </c>
      <c r="H228" s="128" t="b">
        <f>SUM(J179:N179)=1</f>
        <v>1</v>
      </c>
    </row>
    <row r="229" spans="2:43" x14ac:dyDescent="0.25">
      <c r="E229" s="75"/>
      <c r="F229" s="129" t="s">
        <v>246</v>
      </c>
      <c r="G229" s="129" t="s">
        <v>207</v>
      </c>
      <c r="H229" s="130" t="b">
        <f t="shared" ref="H229:H230" si="2">SUM(J180:N180)=1</f>
        <v>1</v>
      </c>
    </row>
    <row r="230" spans="2:43" x14ac:dyDescent="0.25">
      <c r="E230" s="75"/>
      <c r="F230" s="120" t="s">
        <v>247</v>
      </c>
      <c r="G230" s="120" t="s">
        <v>207</v>
      </c>
      <c r="H230" s="131" t="b">
        <f t="shared" si="2"/>
        <v>1</v>
      </c>
    </row>
    <row r="231" spans="2:43" x14ac:dyDescent="0.25">
      <c r="G231" s="61"/>
    </row>
    <row r="232" spans="2:43" x14ac:dyDescent="0.25">
      <c r="E232" t="s">
        <v>1062</v>
      </c>
      <c r="G232" s="6" t="s">
        <v>54</v>
      </c>
      <c r="H232" s="109">
        <f>COUNTIF(H218:H230,FALSE)</f>
        <v>0</v>
      </c>
    </row>
    <row r="233" spans="2:43" x14ac:dyDescent="0.25">
      <c r="G233" s="61"/>
    </row>
    <row r="234" spans="2:43" x14ac:dyDescent="0.25">
      <c r="E234" t="s">
        <v>230</v>
      </c>
      <c r="G234" s="6" t="s">
        <v>54</v>
      </c>
      <c r="H234" s="109">
        <f t="array" ref="H234">SUM(IF(ISERROR(H13:Y214), 1))</f>
        <v>0</v>
      </c>
    </row>
    <row r="235" spans="2:43" x14ac:dyDescent="0.25">
      <c r="G235" s="61"/>
    </row>
    <row r="236" spans="2:43" x14ac:dyDescent="0.25">
      <c r="E236" t="s">
        <v>237</v>
      </c>
      <c r="G236" s="6" t="s">
        <v>54</v>
      </c>
      <c r="H236" s="113">
        <f xml:space="preserve"> H232 + H234</f>
        <v>0</v>
      </c>
    </row>
    <row r="238" spans="2:43" x14ac:dyDescent="0.25">
      <c r="B238" s="85" t="s">
        <v>105</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sheet="1"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H56 &amp; IF(H56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 t="s">
        <v>141</v>
      </c>
      <c r="H5" s="138" t="s">
        <v>142</v>
      </c>
      <c r="I5" s="62"/>
      <c r="J5" s="138" t="s">
        <v>187</v>
      </c>
      <c r="K5" s="138" t="s">
        <v>189</v>
      </c>
      <c r="L5" s="138" t="s">
        <v>190</v>
      </c>
      <c r="M5" s="138" t="s">
        <v>191</v>
      </c>
      <c r="N5" s="138" t="s">
        <v>192</v>
      </c>
      <c r="O5" s="138" t="s">
        <v>193</v>
      </c>
      <c r="P5" s="138" t="s">
        <v>194</v>
      </c>
      <c r="Q5" s="138" t="s">
        <v>195</v>
      </c>
      <c r="R5" s="138" t="s">
        <v>196</v>
      </c>
      <c r="S5" s="138" t="s">
        <v>197</v>
      </c>
      <c r="U5" s="91" t="s">
        <v>143</v>
      </c>
    </row>
    <row r="7" spans="1:27" x14ac:dyDescent="0.25">
      <c r="B7" s="85" t="s">
        <v>9</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25">
      <c r="C9" s="86" t="s">
        <v>276</v>
      </c>
    </row>
    <row r="11" spans="1:27" x14ac:dyDescent="0.25">
      <c r="B11" s="85" t="s">
        <v>57</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2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25">
      <c r="E15" s="94" t="s">
        <v>277</v>
      </c>
      <c r="G15" s="94" t="s">
        <v>165</v>
      </c>
      <c r="I15" t="s">
        <v>152</v>
      </c>
      <c r="J15" s="139"/>
      <c r="K15" s="435">
        <v>0.19989489363654131</v>
      </c>
      <c r="L15" s="435">
        <v>0.29507785949405158</v>
      </c>
      <c r="M15" s="139"/>
      <c r="N15" s="435">
        <v>0.2203822936405663</v>
      </c>
      <c r="O15" s="139"/>
      <c r="P15" s="140"/>
      <c r="Q15" s="435">
        <v>0.34</v>
      </c>
      <c r="R15" s="100"/>
      <c r="S15" s="100"/>
      <c r="U15" s="97" t="s">
        <v>278</v>
      </c>
    </row>
    <row r="17" spans="3:27" x14ac:dyDescent="0.25">
      <c r="E17" s="94" t="s">
        <v>279</v>
      </c>
      <c r="G17" s="94" t="s">
        <v>165</v>
      </c>
      <c r="H17" s="94"/>
      <c r="I17" s="141"/>
      <c r="J17" s="139"/>
      <c r="K17" s="100"/>
      <c r="L17" s="100"/>
      <c r="M17" s="100"/>
      <c r="N17" s="100"/>
      <c r="O17" s="100"/>
      <c r="P17" s="435">
        <v>0</v>
      </c>
      <c r="Q17" s="100"/>
      <c r="R17" s="100"/>
      <c r="S17" s="100"/>
    </row>
    <row r="19" spans="3:27" x14ac:dyDescent="0.25">
      <c r="E19" s="94" t="s">
        <v>280</v>
      </c>
      <c r="G19" s="94" t="s">
        <v>281</v>
      </c>
      <c r="I19" t="s">
        <v>152</v>
      </c>
      <c r="J19" s="119"/>
      <c r="K19" s="427">
        <v>1</v>
      </c>
      <c r="L19" s="427">
        <v>1.0049999999999999</v>
      </c>
      <c r="M19" s="427">
        <v>1.008</v>
      </c>
      <c r="N19" s="427">
        <v>1.01</v>
      </c>
      <c r="O19" s="427">
        <v>1.0149999999999999</v>
      </c>
      <c r="P19" s="119"/>
      <c r="Q19" s="427">
        <v>1.024</v>
      </c>
      <c r="R19" s="427">
        <v>1.04</v>
      </c>
      <c r="S19" s="427">
        <v>1.1020000000000001</v>
      </c>
      <c r="U19" s="97" t="s">
        <v>282</v>
      </c>
    </row>
    <row r="20" spans="3:27" x14ac:dyDescent="0.25">
      <c r="J20" s="106"/>
      <c r="K20" s="106"/>
      <c r="L20" s="106"/>
      <c r="M20" s="106"/>
      <c r="N20" s="106"/>
      <c r="O20" s="106"/>
      <c r="P20" s="106"/>
      <c r="Q20" s="106"/>
      <c r="R20" s="106"/>
      <c r="S20" s="106"/>
    </row>
    <row r="21" spans="3:27" x14ac:dyDescent="0.25">
      <c r="E21" s="94" t="s">
        <v>283</v>
      </c>
      <c r="G21" s="94" t="s">
        <v>284</v>
      </c>
      <c r="I21" t="s">
        <v>152</v>
      </c>
      <c r="J21" s="119"/>
      <c r="K21" s="427">
        <v>0.1008783562566494</v>
      </c>
      <c r="L21" s="427">
        <v>0.1008783562566494</v>
      </c>
      <c r="M21" s="427">
        <v>0.12746109526390684</v>
      </c>
      <c r="N21" s="427">
        <v>0.12746109526390684</v>
      </c>
      <c r="O21" s="427">
        <v>9.9523041149533323E-2</v>
      </c>
      <c r="P21" s="427">
        <v>9.9523041149533323E-2</v>
      </c>
      <c r="Q21" s="427">
        <v>9.9523041149533323E-2</v>
      </c>
      <c r="R21" s="427">
        <v>9.9523041149533323E-2</v>
      </c>
      <c r="S21" s="427">
        <v>0</v>
      </c>
      <c r="U21" s="97" t="s">
        <v>285</v>
      </c>
    </row>
    <row r="23" spans="3:27" x14ac:dyDescent="0.2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25">
      <c r="C24" s="75"/>
      <c r="I24" t="s">
        <v>152</v>
      </c>
      <c r="U24" t="s">
        <v>286</v>
      </c>
    </row>
    <row r="25" spans="3:27" x14ac:dyDescent="0.25">
      <c r="C25" s="75"/>
      <c r="E25" s="75" t="s">
        <v>287</v>
      </c>
    </row>
    <row r="26" spans="3:27" x14ac:dyDescent="0.25">
      <c r="F26" s="98" t="s">
        <v>184</v>
      </c>
      <c r="G26" s="98" t="s">
        <v>165</v>
      </c>
      <c r="H26" s="95"/>
      <c r="I26" s="95"/>
      <c r="J26" s="99"/>
      <c r="K26" s="99"/>
      <c r="L26" s="432">
        <v>0</v>
      </c>
      <c r="M26" s="432">
        <v>0</v>
      </c>
      <c r="N26" s="432">
        <v>0</v>
      </c>
      <c r="O26" s="432">
        <v>0</v>
      </c>
      <c r="P26" s="432">
        <v>0</v>
      </c>
      <c r="Q26" s="432">
        <v>0</v>
      </c>
      <c r="R26" s="432">
        <v>0</v>
      </c>
      <c r="S26" s="432">
        <v>0</v>
      </c>
    </row>
    <row r="27" spans="3:27" x14ac:dyDescent="0.25">
      <c r="F27" s="94" t="s">
        <v>183</v>
      </c>
      <c r="G27" s="94" t="s">
        <v>165</v>
      </c>
      <c r="J27" s="100"/>
      <c r="K27" s="100"/>
      <c r="L27" s="425">
        <v>0</v>
      </c>
      <c r="M27" s="425">
        <v>0</v>
      </c>
      <c r="N27" s="425">
        <v>0</v>
      </c>
      <c r="O27" s="425">
        <v>0</v>
      </c>
      <c r="P27" s="425">
        <v>0</v>
      </c>
      <c r="Q27" s="425">
        <v>0</v>
      </c>
      <c r="R27" s="425">
        <v>0</v>
      </c>
      <c r="S27" s="103"/>
    </row>
    <row r="28" spans="3:27" x14ac:dyDescent="0.25">
      <c r="F28" s="94" t="s">
        <v>182</v>
      </c>
      <c r="G28" s="94" t="s">
        <v>165</v>
      </c>
      <c r="J28" s="100"/>
      <c r="K28" s="100"/>
      <c r="L28" s="425">
        <v>0</v>
      </c>
      <c r="M28" s="425">
        <v>0</v>
      </c>
      <c r="N28" s="425">
        <v>0</v>
      </c>
      <c r="O28" s="425">
        <v>0</v>
      </c>
      <c r="P28" s="425">
        <v>0</v>
      </c>
      <c r="Q28" s="425">
        <v>0</v>
      </c>
      <c r="R28" s="103"/>
      <c r="S28" s="103"/>
    </row>
    <row r="29" spans="3:27" x14ac:dyDescent="0.25">
      <c r="F29" s="101" t="s">
        <v>181</v>
      </c>
      <c r="G29" s="101" t="s">
        <v>165</v>
      </c>
      <c r="H29" s="96"/>
      <c r="I29" s="96"/>
      <c r="J29" s="102"/>
      <c r="K29" s="102"/>
      <c r="L29" s="434">
        <v>0</v>
      </c>
      <c r="M29" s="434">
        <v>0</v>
      </c>
      <c r="N29" s="434">
        <v>0</v>
      </c>
      <c r="O29" s="434">
        <v>0</v>
      </c>
      <c r="P29" s="104"/>
      <c r="Q29" s="104"/>
      <c r="R29" s="104"/>
      <c r="S29" s="104"/>
    </row>
    <row r="31" spans="3:27" x14ac:dyDescent="0.2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25">
      <c r="E33" s="94" t="s">
        <v>288</v>
      </c>
      <c r="G33" s="94" t="s">
        <v>275</v>
      </c>
      <c r="I33" t="s">
        <v>152</v>
      </c>
      <c r="J33" s="119"/>
      <c r="K33" s="119"/>
      <c r="L33" s="427">
        <v>58899329.349634677</v>
      </c>
      <c r="M33" s="427">
        <v>36483135.632377945</v>
      </c>
      <c r="N33" s="427">
        <v>115678234.51967752</v>
      </c>
      <c r="O33" s="427">
        <v>44018427.355476975</v>
      </c>
      <c r="P33" s="427">
        <v>0</v>
      </c>
      <c r="Q33" s="427">
        <v>203725694.24879056</v>
      </c>
      <c r="R33" s="427">
        <v>61961301.160199992</v>
      </c>
      <c r="S33" s="427">
        <v>115814971.27464746</v>
      </c>
    </row>
    <row r="35" spans="2:27" x14ac:dyDescent="0.2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7" spans="2:27" x14ac:dyDescent="0.25">
      <c r="D37" s="86" t="s">
        <v>289</v>
      </c>
    </row>
    <row r="38" spans="2:27" x14ac:dyDescent="0.25">
      <c r="C38" s="86"/>
    </row>
    <row r="39" spans="2:27" x14ac:dyDescent="0.25">
      <c r="D39" s="75"/>
      <c r="E39" s="75" t="s">
        <v>290</v>
      </c>
      <c r="I39" t="s">
        <v>152</v>
      </c>
      <c r="U39" t="s">
        <v>291</v>
      </c>
    </row>
    <row r="40" spans="2:27" x14ac:dyDescent="0.25">
      <c r="F40" s="95" t="s">
        <v>292</v>
      </c>
      <c r="G40" s="116" t="s">
        <v>165</v>
      </c>
      <c r="H40" s="95"/>
      <c r="I40" s="95"/>
      <c r="J40" s="99"/>
      <c r="K40" s="432">
        <v>0.89121824261828475</v>
      </c>
      <c r="L40" s="432">
        <v>0.65795984167655719</v>
      </c>
      <c r="M40" s="432">
        <v>0.65795984167655719</v>
      </c>
      <c r="N40" s="432">
        <v>0.61002286090315028</v>
      </c>
      <c r="O40" s="432">
        <v>0.61002286090315028</v>
      </c>
      <c r="P40" s="432">
        <v>0</v>
      </c>
      <c r="Q40" s="432">
        <v>0.61002286090315028</v>
      </c>
      <c r="R40" s="432">
        <v>0.61002286090315028</v>
      </c>
      <c r="S40" s="432">
        <v>0.61002286090315028</v>
      </c>
    </row>
    <row r="41" spans="2:27" x14ac:dyDescent="0.25">
      <c r="F41" t="s">
        <v>293</v>
      </c>
      <c r="G41" s="118" t="s">
        <v>165</v>
      </c>
      <c r="J41" s="100"/>
      <c r="K41" s="425">
        <v>7.7534930355770582E-2</v>
      </c>
      <c r="L41" s="425">
        <v>0.25975400357689299</v>
      </c>
      <c r="M41" s="425">
        <v>0.25975400357689299</v>
      </c>
      <c r="N41" s="425">
        <v>0.31213543363540425</v>
      </c>
      <c r="O41" s="425">
        <v>0.31213543363540425</v>
      </c>
      <c r="P41" s="425">
        <v>0</v>
      </c>
      <c r="Q41" s="425">
        <v>0.31213543363540425</v>
      </c>
      <c r="R41" s="425">
        <v>0.31213543363540425</v>
      </c>
      <c r="S41" s="425">
        <v>0.31213543363540425</v>
      </c>
    </row>
    <row r="42" spans="2:27" x14ac:dyDescent="0.25">
      <c r="F42" s="96" t="s">
        <v>255</v>
      </c>
      <c r="G42" s="120" t="s">
        <v>165</v>
      </c>
      <c r="H42" s="96"/>
      <c r="I42" s="96"/>
      <c r="J42" s="102"/>
      <c r="K42" s="434">
        <v>3.1246827025944713E-2</v>
      </c>
      <c r="L42" s="434">
        <v>8.2286154746549753E-2</v>
      </c>
      <c r="M42" s="434">
        <v>8.2286154746549753E-2</v>
      </c>
      <c r="N42" s="434">
        <v>7.7841705461445518E-2</v>
      </c>
      <c r="O42" s="434">
        <v>7.7841705461445518E-2</v>
      </c>
      <c r="P42" s="434">
        <v>0</v>
      </c>
      <c r="Q42" s="434">
        <v>7.7841705461445518E-2</v>
      </c>
      <c r="R42" s="434">
        <v>7.7841705461445518E-2</v>
      </c>
      <c r="S42" s="434">
        <v>7.7841705461445518E-2</v>
      </c>
    </row>
    <row r="43" spans="2:27" x14ac:dyDescent="0.25">
      <c r="F43" s="96" t="s">
        <v>294</v>
      </c>
      <c r="G43" s="120" t="s">
        <v>165</v>
      </c>
      <c r="H43" s="96"/>
      <c r="I43" s="96"/>
      <c r="J43" s="102"/>
      <c r="K43" s="434">
        <v>0.84565753928450427</v>
      </c>
      <c r="L43" s="434">
        <v>0.65562536987234388</v>
      </c>
      <c r="M43" s="434">
        <v>0.65562536987234388</v>
      </c>
      <c r="N43" s="434">
        <v>0.5798279501794078</v>
      </c>
      <c r="O43" s="434">
        <v>0.5798279501794078</v>
      </c>
      <c r="P43" s="434">
        <v>0</v>
      </c>
      <c r="Q43" s="434">
        <v>0.5798279501794078</v>
      </c>
      <c r="R43" s="434">
        <v>0.5798279501794078</v>
      </c>
      <c r="S43" s="434">
        <v>0.5798279501794078</v>
      </c>
    </row>
    <row r="45" spans="2:27" x14ac:dyDescent="0.25">
      <c r="B45" s="85" t="s">
        <v>229</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25">
      <c r="E47" t="s">
        <v>230</v>
      </c>
      <c r="G47" s="6" t="s">
        <v>54</v>
      </c>
      <c r="H47" s="109">
        <f t="array" ref="H47">SUM(IF(ISERROR(H15:AA44), 1))</f>
        <v>0</v>
      </c>
    </row>
    <row r="49" spans="2:27" x14ac:dyDescent="0.25">
      <c r="E49" t="s">
        <v>295</v>
      </c>
      <c r="G49" s="6" t="s">
        <v>54</v>
      </c>
      <c r="H49" s="109">
        <f>IF(K19 = 1, 0, 1)</f>
        <v>0</v>
      </c>
    </row>
    <row r="51" spans="2:27" x14ac:dyDescent="0.25">
      <c r="E51" s="75" t="s">
        <v>296</v>
      </c>
    </row>
    <row r="52" spans="2:27" x14ac:dyDescent="0.25">
      <c r="E52" s="86" t="s">
        <v>297</v>
      </c>
    </row>
    <row r="53" spans="2:27" x14ac:dyDescent="0.25">
      <c r="F53" s="95" t="s">
        <v>298</v>
      </c>
      <c r="G53" s="110" t="s">
        <v>54</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25">
      <c r="F54" s="96" t="s">
        <v>190</v>
      </c>
      <c r="G54" s="77" t="s">
        <v>54</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25">
      <c r="E56" t="s">
        <v>237</v>
      </c>
      <c r="G56" s="6" t="s">
        <v>54</v>
      </c>
      <c r="H56" s="113">
        <f>SUM(H47:H54)</f>
        <v>0</v>
      </c>
    </row>
    <row r="58" spans="2:27" x14ac:dyDescent="0.25">
      <c r="B58" s="85" t="s">
        <v>105</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sheet="1"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21"/>
  <sheetViews>
    <sheetView showGridLines="0" zoomScale="80" zoomScaleNormal="80" workbookViewId="0">
      <pane ySplit="5" topLeftCell="A6" activePane="bottomLeft" state="frozen"/>
      <selection pane="bottomLeft"/>
    </sheetView>
  </sheetViews>
  <sheetFormatPr defaultColWidth="0" defaultRowHeight="15" x14ac:dyDescent="0.25"/>
  <cols>
    <col min="1" max="5" width="2.5703125" customWidth="1"/>
    <col min="6" max="6" width="68.5703125" customWidth="1"/>
    <col min="7" max="7" width="27.85546875" bestFit="1" customWidth="1"/>
    <col min="8"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H119 &amp; IF(H119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42" t="s">
        <v>141</v>
      </c>
      <c r="H5" s="138" t="s">
        <v>142</v>
      </c>
      <c r="J5" s="91" t="s">
        <v>143</v>
      </c>
    </row>
    <row r="6" spans="1:27" x14ac:dyDescent="0.25">
      <c r="G6" s="61"/>
    </row>
    <row r="7" spans="1:27" x14ac:dyDescent="0.25">
      <c r="B7" s="85" t="s">
        <v>9</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25">
      <c r="G8" s="61"/>
    </row>
    <row r="9" spans="1:27" x14ac:dyDescent="0.25">
      <c r="C9" s="86" t="s">
        <v>299</v>
      </c>
      <c r="G9" s="61"/>
    </row>
    <row r="10" spans="1:27" x14ac:dyDescent="0.25">
      <c r="G10" s="61"/>
    </row>
    <row r="11" spans="1:27" x14ac:dyDescent="0.25">
      <c r="B11" s="85" t="s">
        <v>59</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25">
      <c r="G12" s="61"/>
    </row>
    <row r="13" spans="1:27" x14ac:dyDescent="0.2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25">
      <c r="G14" s="61"/>
    </row>
    <row r="15" spans="1:27" x14ac:dyDescent="0.25">
      <c r="D15" s="75" t="s">
        <v>300</v>
      </c>
      <c r="E15" s="75"/>
      <c r="G15" s="61"/>
      <c r="I15" t="s">
        <v>152</v>
      </c>
      <c r="J15" t="s">
        <v>301</v>
      </c>
    </row>
    <row r="16" spans="1:27" x14ac:dyDescent="0.25">
      <c r="E16" s="98" t="s">
        <v>294</v>
      </c>
      <c r="F16" s="98"/>
      <c r="G16" s="143" t="s">
        <v>302</v>
      </c>
      <c r="H16" s="426">
        <v>297.5</v>
      </c>
    </row>
    <row r="17" spans="3:27" x14ac:dyDescent="0.25">
      <c r="E17" s="94" t="s">
        <v>303</v>
      </c>
      <c r="F17" s="94"/>
      <c r="G17" s="61" t="s">
        <v>302</v>
      </c>
      <c r="H17" s="427">
        <v>3356.5</v>
      </c>
    </row>
    <row r="18" spans="3:27" x14ac:dyDescent="0.25">
      <c r="E18" s="101" t="s">
        <v>255</v>
      </c>
      <c r="F18" s="101"/>
      <c r="G18" s="144" t="s">
        <v>302</v>
      </c>
      <c r="H18" s="429">
        <v>5106</v>
      </c>
    </row>
    <row r="19" spans="3:27" x14ac:dyDescent="0.25">
      <c r="G19" s="61"/>
      <c r="H19" s="106"/>
    </row>
    <row r="20" spans="3:27" x14ac:dyDescent="0.25">
      <c r="D20" s="75" t="s">
        <v>304</v>
      </c>
      <c r="E20" s="75"/>
      <c r="G20" s="61"/>
      <c r="H20" s="106"/>
      <c r="I20" t="s">
        <v>152</v>
      </c>
      <c r="J20" t="s">
        <v>301</v>
      </c>
    </row>
    <row r="21" spans="3:27" x14ac:dyDescent="0.25">
      <c r="E21" s="95" t="s">
        <v>292</v>
      </c>
      <c r="F21" s="95"/>
      <c r="G21" s="143" t="s">
        <v>302</v>
      </c>
      <c r="H21" s="426">
        <v>913.5</v>
      </c>
    </row>
    <row r="22" spans="3:27" x14ac:dyDescent="0.25">
      <c r="E22" t="s">
        <v>293</v>
      </c>
      <c r="G22" s="61" t="s">
        <v>302</v>
      </c>
      <c r="H22" s="427">
        <v>2740.5</v>
      </c>
    </row>
    <row r="23" spans="3:27" x14ac:dyDescent="0.25">
      <c r="E23" s="96" t="s">
        <v>255</v>
      </c>
      <c r="F23" s="96"/>
      <c r="G23" s="144" t="s">
        <v>302</v>
      </c>
      <c r="H23" s="429">
        <v>5106</v>
      </c>
    </row>
    <row r="24" spans="3:27" x14ac:dyDescent="0.25">
      <c r="G24" s="61"/>
    </row>
    <row r="25" spans="3:27" x14ac:dyDescent="0.2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25">
      <c r="G26" s="61"/>
    </row>
    <row r="27" spans="3:27" x14ac:dyDescent="0.25">
      <c r="D27" s="86" t="s">
        <v>305</v>
      </c>
      <c r="E27" s="86"/>
      <c r="G27" s="61"/>
    </row>
    <row r="28" spans="3:27" x14ac:dyDescent="0.25">
      <c r="D28" s="86"/>
      <c r="E28" s="86"/>
      <c r="G28" s="61"/>
    </row>
    <row r="29" spans="3:27" x14ac:dyDescent="0.25">
      <c r="D29" s="75" t="s">
        <v>306</v>
      </c>
      <c r="E29" s="75"/>
      <c r="G29" s="61"/>
      <c r="I29" t="s">
        <v>152</v>
      </c>
      <c r="J29" t="s">
        <v>307</v>
      </c>
    </row>
    <row r="30" spans="3:27" x14ac:dyDescent="0.25">
      <c r="E30" s="98" t="s">
        <v>173</v>
      </c>
      <c r="F30" s="95"/>
      <c r="G30" s="116" t="s">
        <v>165</v>
      </c>
      <c r="H30" s="432">
        <v>0.40999688257340583</v>
      </c>
    </row>
    <row r="31" spans="3:27" x14ac:dyDescent="0.25">
      <c r="E31" s="94" t="s">
        <v>175</v>
      </c>
      <c r="G31" s="118" t="s">
        <v>165</v>
      </c>
      <c r="H31" s="425">
        <v>0.60376444392351947</v>
      </c>
    </row>
    <row r="32" spans="3:27" x14ac:dyDescent="0.25">
      <c r="E32" s="94" t="s">
        <v>176</v>
      </c>
      <c r="G32" s="118" t="s">
        <v>165</v>
      </c>
      <c r="H32" s="425">
        <v>0.32468019364035799</v>
      </c>
    </row>
    <row r="33" spans="3:27" x14ac:dyDescent="0.25">
      <c r="E33" s="101" t="s">
        <v>177</v>
      </c>
      <c r="F33" s="96"/>
      <c r="G33" s="120" t="s">
        <v>165</v>
      </c>
      <c r="H33" s="434">
        <v>0.16961170739746073</v>
      </c>
    </row>
    <row r="34" spans="3:27" x14ac:dyDescent="0.25">
      <c r="G34" s="61"/>
    </row>
    <row r="35" spans="3:27" x14ac:dyDescent="0.2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25">
      <c r="D37" s="86" t="s">
        <v>1167</v>
      </c>
      <c r="E37" s="86"/>
      <c r="G37" s="61"/>
      <c r="H37" s="61"/>
      <c r="I37" t="s">
        <v>152</v>
      </c>
      <c r="J37" t="s">
        <v>1104</v>
      </c>
    </row>
    <row r="39" spans="3:27" x14ac:dyDescent="0.25">
      <c r="D39" s="75" t="s">
        <v>1140</v>
      </c>
    </row>
    <row r="40" spans="3:27" x14ac:dyDescent="0.25">
      <c r="E40" s="95" t="s">
        <v>1154</v>
      </c>
      <c r="F40" s="95"/>
      <c r="G40" s="95" t="s">
        <v>1133</v>
      </c>
      <c r="H40" s="426">
        <v>64.204489719015427</v>
      </c>
    </row>
    <row r="41" spans="3:27" x14ac:dyDescent="0.25">
      <c r="E41" t="s">
        <v>1155</v>
      </c>
      <c r="G41" t="s">
        <v>1133</v>
      </c>
      <c r="H41" s="430">
        <v>107.61468290675388</v>
      </c>
    </row>
    <row r="42" spans="3:27" x14ac:dyDescent="0.25">
      <c r="E42" t="s">
        <v>1156</v>
      </c>
      <c r="G42" t="s">
        <v>1133</v>
      </c>
      <c r="H42" s="430">
        <v>68.142273048820869</v>
      </c>
    </row>
    <row r="43" spans="3:27" x14ac:dyDescent="0.25">
      <c r="E43" t="s">
        <v>1141</v>
      </c>
    </row>
    <row r="44" spans="3:27" x14ac:dyDescent="0.25">
      <c r="F44" s="95" t="s">
        <v>1142</v>
      </c>
      <c r="G44" s="95" t="s">
        <v>1133</v>
      </c>
      <c r="H44" s="426">
        <v>1.4810361484210264</v>
      </c>
    </row>
    <row r="45" spans="3:27" x14ac:dyDescent="0.25">
      <c r="F45" t="s">
        <v>1143</v>
      </c>
      <c r="G45" t="s">
        <v>1133</v>
      </c>
      <c r="H45" s="430">
        <v>23.622310233538517</v>
      </c>
    </row>
    <row r="46" spans="3:27" x14ac:dyDescent="0.25">
      <c r="F46" t="s">
        <v>1144</v>
      </c>
      <c r="G46" t="s">
        <v>1133</v>
      </c>
      <c r="H46" s="430">
        <v>9.3313672974200514</v>
      </c>
    </row>
    <row r="47" spans="3:27" x14ac:dyDescent="0.25">
      <c r="F47" t="s">
        <v>1145</v>
      </c>
      <c r="G47" t="s">
        <v>1133</v>
      </c>
      <c r="H47" s="430">
        <v>1.4457486467592526</v>
      </c>
    </row>
    <row r="48" spans="3:27" x14ac:dyDescent="0.25">
      <c r="F48" t="s">
        <v>1146</v>
      </c>
      <c r="G48" t="s">
        <v>1133</v>
      </c>
      <c r="H48" s="430">
        <v>0.58181373026462968</v>
      </c>
    </row>
    <row r="49" spans="4:8" x14ac:dyDescent="0.25">
      <c r="F49" t="s">
        <v>1147</v>
      </c>
      <c r="G49" t="s">
        <v>1133</v>
      </c>
      <c r="H49" s="430">
        <v>2.985505907650839E-2</v>
      </c>
    </row>
    <row r="50" spans="4:8" x14ac:dyDescent="0.25">
      <c r="F50" t="s">
        <v>1148</v>
      </c>
      <c r="G50" t="s">
        <v>1133</v>
      </c>
      <c r="H50" s="430">
        <v>0</v>
      </c>
    </row>
    <row r="51" spans="4:8" x14ac:dyDescent="0.25">
      <c r="F51" t="s">
        <v>1149</v>
      </c>
      <c r="G51" t="s">
        <v>1133</v>
      </c>
      <c r="H51" s="430">
        <v>0</v>
      </c>
    </row>
    <row r="52" spans="4:8" x14ac:dyDescent="0.25">
      <c r="F52" t="s">
        <v>1150</v>
      </c>
      <c r="G52" t="s">
        <v>1133</v>
      </c>
      <c r="H52" s="430">
        <v>0</v>
      </c>
    </row>
    <row r="53" spans="4:8" x14ac:dyDescent="0.25">
      <c r="F53" t="s">
        <v>1151</v>
      </c>
      <c r="G53" t="s">
        <v>1133</v>
      </c>
      <c r="H53" s="430">
        <v>0</v>
      </c>
    </row>
    <row r="54" spans="4:8" x14ac:dyDescent="0.25">
      <c r="F54" t="s">
        <v>1152</v>
      </c>
      <c r="G54" t="s">
        <v>1133</v>
      </c>
      <c r="H54" s="430">
        <v>0</v>
      </c>
    </row>
    <row r="55" spans="4:8" x14ac:dyDescent="0.25">
      <c r="F55" s="96" t="s">
        <v>1153</v>
      </c>
      <c r="G55" s="96" t="s">
        <v>1133</v>
      </c>
      <c r="H55" s="429">
        <v>0</v>
      </c>
    </row>
    <row r="56" spans="4:8" x14ac:dyDescent="0.25">
      <c r="F56" s="145" t="s">
        <v>1157</v>
      </c>
      <c r="G56" s="145" t="s">
        <v>1133</v>
      </c>
      <c r="H56" s="146">
        <f>(H44 + H45 + H46 + H47 + H48 + H49 + H50 + H51 + H52 + H54) - (H53 + H55)</f>
        <v>36.492131115479992</v>
      </c>
    </row>
    <row r="57" spans="4:8" x14ac:dyDescent="0.25">
      <c r="E57" s="145" t="s">
        <v>1158</v>
      </c>
      <c r="F57" s="145"/>
      <c r="G57" s="145" t="s">
        <v>1133</v>
      </c>
      <c r="H57" s="146">
        <f>H40 + H41 + H42 + H56</f>
        <v>276.4535767900702</v>
      </c>
    </row>
    <row r="59" spans="4:8" x14ac:dyDescent="0.25">
      <c r="D59" s="75" t="s">
        <v>1168</v>
      </c>
    </row>
    <row r="60" spans="4:8" x14ac:dyDescent="0.25">
      <c r="E60" s="95" t="s">
        <v>1169</v>
      </c>
      <c r="F60" s="95"/>
      <c r="G60" s="95" t="s">
        <v>1133</v>
      </c>
      <c r="H60" s="426">
        <v>0</v>
      </c>
    </row>
    <row r="61" spans="4:8" x14ac:dyDescent="0.25">
      <c r="E61" t="s">
        <v>1135</v>
      </c>
      <c r="G61" t="s">
        <v>1133</v>
      </c>
      <c r="H61" s="430">
        <v>0</v>
      </c>
    </row>
    <row r="62" spans="4:8" x14ac:dyDescent="0.25">
      <c r="E62" t="s">
        <v>1136</v>
      </c>
      <c r="G62" t="s">
        <v>1133</v>
      </c>
      <c r="H62" s="430">
        <v>0</v>
      </c>
    </row>
    <row r="63" spans="4:8" x14ac:dyDescent="0.25">
      <c r="E63" t="s">
        <v>1137</v>
      </c>
      <c r="G63" t="s">
        <v>1133</v>
      </c>
      <c r="H63" s="430">
        <v>0.56827265052088982</v>
      </c>
    </row>
    <row r="64" spans="4:8" x14ac:dyDescent="0.25">
      <c r="E64" t="s">
        <v>1138</v>
      </c>
      <c r="G64" t="s">
        <v>1133</v>
      </c>
      <c r="H64" s="430">
        <v>0.51670674705209008</v>
      </c>
    </row>
    <row r="65" spans="4:8" x14ac:dyDescent="0.25">
      <c r="E65" t="s">
        <v>1139</v>
      </c>
      <c r="G65" t="s">
        <v>1133</v>
      </c>
      <c r="H65" s="430">
        <v>0</v>
      </c>
    </row>
    <row r="66" spans="4:8" x14ac:dyDescent="0.25">
      <c r="E66" s="145" t="s">
        <v>1171</v>
      </c>
      <c r="F66" s="145"/>
      <c r="G66" s="145" t="s">
        <v>1133</v>
      </c>
      <c r="H66" s="146">
        <f>SUM(H60:H65)</f>
        <v>1.08497939757298</v>
      </c>
    </row>
    <row r="68" spans="4:8" x14ac:dyDescent="0.25">
      <c r="D68" s="75" t="s">
        <v>1130</v>
      </c>
    </row>
    <row r="69" spans="4:8" x14ac:dyDescent="0.25">
      <c r="E69" s="95" t="s">
        <v>1129</v>
      </c>
      <c r="F69" s="95"/>
      <c r="G69" s="95" t="s">
        <v>1133</v>
      </c>
      <c r="H69" s="147">
        <f>H57 + H66</f>
        <v>277.53855618764317</v>
      </c>
    </row>
    <row r="70" spans="4:8" x14ac:dyDescent="0.25">
      <c r="E70" t="s">
        <v>1131</v>
      </c>
      <c r="G70" t="s">
        <v>1133</v>
      </c>
      <c r="H70" s="426">
        <v>14.80465702523828</v>
      </c>
    </row>
    <row r="71" spans="4:8" x14ac:dyDescent="0.25">
      <c r="E71" t="s">
        <v>1132</v>
      </c>
      <c r="G71" t="s">
        <v>1133</v>
      </c>
      <c r="H71" s="429">
        <v>0</v>
      </c>
    </row>
    <row r="72" spans="4:8" x14ac:dyDescent="0.25">
      <c r="E72" s="145" t="s">
        <v>1130</v>
      </c>
      <c r="F72" s="145"/>
      <c r="G72" s="145" t="s">
        <v>1133</v>
      </c>
      <c r="H72" s="146">
        <f>H69 + H70 + H71</f>
        <v>292.34321321288144</v>
      </c>
    </row>
    <row r="74" spans="4:8" ht="18" x14ac:dyDescent="0.35">
      <c r="D74" s="75" t="s">
        <v>1128</v>
      </c>
      <c r="G74" t="s">
        <v>1134</v>
      </c>
      <c r="H74" s="427">
        <v>1.3841294022609805</v>
      </c>
    </row>
    <row r="76" spans="4:8" x14ac:dyDescent="0.25">
      <c r="D76" s="75" t="s">
        <v>1122</v>
      </c>
    </row>
    <row r="77" spans="4:8" x14ac:dyDescent="0.25">
      <c r="E77" s="95" t="s">
        <v>1170</v>
      </c>
      <c r="F77" s="95"/>
      <c r="G77" s="95" t="s">
        <v>1124</v>
      </c>
      <c r="H77" s="146">
        <f>H72 * H74</f>
        <v>404.64083695939996</v>
      </c>
    </row>
    <row r="78" spans="4:8" x14ac:dyDescent="0.25">
      <c r="E78" t="s">
        <v>1125</v>
      </c>
      <c r="G78" t="s">
        <v>1124</v>
      </c>
      <c r="H78" s="430">
        <v>-40.882795496744954</v>
      </c>
    </row>
    <row r="79" spans="4:8" x14ac:dyDescent="0.25">
      <c r="E79" t="s">
        <v>1126</v>
      </c>
      <c r="G79" t="s">
        <v>1124</v>
      </c>
      <c r="H79" s="430">
        <v>0</v>
      </c>
    </row>
    <row r="80" spans="4:8" x14ac:dyDescent="0.25">
      <c r="E80" s="96" t="s">
        <v>1127</v>
      </c>
      <c r="F80" s="96"/>
      <c r="G80" s="96" t="s">
        <v>1124</v>
      </c>
      <c r="H80" s="429">
        <v>2.2458462197069466</v>
      </c>
    </row>
    <row r="81" spans="3:27" x14ac:dyDescent="0.25">
      <c r="E81" s="145" t="s">
        <v>1159</v>
      </c>
      <c r="F81" s="145"/>
      <c r="G81" s="145" t="s">
        <v>1124</v>
      </c>
      <c r="H81" s="146">
        <f>SUM(H77:H80)</f>
        <v>366.00388768236195</v>
      </c>
    </row>
    <row r="82" spans="3:27" x14ac:dyDescent="0.25">
      <c r="E82" s="145" t="s">
        <v>1159</v>
      </c>
      <c r="F82" s="145"/>
      <c r="G82" s="145" t="s">
        <v>275</v>
      </c>
      <c r="H82" s="146">
        <f>H81 * million</f>
        <v>366003887.68236196</v>
      </c>
    </row>
    <row r="84" spans="3:27" x14ac:dyDescent="0.25">
      <c r="D84" s="75" t="s">
        <v>1164</v>
      </c>
    </row>
    <row r="85" spans="3:27" x14ac:dyDescent="0.25">
      <c r="E85" s="95" t="s">
        <v>1172</v>
      </c>
      <c r="F85" s="95"/>
      <c r="G85" s="95" t="s">
        <v>275</v>
      </c>
      <c r="H85" s="426">
        <v>8553293.4647549335</v>
      </c>
    </row>
    <row r="86" spans="3:27" x14ac:dyDescent="0.25">
      <c r="E86" s="96" t="s">
        <v>1123</v>
      </c>
      <c r="F86" s="96"/>
      <c r="G86" s="96" t="s">
        <v>275</v>
      </c>
      <c r="H86" s="148">
        <f>H82 - H85</f>
        <v>357450594.21760702</v>
      </c>
    </row>
    <row r="88" spans="3:27" x14ac:dyDescent="0.25">
      <c r="D88" s="75" t="s">
        <v>825</v>
      </c>
    </row>
    <row r="89" spans="3:27" x14ac:dyDescent="0.25">
      <c r="E89" s="95" t="s">
        <v>1148</v>
      </c>
      <c r="F89" s="95"/>
      <c r="G89" s="95" t="s">
        <v>275</v>
      </c>
      <c r="H89" s="149">
        <f>H50 * H$74 * million</f>
        <v>0</v>
      </c>
    </row>
    <row r="90" spans="3:27" x14ac:dyDescent="0.25">
      <c r="E90" s="96" t="s">
        <v>1149</v>
      </c>
      <c r="F90" s="96"/>
      <c r="G90" s="96" t="s">
        <v>275</v>
      </c>
      <c r="H90" s="150">
        <f>H51 * H$74 * million</f>
        <v>0</v>
      </c>
    </row>
    <row r="92" spans="3:27" x14ac:dyDescent="0.25">
      <c r="D92" s="75" t="s">
        <v>308</v>
      </c>
      <c r="G92" t="s">
        <v>275</v>
      </c>
      <c r="H92" s="151">
        <f>H47 * H$74 * million</f>
        <v>2001103.2102585058</v>
      </c>
    </row>
    <row r="94" spans="3:27" x14ac:dyDescent="0.2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25">
      <c r="E96" s="94" t="s">
        <v>309</v>
      </c>
      <c r="G96" t="s">
        <v>165</v>
      </c>
      <c r="H96" s="435">
        <v>4.8399999999999999E-2</v>
      </c>
      <c r="I96" t="s">
        <v>152</v>
      </c>
      <c r="J96" s="3" t="s">
        <v>163</v>
      </c>
    </row>
    <row r="97" spans="2:27" x14ac:dyDescent="0.25">
      <c r="E97" s="94" t="s">
        <v>126</v>
      </c>
      <c r="G97" s="94" t="s">
        <v>310</v>
      </c>
      <c r="H97" s="423">
        <v>365</v>
      </c>
    </row>
    <row r="98" spans="2:27" x14ac:dyDescent="0.25">
      <c r="E98" t="s">
        <v>311</v>
      </c>
      <c r="G98" t="s">
        <v>145</v>
      </c>
      <c r="H98" s="113">
        <f>days_in_year * hours_in_day</f>
        <v>8760</v>
      </c>
    </row>
    <row r="100" spans="2:27" x14ac:dyDescent="0.2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25">
      <c r="E102" s="94" t="s">
        <v>312</v>
      </c>
      <c r="G102" t="s">
        <v>313</v>
      </c>
      <c r="H102" s="427">
        <v>12513699.089146795</v>
      </c>
      <c r="I102" t="s">
        <v>152</v>
      </c>
      <c r="J102" t="s">
        <v>314</v>
      </c>
    </row>
    <row r="103" spans="2:27" x14ac:dyDescent="0.25">
      <c r="H103" s="106"/>
    </row>
    <row r="104" spans="2:27" x14ac:dyDescent="0.2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25">
      <c r="H105" s="106"/>
    </row>
    <row r="106" spans="2:27" x14ac:dyDescent="0.25">
      <c r="E106" s="75" t="s">
        <v>315</v>
      </c>
      <c r="F106" s="75"/>
      <c r="H106" s="106"/>
      <c r="I106" t="s">
        <v>152</v>
      </c>
      <c r="J106" t="s">
        <v>168</v>
      </c>
    </row>
    <row r="107" spans="2:27" x14ac:dyDescent="0.25">
      <c r="F107" s="98" t="s">
        <v>316</v>
      </c>
      <c r="G107" s="95" t="s">
        <v>313</v>
      </c>
      <c r="H107" s="426">
        <v>27161010.484684773</v>
      </c>
    </row>
    <row r="108" spans="2:27" x14ac:dyDescent="0.25">
      <c r="F108" s="94" t="s">
        <v>317</v>
      </c>
      <c r="G108" t="s">
        <v>313</v>
      </c>
      <c r="H108" s="427">
        <v>129709332.40704063</v>
      </c>
      <c r="R108" s="105"/>
      <c r="S108" s="105"/>
    </row>
    <row r="109" spans="2:27" x14ac:dyDescent="0.25">
      <c r="F109" s="101" t="s">
        <v>318</v>
      </c>
      <c r="G109" s="96" t="s">
        <v>313</v>
      </c>
      <c r="H109" s="429">
        <v>32696334.143571109</v>
      </c>
      <c r="R109" s="105"/>
      <c r="S109" s="105"/>
    </row>
    <row r="111" spans="2:27" x14ac:dyDescent="0.25">
      <c r="B111" s="85" t="s">
        <v>229</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25">
      <c r="E113" t="s">
        <v>230</v>
      </c>
      <c r="G113" s="6" t="s">
        <v>54</v>
      </c>
      <c r="H113" s="109">
        <f t="array" ref="H113">SUM(IF(ISERROR(H6:H110), 1))</f>
        <v>0</v>
      </c>
    </row>
    <row r="115" spans="2:27" x14ac:dyDescent="0.25">
      <c r="E115" s="75" t="s">
        <v>319</v>
      </c>
    </row>
    <row r="116" spans="2:27" x14ac:dyDescent="0.25">
      <c r="F116" s="95" t="s">
        <v>320</v>
      </c>
      <c r="G116" s="110" t="s">
        <v>54</v>
      </c>
      <c r="H116" s="111">
        <f>IF(SUM(H16:H18) = hours_in_year, 0, 1)</f>
        <v>0</v>
      </c>
    </row>
    <row r="117" spans="2:27" x14ac:dyDescent="0.25">
      <c r="F117" s="96" t="s">
        <v>321</v>
      </c>
      <c r="G117" s="77" t="s">
        <v>54</v>
      </c>
      <c r="H117" s="112">
        <f>IF(SUM(H21:H23) = hours_in_year, 0, 1)</f>
        <v>0</v>
      </c>
    </row>
    <row r="119" spans="2:27" x14ac:dyDescent="0.25">
      <c r="E119" t="s">
        <v>237</v>
      </c>
      <c r="G119" s="6" t="s">
        <v>54</v>
      </c>
      <c r="H119" s="113">
        <f>SUM(H113,H116:H117)</f>
        <v>0</v>
      </c>
    </row>
    <row r="121" spans="2:27" x14ac:dyDescent="0.25">
      <c r="B121" s="85" t="s">
        <v>105</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sheet="1"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7" xr:uid="{00000000-0002-0000-0800-000001000000}">
      <formula1>365</formula1>
      <formula2>366</formula2>
    </dataValidation>
    <dataValidation type="decimal" operator="greaterThanOrEqual" allowBlank="1" showInputMessage="1" showErrorMessage="1" sqref="H107:H109 H16:H18 H102 H21:H23" xr:uid="{00000000-0002-0000-0800-000002000000}">
      <formula1>0</formula1>
    </dataValidation>
    <dataValidation type="decimal" operator="greaterThanOrEqual" allowBlank="1" showInputMessage="1" showErrorMessage="1" error="The rate of return must be a non-negative percentage value." sqref="H96" xr:uid="{00000000-0002-0000-0800-000003000000}">
      <formula1>0</formula1>
    </dataValidation>
    <dataValidation type="whole" allowBlank="1" showInputMessage="1" showErrorMessage="1" sqref="H98"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H58 &amp; IF(H58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322</v>
      </c>
      <c r="E9"/>
    </row>
    <row r="10" spans="1:27" x14ac:dyDescent="0.25">
      <c r="C10" s="86" t="s">
        <v>323</v>
      </c>
      <c r="E10"/>
    </row>
    <row r="11" spans="1:27" x14ac:dyDescent="0.25">
      <c r="C11" s="86" t="s">
        <v>324</v>
      </c>
      <c r="E11"/>
    </row>
    <row r="12" spans="1:27" x14ac:dyDescent="0.25">
      <c r="C12" s="86" t="s">
        <v>325</v>
      </c>
      <c r="E12"/>
    </row>
    <row r="13" spans="1:27" x14ac:dyDescent="0.25">
      <c r="C13" s="86"/>
      <c r="E13"/>
    </row>
    <row r="14" spans="1:27" x14ac:dyDescent="0.25">
      <c r="C14" s="86" t="s">
        <v>326</v>
      </c>
      <c r="E14"/>
    </row>
    <row r="15" spans="1:27" x14ac:dyDescent="0.25">
      <c r="C15" s="86" t="s">
        <v>327</v>
      </c>
      <c r="E15"/>
    </row>
    <row r="17" spans="2:27" x14ac:dyDescent="0.25">
      <c r="B17" s="85" t="s">
        <v>328</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25">
      <c r="C18" s="105"/>
    </row>
    <row r="19" spans="2:27" x14ac:dyDescent="0.2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25">
      <c r="C20" s="105"/>
    </row>
    <row r="21" spans="2:27" x14ac:dyDescent="0.25">
      <c r="D21" s="86" t="s">
        <v>329</v>
      </c>
      <c r="F21" s="2"/>
    </row>
    <row r="22" spans="2:27" x14ac:dyDescent="0.25">
      <c r="D22" s="105"/>
      <c r="F22" s="2"/>
    </row>
    <row r="23" spans="2:27" x14ac:dyDescent="0.25">
      <c r="D23"/>
      <c r="E23" s="75" t="s">
        <v>330</v>
      </c>
      <c r="F23" s="75"/>
      <c r="I23" t="s">
        <v>152</v>
      </c>
      <c r="AA23" t="s">
        <v>201</v>
      </c>
    </row>
    <row r="24" spans="2:27" x14ac:dyDescent="0.25">
      <c r="D24"/>
      <c r="E24" s="86" t="s">
        <v>331</v>
      </c>
    </row>
    <row r="25" spans="2:27" x14ac:dyDescent="0.25">
      <c r="D25" s="105"/>
      <c r="F25" s="95" t="s">
        <v>187</v>
      </c>
      <c r="G25" s="95" t="s">
        <v>165</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25">
      <c r="D26" s="105"/>
      <c r="F26" t="s">
        <v>189</v>
      </c>
      <c r="G26" t="s">
        <v>165</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25">
      <c r="D27" s="105"/>
      <c r="F27" t="s">
        <v>190</v>
      </c>
      <c r="G27" t="s">
        <v>165</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25">
      <c r="D28" s="105"/>
      <c r="F28" t="s">
        <v>191</v>
      </c>
      <c r="G28" t="s">
        <v>165</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25">
      <c r="D29" s="105"/>
      <c r="F29" t="s">
        <v>192</v>
      </c>
      <c r="G29" t="s">
        <v>165</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25">
      <c r="D30" s="105"/>
      <c r="F30" t="s">
        <v>193</v>
      </c>
      <c r="G30" t="s">
        <v>165</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25">
      <c r="D31" s="105"/>
      <c r="F31" t="s">
        <v>194</v>
      </c>
      <c r="G31" t="s">
        <v>165</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25">
      <c r="D32" s="105"/>
      <c r="F32" t="s">
        <v>195</v>
      </c>
      <c r="G32" t="s">
        <v>165</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25">
      <c r="D33" s="105"/>
      <c r="F33" t="s">
        <v>196</v>
      </c>
      <c r="G33" t="s">
        <v>165</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25">
      <c r="D34" s="105"/>
      <c r="F34" t="s">
        <v>197</v>
      </c>
      <c r="G34" t="s">
        <v>165</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25">
      <c r="D35" s="105"/>
      <c r="F35" t="s">
        <v>332</v>
      </c>
      <c r="G35" t="s">
        <v>165</v>
      </c>
      <c r="J35" s="100"/>
      <c r="K35" s="100"/>
      <c r="L35" s="100"/>
      <c r="M35" s="100"/>
      <c r="N35" s="100"/>
      <c r="O35" s="100"/>
      <c r="P35" s="100"/>
      <c r="Q35" s="100"/>
      <c r="R35" s="100"/>
      <c r="S35" s="100"/>
      <c r="T35" s="100"/>
      <c r="U35" s="100"/>
      <c r="V35" s="100"/>
      <c r="W35" s="100"/>
      <c r="X35" s="100"/>
      <c r="Y35" s="100"/>
    </row>
    <row r="36" spans="4:27" x14ac:dyDescent="0.25">
      <c r="D36" s="105"/>
      <c r="F36" s="96" t="s">
        <v>333</v>
      </c>
      <c r="G36" s="96" t="s">
        <v>165</v>
      </c>
      <c r="H36" s="96"/>
      <c r="I36" s="96"/>
      <c r="J36" s="102"/>
      <c r="K36" s="102"/>
      <c r="L36" s="102"/>
      <c r="M36" s="102"/>
      <c r="N36" s="102"/>
      <c r="O36" s="102"/>
      <c r="P36" s="102"/>
      <c r="Q36" s="102"/>
      <c r="R36" s="102"/>
      <c r="S36" s="102"/>
      <c r="T36" s="102"/>
      <c r="U36" s="102"/>
      <c r="V36" s="102"/>
      <c r="W36" s="102"/>
      <c r="X36" s="102"/>
      <c r="Y36" s="102"/>
    </row>
    <row r="37" spans="4:27" x14ac:dyDescent="0.25">
      <c r="D37" s="105"/>
      <c r="F37" s="2"/>
    </row>
    <row r="38" spans="4:27" x14ac:dyDescent="0.25">
      <c r="D38"/>
      <c r="E38" s="75" t="s">
        <v>279</v>
      </c>
      <c r="F38" s="2"/>
    </row>
    <row r="39" spans="4:27" x14ac:dyDescent="0.25">
      <c r="D39" s="105"/>
      <c r="E39"/>
      <c r="F39" s="94" t="s">
        <v>279</v>
      </c>
      <c r="G39" s="94" t="s">
        <v>165</v>
      </c>
      <c r="H39" s="155">
        <f>'Inputs by network level'!P17</f>
        <v>0</v>
      </c>
    </row>
    <row r="40" spans="4:27" x14ac:dyDescent="0.25">
      <c r="D40" s="105"/>
      <c r="F40" s="2"/>
    </row>
    <row r="41" spans="4:27" x14ac:dyDescent="0.25">
      <c r="D41"/>
      <c r="E41" s="75" t="s">
        <v>334</v>
      </c>
      <c r="F41" s="75"/>
    </row>
    <row r="42" spans="4:27" x14ac:dyDescent="0.25">
      <c r="D42"/>
      <c r="E42" s="86" t="s">
        <v>335</v>
      </c>
    </row>
    <row r="43" spans="4:27" x14ac:dyDescent="0.25">
      <c r="D43" s="105"/>
      <c r="F43" s="95" t="s">
        <v>187</v>
      </c>
      <c r="G43" s="95" t="s">
        <v>165</v>
      </c>
      <c r="H43" s="95"/>
      <c r="I43" s="95"/>
      <c r="J43" s="99"/>
      <c r="K43" s="99"/>
      <c r="L43" s="99"/>
      <c r="M43" s="99"/>
      <c r="N43" s="99"/>
      <c r="O43" s="99"/>
      <c r="P43" s="99"/>
      <c r="Q43" s="99"/>
      <c r="R43" s="99"/>
      <c r="S43" s="99"/>
      <c r="T43" s="99"/>
      <c r="U43" s="99"/>
      <c r="V43" s="99"/>
      <c r="W43" s="99"/>
      <c r="X43" s="99"/>
      <c r="Y43" s="99"/>
    </row>
    <row r="44" spans="4:27" x14ac:dyDescent="0.25">
      <c r="D44" s="105"/>
      <c r="F44" t="s">
        <v>189</v>
      </c>
      <c r="G44" t="s">
        <v>165</v>
      </c>
      <c r="J44" s="100"/>
      <c r="K44" s="100"/>
      <c r="L44" s="100"/>
      <c r="M44" s="100"/>
      <c r="N44" s="100"/>
      <c r="O44" s="100"/>
      <c r="P44" s="100"/>
      <c r="Q44" s="100"/>
      <c r="R44" s="100"/>
      <c r="S44" s="100"/>
      <c r="T44" s="100"/>
      <c r="U44" s="100"/>
      <c r="V44" s="100"/>
      <c r="W44" s="100"/>
      <c r="X44" s="100"/>
      <c r="Y44" s="100"/>
    </row>
    <row r="45" spans="4:27" x14ac:dyDescent="0.25">
      <c r="D45" s="105"/>
      <c r="F45" s="145" t="s">
        <v>190</v>
      </c>
      <c r="G45" s="145" t="s">
        <v>165</v>
      </c>
      <c r="H45" s="145"/>
      <c r="I45" s="145" t="s">
        <v>152</v>
      </c>
      <c r="J45" s="156">
        <f>IF($H$39 = 0, J27, J29 * $H$39)</f>
        <v>0</v>
      </c>
      <c r="K45" s="156">
        <f t="shared" ref="K45:Q45" si="0">IF($H$39 = 0, K27, K29 * $H$39)</f>
        <v>0</v>
      </c>
      <c r="L45" s="156">
        <f t="shared" si="0"/>
        <v>0</v>
      </c>
      <c r="M45" s="156">
        <f t="shared" si="0"/>
        <v>0</v>
      </c>
      <c r="N45" s="156">
        <f t="shared" si="0"/>
        <v>0</v>
      </c>
      <c r="O45" s="156">
        <f t="shared" si="0"/>
        <v>0</v>
      </c>
      <c r="P45" s="156">
        <f t="shared" si="0"/>
        <v>0</v>
      </c>
      <c r="Q45" s="156">
        <f t="shared" si="0"/>
        <v>0</v>
      </c>
      <c r="R45" s="157"/>
      <c r="S45" s="157"/>
      <c r="T45" s="157"/>
      <c r="U45" s="157"/>
      <c r="V45" s="157"/>
      <c r="W45" s="157"/>
      <c r="X45" s="157"/>
      <c r="Y45" s="157"/>
      <c r="AA45" t="s">
        <v>336</v>
      </c>
    </row>
    <row r="46" spans="4:27" x14ac:dyDescent="0.25">
      <c r="D46" s="105"/>
      <c r="F46" t="s">
        <v>191</v>
      </c>
      <c r="G46" t="s">
        <v>165</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25">
      <c r="D47" s="105"/>
      <c r="F47" t="s">
        <v>192</v>
      </c>
      <c r="G47" t="s">
        <v>165</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25">
      <c r="D48" s="105"/>
      <c r="F48" t="s">
        <v>193</v>
      </c>
      <c r="G48" t="s">
        <v>165</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25">
      <c r="D49" s="105"/>
      <c r="F49" s="145" t="s">
        <v>194</v>
      </c>
      <c r="G49" s="145" t="s">
        <v>165</v>
      </c>
      <c r="H49" s="145"/>
      <c r="I49" s="145" t="s">
        <v>152</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337</v>
      </c>
    </row>
    <row r="50" spans="2:27" x14ac:dyDescent="0.25">
      <c r="D50" s="105"/>
      <c r="F50" t="s">
        <v>195</v>
      </c>
      <c r="G50" t="s">
        <v>165</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25">
      <c r="D51" s="105"/>
      <c r="F51" t="s">
        <v>196</v>
      </c>
      <c r="G51" t="s">
        <v>165</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25">
      <c r="D52" s="105"/>
      <c r="F52" t="s">
        <v>197</v>
      </c>
      <c r="G52" t="s">
        <v>165</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25">
      <c r="D53" s="105"/>
      <c r="F53" t="s">
        <v>332</v>
      </c>
      <c r="G53" t="s">
        <v>165</v>
      </c>
      <c r="J53" s="100"/>
      <c r="K53" s="100"/>
      <c r="L53" s="100"/>
      <c r="M53" s="100"/>
      <c r="N53" s="100"/>
      <c r="O53" s="100"/>
      <c r="P53" s="100"/>
      <c r="Q53" s="100"/>
      <c r="R53" s="100"/>
      <c r="S53" s="100"/>
      <c r="T53" s="100"/>
      <c r="U53" s="100"/>
      <c r="V53" s="100"/>
      <c r="W53" s="100"/>
      <c r="X53" s="100"/>
      <c r="Y53" s="100"/>
    </row>
    <row r="54" spans="2:27" x14ac:dyDescent="0.25">
      <c r="D54" s="105"/>
      <c r="F54" s="96" t="s">
        <v>333</v>
      </c>
      <c r="G54" s="96" t="s">
        <v>165</v>
      </c>
      <c r="H54" s="96"/>
      <c r="I54" s="96"/>
      <c r="J54" s="102"/>
      <c r="K54" s="102"/>
      <c r="L54" s="102"/>
      <c r="M54" s="102"/>
      <c r="N54" s="102"/>
      <c r="O54" s="102"/>
      <c r="P54" s="102"/>
      <c r="Q54" s="102"/>
      <c r="R54" s="102"/>
      <c r="S54" s="102"/>
      <c r="T54" s="102"/>
      <c r="U54" s="102"/>
      <c r="V54" s="102"/>
      <c r="W54" s="102"/>
      <c r="X54" s="102"/>
      <c r="Y54" s="102"/>
    </row>
    <row r="55" spans="2:27" x14ac:dyDescent="0.25">
      <c r="C55" s="105"/>
    </row>
    <row r="56" spans="2:27" x14ac:dyDescent="0.25">
      <c r="B56" s="85" t="s">
        <v>229</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D57"/>
      <c r="E57"/>
    </row>
    <row r="58" spans="2:27" x14ac:dyDescent="0.25">
      <c r="D58"/>
      <c r="E58" t="s">
        <v>230</v>
      </c>
      <c r="G58" s="6" t="s">
        <v>54</v>
      </c>
      <c r="H58" s="113">
        <f t="array" ref="H58">SUM(IF(ISERROR(H25:Y54), 1))</f>
        <v>0</v>
      </c>
    </row>
    <row r="59" spans="2:27" x14ac:dyDescent="0.25">
      <c r="D59"/>
      <c r="E59"/>
    </row>
    <row r="60" spans="2:27" x14ac:dyDescent="0.25">
      <c r="B60" s="85" t="s">
        <v>105</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v11 - 2026/27</v>
      </c>
    </row>
    <row r="4" spans="1:23" x14ac:dyDescent="0.25">
      <c r="A4" s="60" t="str">
        <f>H183 &amp; IF(H183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I5" s="161"/>
      <c r="J5" s="107"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86"/>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338</v>
      </c>
    </row>
    <row r="10" spans="1:23" x14ac:dyDescent="0.25">
      <c r="C10" s="86" t="s">
        <v>339</v>
      </c>
    </row>
    <row r="11" spans="1:23" x14ac:dyDescent="0.25">
      <c r="C11" s="86" t="s">
        <v>340</v>
      </c>
    </row>
    <row r="13" spans="1:23" x14ac:dyDescent="0.25">
      <c r="B13" s="85" t="s">
        <v>341</v>
      </c>
      <c r="C13" s="85"/>
      <c r="D13" s="85"/>
      <c r="E13" s="85"/>
      <c r="F13" s="85"/>
      <c r="G13" s="85"/>
      <c r="H13" s="85"/>
      <c r="I13" s="85"/>
      <c r="J13" s="85"/>
      <c r="K13" s="85"/>
      <c r="L13" s="85"/>
      <c r="M13" s="85"/>
      <c r="N13" s="85"/>
      <c r="O13" s="85"/>
      <c r="P13" s="85"/>
      <c r="Q13" s="85"/>
      <c r="R13" s="85"/>
      <c r="S13" s="85"/>
      <c r="T13" s="85"/>
      <c r="U13" s="85"/>
      <c r="V13" s="85"/>
      <c r="W13" s="85"/>
    </row>
    <row r="14" spans="1:23" x14ac:dyDescent="0.25">
      <c r="H14" s="3"/>
      <c r="I14" s="3"/>
      <c r="J14" s="3"/>
      <c r="K14" s="3"/>
      <c r="L14" s="3"/>
      <c r="M14" s="3"/>
      <c r="N14" s="3"/>
      <c r="O14" s="3"/>
      <c r="P14" s="3"/>
      <c r="Q14" s="3"/>
      <c r="R14" s="3"/>
      <c r="S14" s="3"/>
      <c r="T14" s="3"/>
      <c r="U14" s="3"/>
      <c r="W14" s="3"/>
    </row>
    <row r="15" spans="1:23" x14ac:dyDescent="0.25">
      <c r="C15" s="86" t="s">
        <v>342</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25">
      <c r="H18" s="3"/>
      <c r="I18" s="3"/>
      <c r="J18" s="3"/>
      <c r="K18" s="3"/>
      <c r="L18" s="3"/>
      <c r="M18" s="3"/>
      <c r="N18" s="3"/>
      <c r="O18" s="3"/>
      <c r="P18" s="3"/>
      <c r="Q18" s="3"/>
      <c r="R18" s="3"/>
      <c r="S18" s="3"/>
      <c r="T18" s="3"/>
      <c r="U18" s="3"/>
      <c r="W18" s="3"/>
    </row>
    <row r="19" spans="2:23" x14ac:dyDescent="0.25">
      <c r="E19" t="s">
        <v>343</v>
      </c>
      <c r="F19" s="162"/>
      <c r="G19" s="61" t="s">
        <v>165</v>
      </c>
      <c r="H19" s="3"/>
      <c r="I19" s="3"/>
      <c r="J19" s="139"/>
      <c r="K19" s="163">
        <f>'Inputs by network level'!K15</f>
        <v>0.19989489363654131</v>
      </c>
      <c r="L19" s="163">
        <f>'Inputs by network level'!L15</f>
        <v>0.29507785949405158</v>
      </c>
      <c r="M19" s="139"/>
      <c r="N19" s="163">
        <f>'Inputs by network level'!N15</f>
        <v>0.2203822936405663</v>
      </c>
      <c r="O19" s="139"/>
      <c r="P19" s="139"/>
      <c r="Q19" s="163">
        <f>'Inputs by network level'!Q15</f>
        <v>0.34</v>
      </c>
      <c r="R19" s="139"/>
      <c r="S19" s="139"/>
      <c r="T19" s="100"/>
      <c r="U19" s="100"/>
    </row>
    <row r="20" spans="2:23" x14ac:dyDescent="0.25">
      <c r="E20" t="s">
        <v>241</v>
      </c>
      <c r="F20" s="162"/>
      <c r="G20" s="61" t="s">
        <v>165</v>
      </c>
      <c r="H20" s="3"/>
      <c r="I20" s="3"/>
      <c r="J20" s="164">
        <f t="shared" ref="J20" si="0">IF(I20 = "", 1, I20 / (1 + J19))</f>
        <v>1</v>
      </c>
      <c r="K20" s="164">
        <f>IF(J20 = "", 1, J20 / (1 + K19))</f>
        <v>0.833406330257214</v>
      </c>
      <c r="L20" s="164">
        <f t="shared" ref="L20:S20" si="1">IF(K20 = "", 1, K20 / (1 + L19))</f>
        <v>0.6435183214257103</v>
      </c>
      <c r="M20" s="164">
        <f t="shared" si="1"/>
        <v>0.6435183214257103</v>
      </c>
      <c r="N20" s="164">
        <f t="shared" si="1"/>
        <v>0.5273087988731856</v>
      </c>
      <c r="O20" s="164">
        <f t="shared" si="1"/>
        <v>0.5273087988731856</v>
      </c>
      <c r="P20" s="164">
        <f t="shared" si="1"/>
        <v>0.5273087988731856</v>
      </c>
      <c r="Q20" s="164">
        <f t="shared" si="1"/>
        <v>0.39351402900984001</v>
      </c>
      <c r="R20" s="164">
        <f t="shared" si="1"/>
        <v>0.39351402900984001</v>
      </c>
      <c r="S20" s="164">
        <f t="shared" si="1"/>
        <v>0.39351402900984001</v>
      </c>
      <c r="T20" s="100"/>
      <c r="U20" s="100"/>
    </row>
    <row r="21" spans="2:23" x14ac:dyDescent="0.25">
      <c r="E21" t="s">
        <v>344</v>
      </c>
      <c r="F21" s="162"/>
      <c r="G21" s="61" t="s">
        <v>165</v>
      </c>
      <c r="H21" s="3"/>
      <c r="I21" s="3"/>
      <c r="J21" s="164">
        <f>1 / J20 - 1</f>
        <v>0</v>
      </c>
      <c r="K21" s="164">
        <f t="shared" ref="K21:S21" si="2">1 / K20 - 1</f>
        <v>0.19989489363654123</v>
      </c>
      <c r="L21" s="164">
        <f t="shared" si="2"/>
        <v>0.5539573104686546</v>
      </c>
      <c r="M21" s="164">
        <f t="shared" si="2"/>
        <v>0.5539573104686546</v>
      </c>
      <c r="N21" s="164">
        <f t="shared" si="2"/>
        <v>0.89642198676926244</v>
      </c>
      <c r="O21" s="164">
        <f t="shared" si="2"/>
        <v>0.89642198676926244</v>
      </c>
      <c r="P21" s="164">
        <f t="shared" si="2"/>
        <v>0.89642198676926244</v>
      </c>
      <c r="Q21" s="164">
        <f t="shared" si="2"/>
        <v>1.5412054622708116</v>
      </c>
      <c r="R21" s="164">
        <f t="shared" si="2"/>
        <v>1.5412054622708116</v>
      </c>
      <c r="S21" s="164">
        <f t="shared" si="2"/>
        <v>1.5412054622708116</v>
      </c>
      <c r="T21" s="100"/>
      <c r="U21" s="100"/>
    </row>
    <row r="22" spans="2:23" x14ac:dyDescent="0.25">
      <c r="E22" t="s">
        <v>345</v>
      </c>
      <c r="F22" s="162"/>
      <c r="G22" s="61" t="s">
        <v>165</v>
      </c>
      <c r="H22" s="3"/>
      <c r="I22" s="3"/>
      <c r="J22" s="139"/>
      <c r="K22" s="139"/>
      <c r="L22" s="139"/>
      <c r="M22" s="139"/>
      <c r="N22" s="139"/>
      <c r="O22" s="139"/>
      <c r="P22" s="164">
        <f>M21</f>
        <v>0.5539573104686546</v>
      </c>
      <c r="Q22" s="139"/>
      <c r="R22" s="139"/>
      <c r="S22" s="139"/>
      <c r="T22" s="100"/>
      <c r="U22" s="100"/>
    </row>
    <row r="23" spans="2:23" x14ac:dyDescent="0.25">
      <c r="E23" t="s">
        <v>346</v>
      </c>
      <c r="F23" s="162"/>
      <c r="G23" s="61" t="s">
        <v>165</v>
      </c>
      <c r="H23" s="3"/>
      <c r="I23" s="3" t="s">
        <v>152</v>
      </c>
      <c r="J23" s="165">
        <f t="shared" ref="J23:S23" si="3">IF(J22 = "", J21, J22)</f>
        <v>0</v>
      </c>
      <c r="K23" s="165">
        <f t="shared" si="3"/>
        <v>0.19989489363654123</v>
      </c>
      <c r="L23" s="165">
        <f t="shared" si="3"/>
        <v>0.5539573104686546</v>
      </c>
      <c r="M23" s="165">
        <f t="shared" si="3"/>
        <v>0.5539573104686546</v>
      </c>
      <c r="N23" s="165">
        <f t="shared" si="3"/>
        <v>0.89642198676926244</v>
      </c>
      <c r="O23" s="165">
        <f t="shared" si="3"/>
        <v>0.89642198676926244</v>
      </c>
      <c r="P23" s="165">
        <f t="shared" si="3"/>
        <v>0.5539573104686546</v>
      </c>
      <c r="Q23" s="165">
        <f t="shared" si="3"/>
        <v>1.5412054622708116</v>
      </c>
      <c r="R23" s="165">
        <f t="shared" si="3"/>
        <v>1.5412054622708116</v>
      </c>
      <c r="S23" s="165">
        <f t="shared" si="3"/>
        <v>1.5412054622708116</v>
      </c>
      <c r="T23" s="100"/>
      <c r="U23" s="100"/>
      <c r="W23" s="97" t="s">
        <v>347</v>
      </c>
    </row>
    <row r="24" spans="2:23" x14ac:dyDescent="0.25">
      <c r="F24" s="162"/>
      <c r="G24" s="61"/>
      <c r="H24" s="3"/>
      <c r="I24" s="3"/>
      <c r="J24" s="164"/>
      <c r="K24" s="164"/>
      <c r="L24" s="164"/>
      <c r="M24" s="164"/>
      <c r="N24" s="164"/>
      <c r="O24" s="164"/>
      <c r="P24" s="164"/>
      <c r="Q24" s="164"/>
      <c r="R24" s="164"/>
      <c r="S24" s="164"/>
      <c r="T24" s="3"/>
      <c r="U24" s="3"/>
    </row>
    <row r="25" spans="2:23" x14ac:dyDescent="0.2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25">
      <c r="H26" s="3"/>
      <c r="I26" s="3"/>
      <c r="J26" s="3"/>
      <c r="K26" s="3"/>
      <c r="L26" s="3"/>
      <c r="M26" s="3"/>
      <c r="N26" s="3"/>
      <c r="O26" s="3"/>
      <c r="P26" s="3"/>
      <c r="Q26" s="3"/>
      <c r="R26" s="3"/>
      <c r="S26" s="3"/>
      <c r="T26" s="3"/>
      <c r="U26" s="3"/>
      <c r="W26" s="3"/>
    </row>
    <row r="27" spans="2:23" x14ac:dyDescent="0.25">
      <c r="E27" t="s">
        <v>348</v>
      </c>
      <c r="F27" s="166"/>
      <c r="G27" s="118" t="s">
        <v>281</v>
      </c>
      <c r="H27" s="3"/>
      <c r="I27" s="3"/>
      <c r="J27" s="119"/>
      <c r="K27" s="167">
        <f>'Inputs by network level'!K19</f>
        <v>1</v>
      </c>
      <c r="L27" s="167">
        <f>'Inputs by network level'!L19</f>
        <v>1.0049999999999999</v>
      </c>
      <c r="M27" s="167">
        <f>'Inputs by network level'!M19</f>
        <v>1.008</v>
      </c>
      <c r="N27" s="167">
        <f>'Inputs by network level'!N19</f>
        <v>1.01</v>
      </c>
      <c r="O27" s="167">
        <f>'Inputs by network level'!O19</f>
        <v>1.0149999999999999</v>
      </c>
      <c r="P27" s="119"/>
      <c r="Q27" s="167">
        <f>'Inputs by network level'!Q19</f>
        <v>1.024</v>
      </c>
      <c r="R27" s="167">
        <f>'Inputs by network level'!R19</f>
        <v>1.04</v>
      </c>
      <c r="S27" s="167">
        <f>'Inputs by network level'!S19</f>
        <v>1.1020000000000001</v>
      </c>
      <c r="T27" s="119"/>
      <c r="U27" s="119"/>
    </row>
    <row r="28" spans="2:23" x14ac:dyDescent="0.25">
      <c r="E28" t="s">
        <v>349</v>
      </c>
      <c r="F28" s="166"/>
      <c r="G28" s="118" t="s">
        <v>281</v>
      </c>
      <c r="H28" s="3"/>
      <c r="I28" s="3"/>
      <c r="J28" s="168">
        <f>K27</f>
        <v>1</v>
      </c>
      <c r="K28" s="119"/>
      <c r="L28" s="119"/>
      <c r="M28" s="119"/>
      <c r="N28" s="119"/>
      <c r="O28" s="119"/>
      <c r="P28" s="168">
        <f>O27</f>
        <v>1.0149999999999999</v>
      </c>
      <c r="Q28" s="119"/>
      <c r="R28" s="119"/>
      <c r="S28" s="119"/>
      <c r="T28" s="119"/>
      <c r="U28" s="119"/>
    </row>
    <row r="29" spans="2:23" x14ac:dyDescent="0.25">
      <c r="E29" t="s">
        <v>350</v>
      </c>
      <c r="F29" s="166"/>
      <c r="G29" s="118" t="s">
        <v>281</v>
      </c>
      <c r="H29" s="3"/>
      <c r="I29" s="3" t="s">
        <v>152</v>
      </c>
      <c r="J29" s="151">
        <f t="shared" ref="J29:S29" si="4">J27 + J28</f>
        <v>1</v>
      </c>
      <c r="K29" s="151">
        <f t="shared" si="4"/>
        <v>1</v>
      </c>
      <c r="L29" s="151">
        <f t="shared" si="4"/>
        <v>1.0049999999999999</v>
      </c>
      <c r="M29" s="151">
        <f t="shared" si="4"/>
        <v>1.008</v>
      </c>
      <c r="N29" s="151">
        <f t="shared" si="4"/>
        <v>1.01</v>
      </c>
      <c r="O29" s="151">
        <f t="shared" si="4"/>
        <v>1.0149999999999999</v>
      </c>
      <c r="P29" s="151">
        <f t="shared" si="4"/>
        <v>1.0149999999999999</v>
      </c>
      <c r="Q29" s="151">
        <f t="shared" si="4"/>
        <v>1.024</v>
      </c>
      <c r="R29" s="151">
        <f t="shared" si="4"/>
        <v>1.04</v>
      </c>
      <c r="S29" s="151">
        <f t="shared" si="4"/>
        <v>1.1020000000000001</v>
      </c>
      <c r="T29" s="119"/>
      <c r="U29" s="119"/>
      <c r="W29" s="97" t="s">
        <v>282</v>
      </c>
    </row>
    <row r="30" spans="2:23" x14ac:dyDescent="0.25">
      <c r="F30" s="162"/>
      <c r="G30" s="61"/>
      <c r="H30" s="3"/>
      <c r="I30" s="3"/>
      <c r="J30" s="3"/>
      <c r="K30" s="3"/>
      <c r="L30" s="3"/>
      <c r="M30" s="3"/>
      <c r="N30" s="3"/>
      <c r="O30" s="3"/>
      <c r="Q30" s="3"/>
      <c r="R30" s="3"/>
      <c r="S30" s="3"/>
      <c r="T30" s="3"/>
      <c r="U30" s="3"/>
    </row>
    <row r="31" spans="2:23" x14ac:dyDescent="0.25">
      <c r="B31" s="85" t="s">
        <v>351</v>
      </c>
      <c r="C31" s="85"/>
      <c r="D31" s="85"/>
      <c r="E31" s="85"/>
      <c r="F31" s="85"/>
      <c r="G31" s="137"/>
      <c r="H31" s="85"/>
      <c r="I31" s="85"/>
      <c r="J31" s="85"/>
      <c r="K31" s="85"/>
      <c r="L31" s="85"/>
      <c r="M31" s="85"/>
      <c r="N31" s="85"/>
      <c r="O31" s="85"/>
      <c r="P31" s="85"/>
      <c r="Q31" s="85"/>
      <c r="R31" s="85"/>
      <c r="S31" s="85"/>
      <c r="T31" s="85"/>
      <c r="U31" s="85"/>
      <c r="V31" s="85"/>
      <c r="W31" s="85"/>
    </row>
    <row r="32" spans="2:23" x14ac:dyDescent="0.25">
      <c r="F32" s="162"/>
      <c r="G32" s="61"/>
      <c r="H32" s="3"/>
      <c r="I32" s="3"/>
      <c r="J32" s="3"/>
      <c r="K32" s="3"/>
      <c r="L32" s="3"/>
      <c r="M32" s="3"/>
      <c r="N32" s="3"/>
      <c r="O32" s="3"/>
      <c r="Q32" s="3"/>
      <c r="R32" s="3"/>
      <c r="S32" s="3"/>
      <c r="T32" s="3"/>
      <c r="U32" s="3"/>
    </row>
    <row r="33" spans="3:23" x14ac:dyDescent="0.25">
      <c r="C33" s="86" t="s">
        <v>352</v>
      </c>
      <c r="F33" s="162"/>
      <c r="G33" s="61"/>
      <c r="H33" s="3"/>
      <c r="I33" s="3"/>
      <c r="J33" s="3"/>
      <c r="K33" s="3"/>
      <c r="L33" s="3"/>
      <c r="M33" s="3"/>
      <c r="N33" s="3"/>
      <c r="O33" s="3"/>
      <c r="Q33" s="3"/>
      <c r="R33" s="3"/>
      <c r="S33" s="3"/>
      <c r="T33" s="3"/>
      <c r="U33" s="3"/>
    </row>
    <row r="34" spans="3:23" x14ac:dyDescent="0.25">
      <c r="F34" s="162"/>
      <c r="G34" s="61"/>
      <c r="H34" s="3"/>
      <c r="I34" s="3"/>
      <c r="J34" s="3"/>
      <c r="K34" s="3"/>
      <c r="L34" s="3"/>
      <c r="M34" s="3"/>
      <c r="N34" s="3"/>
      <c r="O34" s="3"/>
      <c r="Q34" s="3"/>
      <c r="R34" s="3"/>
      <c r="S34" s="3"/>
      <c r="T34" s="3"/>
      <c r="U34" s="3"/>
    </row>
    <row r="35" spans="3:23" x14ac:dyDescent="0.2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25">
      <c r="H36" s="3"/>
      <c r="I36" s="3"/>
      <c r="J36" s="3"/>
      <c r="K36" s="3"/>
      <c r="L36" s="3"/>
      <c r="M36" s="3"/>
      <c r="N36" s="3"/>
      <c r="O36" s="3"/>
      <c r="P36" s="3"/>
      <c r="Q36" s="3"/>
      <c r="R36" s="3"/>
      <c r="S36" s="3"/>
      <c r="T36" s="3"/>
      <c r="U36" s="3"/>
      <c r="W36" s="3"/>
    </row>
    <row r="37" spans="3:23" x14ac:dyDescent="0.25">
      <c r="E37" t="s">
        <v>194</v>
      </c>
      <c r="F37" s="94"/>
      <c r="G37" s="118" t="s">
        <v>165</v>
      </c>
      <c r="H37" s="163">
        <f>'Inputs by network level'!P17</f>
        <v>0</v>
      </c>
      <c r="I37" s="3"/>
    </row>
    <row r="38" spans="3:23" x14ac:dyDescent="0.25">
      <c r="E38" t="s">
        <v>353</v>
      </c>
      <c r="F38" s="162"/>
      <c r="G38" s="61" t="s">
        <v>165</v>
      </c>
      <c r="H38" s="3"/>
      <c r="I38" s="3"/>
      <c r="J38" s="100"/>
      <c r="K38" s="100"/>
      <c r="L38" s="100"/>
      <c r="M38" s="169">
        <f>1 - $H$37</f>
        <v>1</v>
      </c>
      <c r="N38" s="169">
        <f>1 - $H$37</f>
        <v>1</v>
      </c>
      <c r="O38" s="169">
        <f>1 - $H$37</f>
        <v>1</v>
      </c>
      <c r="P38" s="169">
        <f>H37</f>
        <v>0</v>
      </c>
      <c r="Q38" s="100"/>
      <c r="R38" s="100"/>
      <c r="S38" s="100"/>
      <c r="T38" s="100"/>
      <c r="U38" s="100"/>
    </row>
    <row r="39" spans="3:23" x14ac:dyDescent="0.25">
      <c r="F39" s="162"/>
      <c r="G39" s="61"/>
      <c r="H39" s="3"/>
      <c r="I39" s="3"/>
      <c r="J39" s="3"/>
      <c r="K39" s="3"/>
      <c r="L39" s="3"/>
      <c r="M39" s="3"/>
      <c r="N39" s="3"/>
      <c r="O39" s="3"/>
      <c r="Q39" s="3"/>
      <c r="R39" s="3"/>
      <c r="S39" s="3"/>
      <c r="T39" s="3"/>
      <c r="U39" s="3"/>
    </row>
    <row r="40" spans="3:23" x14ac:dyDescent="0.2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25">
      <c r="H41" s="3"/>
      <c r="I41" s="3"/>
      <c r="J41" s="3"/>
      <c r="K41" s="3"/>
      <c r="L41" s="3"/>
      <c r="M41" s="3"/>
      <c r="N41" s="3"/>
      <c r="O41" s="3"/>
      <c r="P41" s="3"/>
      <c r="Q41" s="3"/>
      <c r="R41" s="3"/>
      <c r="S41" s="3"/>
      <c r="T41" s="3"/>
      <c r="U41" s="3"/>
      <c r="W41" s="3"/>
    </row>
    <row r="42" spans="3:23" x14ac:dyDescent="0.25">
      <c r="D42" s="86" t="s">
        <v>354</v>
      </c>
      <c r="H42" s="3"/>
      <c r="I42" s="3"/>
      <c r="J42" s="3"/>
      <c r="K42" s="3"/>
      <c r="L42" s="3"/>
      <c r="M42" s="3"/>
      <c r="N42" s="3"/>
      <c r="O42" s="3"/>
      <c r="P42" s="3"/>
      <c r="Q42" s="3"/>
      <c r="R42" s="3"/>
      <c r="S42" s="3"/>
      <c r="T42" s="3"/>
      <c r="U42" s="3"/>
      <c r="W42" s="3"/>
    </row>
    <row r="43" spans="3:23" x14ac:dyDescent="0.25">
      <c r="D43" s="86"/>
      <c r="H43" s="3"/>
      <c r="I43" s="3"/>
      <c r="J43" s="3"/>
      <c r="K43" s="3"/>
      <c r="L43" s="3"/>
      <c r="M43" s="3"/>
      <c r="N43" s="3"/>
      <c r="O43" s="3"/>
      <c r="P43" s="3"/>
      <c r="Q43" s="3"/>
      <c r="R43" s="3"/>
      <c r="S43" s="3"/>
      <c r="T43" s="3"/>
      <c r="U43" s="3"/>
      <c r="W43" s="3"/>
    </row>
    <row r="44" spans="3:23" x14ac:dyDescent="0.25">
      <c r="E44" s="75" t="s">
        <v>185</v>
      </c>
      <c r="G44" s="61"/>
    </row>
    <row r="45" spans="3:23" x14ac:dyDescent="0.25">
      <c r="E45" s="86" t="s">
        <v>355</v>
      </c>
      <c r="G45" s="61"/>
    </row>
    <row r="46" spans="3:23" x14ac:dyDescent="0.25">
      <c r="F46" s="95" t="s">
        <v>1112</v>
      </c>
      <c r="G46" s="116" t="s">
        <v>188</v>
      </c>
      <c r="H46" s="95"/>
      <c r="I46" s="95"/>
      <c r="J46" s="170">
        <f t="array" ref="J46:S61">TRANSPOSE('Fixed inputs'!J61:Y70)</f>
        <v>1</v>
      </c>
      <c r="K46" s="170">
        <v>1</v>
      </c>
      <c r="L46" s="170">
        <v>1</v>
      </c>
      <c r="M46" s="170">
        <v>1</v>
      </c>
      <c r="N46" s="170">
        <v>1</v>
      </c>
      <c r="O46" s="170">
        <v>1</v>
      </c>
      <c r="P46" s="170">
        <v>1</v>
      </c>
      <c r="Q46" s="170">
        <v>1</v>
      </c>
      <c r="R46" s="170">
        <v>1</v>
      </c>
      <c r="S46" s="170">
        <v>1</v>
      </c>
      <c r="T46" s="117"/>
      <c r="U46" s="117"/>
      <c r="W46" s="3"/>
    </row>
    <row r="47" spans="3:23" x14ac:dyDescent="0.25">
      <c r="F47" t="s">
        <v>783</v>
      </c>
      <c r="G47" s="118" t="s">
        <v>188</v>
      </c>
      <c r="J47" s="167">
        <v>1</v>
      </c>
      <c r="K47" s="167">
        <v>1</v>
      </c>
      <c r="L47" s="167">
        <v>1</v>
      </c>
      <c r="M47" s="167">
        <v>1</v>
      </c>
      <c r="N47" s="167">
        <v>1</v>
      </c>
      <c r="O47" s="167">
        <v>1</v>
      </c>
      <c r="P47" s="167">
        <v>1</v>
      </c>
      <c r="Q47" s="167">
        <v>1</v>
      </c>
      <c r="R47" s="167">
        <v>1</v>
      </c>
      <c r="S47" s="167">
        <v>1</v>
      </c>
      <c r="T47" s="119"/>
      <c r="U47" s="119"/>
    </row>
    <row r="48" spans="3:23" x14ac:dyDescent="0.25">
      <c r="F48" t="s">
        <v>1113</v>
      </c>
      <c r="G48" s="118" t="s">
        <v>188</v>
      </c>
      <c r="J48" s="167">
        <v>1</v>
      </c>
      <c r="K48" s="167">
        <v>1</v>
      </c>
      <c r="L48" s="167">
        <v>1</v>
      </c>
      <c r="M48" s="167">
        <v>1</v>
      </c>
      <c r="N48" s="167">
        <v>1</v>
      </c>
      <c r="O48" s="167">
        <v>1</v>
      </c>
      <c r="P48" s="167">
        <v>1</v>
      </c>
      <c r="Q48" s="167">
        <v>1</v>
      </c>
      <c r="R48" s="167">
        <v>1</v>
      </c>
      <c r="S48" s="167">
        <v>1</v>
      </c>
      <c r="T48" s="119"/>
      <c r="U48" s="119"/>
    </row>
    <row r="49" spans="5:21" x14ac:dyDescent="0.25">
      <c r="F49" t="s">
        <v>784</v>
      </c>
      <c r="G49" s="118" t="s">
        <v>188</v>
      </c>
      <c r="J49" s="167">
        <v>1</v>
      </c>
      <c r="K49" s="167">
        <v>1</v>
      </c>
      <c r="L49" s="167">
        <v>1</v>
      </c>
      <c r="M49" s="167">
        <v>1</v>
      </c>
      <c r="N49" s="167">
        <v>1</v>
      </c>
      <c r="O49" s="167">
        <v>1</v>
      </c>
      <c r="P49" s="167">
        <v>1</v>
      </c>
      <c r="Q49" s="167">
        <v>1</v>
      </c>
      <c r="R49" s="167">
        <v>1</v>
      </c>
      <c r="S49" s="167">
        <v>1</v>
      </c>
      <c r="T49" s="119"/>
      <c r="U49" s="119"/>
    </row>
    <row r="50" spans="5:21" x14ac:dyDescent="0.25">
      <c r="F50" t="s">
        <v>790</v>
      </c>
      <c r="G50" s="118" t="s">
        <v>188</v>
      </c>
      <c r="J50" s="167">
        <v>1</v>
      </c>
      <c r="K50" s="167">
        <v>1</v>
      </c>
      <c r="L50" s="167">
        <v>1</v>
      </c>
      <c r="M50" s="167">
        <v>1</v>
      </c>
      <c r="N50" s="167">
        <v>1</v>
      </c>
      <c r="O50" s="167">
        <v>1</v>
      </c>
      <c r="P50" s="167">
        <v>1</v>
      </c>
      <c r="Q50" s="167">
        <v>1</v>
      </c>
      <c r="R50" s="167">
        <v>1</v>
      </c>
      <c r="S50" s="167">
        <v>1</v>
      </c>
      <c r="T50" s="119"/>
      <c r="U50" s="119"/>
    </row>
    <row r="51" spans="5:21" x14ac:dyDescent="0.25">
      <c r="F51" t="s">
        <v>791</v>
      </c>
      <c r="G51" s="118" t="s">
        <v>188</v>
      </c>
      <c r="J51" s="167">
        <v>1</v>
      </c>
      <c r="K51" s="167">
        <v>1</v>
      </c>
      <c r="L51" s="167">
        <v>1</v>
      </c>
      <c r="M51" s="167">
        <v>1</v>
      </c>
      <c r="N51" s="167">
        <v>1</v>
      </c>
      <c r="O51" s="167">
        <v>1</v>
      </c>
      <c r="P51" s="167">
        <v>1</v>
      </c>
      <c r="Q51" s="167">
        <v>1</v>
      </c>
      <c r="R51" s="167">
        <v>1</v>
      </c>
      <c r="S51" s="167">
        <v>0</v>
      </c>
      <c r="T51" s="119"/>
      <c r="U51" s="119"/>
    </row>
    <row r="52" spans="5:21" x14ac:dyDescent="0.25">
      <c r="F52" t="s">
        <v>792</v>
      </c>
      <c r="G52" s="118" t="s">
        <v>188</v>
      </c>
      <c r="J52" s="167">
        <v>1</v>
      </c>
      <c r="K52" s="167">
        <v>1</v>
      </c>
      <c r="L52" s="167">
        <v>1</v>
      </c>
      <c r="M52" s="167">
        <v>1</v>
      </c>
      <c r="N52" s="167">
        <v>1</v>
      </c>
      <c r="O52" s="167">
        <v>1</v>
      </c>
      <c r="P52" s="167">
        <v>1</v>
      </c>
      <c r="Q52" s="167">
        <v>1</v>
      </c>
      <c r="R52" s="167">
        <v>0</v>
      </c>
      <c r="S52" s="167">
        <v>0</v>
      </c>
      <c r="T52" s="119"/>
      <c r="U52" s="119"/>
    </row>
    <row r="53" spans="5:21" x14ac:dyDescent="0.25">
      <c r="F53" t="s">
        <v>793</v>
      </c>
      <c r="G53" s="118" t="s">
        <v>188</v>
      </c>
      <c r="J53" s="167">
        <v>1</v>
      </c>
      <c r="K53" s="167">
        <v>1</v>
      </c>
      <c r="L53" s="167">
        <v>1</v>
      </c>
      <c r="M53" s="167">
        <v>1</v>
      </c>
      <c r="N53" s="167">
        <v>1</v>
      </c>
      <c r="O53" s="167">
        <v>1</v>
      </c>
      <c r="P53" s="167">
        <v>1</v>
      </c>
      <c r="Q53" s="167">
        <v>1</v>
      </c>
      <c r="R53" s="167">
        <v>1</v>
      </c>
      <c r="S53" s="167">
        <v>1</v>
      </c>
      <c r="T53" s="119"/>
      <c r="U53" s="119"/>
    </row>
    <row r="54" spans="5:21" x14ac:dyDescent="0.25">
      <c r="F54" t="s">
        <v>785</v>
      </c>
      <c r="G54" s="118" t="s">
        <v>188</v>
      </c>
      <c r="J54" s="167">
        <v>-1</v>
      </c>
      <c r="K54" s="167">
        <v>-1</v>
      </c>
      <c r="L54" s="167">
        <v>-1</v>
      </c>
      <c r="M54" s="167">
        <v>-1</v>
      </c>
      <c r="N54" s="167">
        <v>-1</v>
      </c>
      <c r="O54" s="167">
        <v>-1</v>
      </c>
      <c r="P54" s="167">
        <v>-1</v>
      </c>
      <c r="Q54" s="167">
        <v>-1</v>
      </c>
      <c r="R54" s="167">
        <v>-1</v>
      </c>
      <c r="S54" s="167">
        <v>-1</v>
      </c>
      <c r="T54" s="119"/>
      <c r="U54" s="119"/>
    </row>
    <row r="55" spans="5:21" x14ac:dyDescent="0.25">
      <c r="F55" t="s">
        <v>786</v>
      </c>
      <c r="G55" s="118" t="s">
        <v>188</v>
      </c>
      <c r="J55" s="167">
        <v>-1</v>
      </c>
      <c r="K55" s="167">
        <v>-1</v>
      </c>
      <c r="L55" s="167">
        <v>-1</v>
      </c>
      <c r="M55" s="167">
        <v>-1</v>
      </c>
      <c r="N55" s="167">
        <v>-1</v>
      </c>
      <c r="O55" s="167">
        <v>-1</v>
      </c>
      <c r="P55" s="167">
        <v>-1</v>
      </c>
      <c r="Q55" s="167">
        <v>-1</v>
      </c>
      <c r="R55" s="167">
        <v>-1</v>
      </c>
      <c r="S55" s="167">
        <v>0</v>
      </c>
      <c r="T55" s="119"/>
      <c r="U55" s="119"/>
    </row>
    <row r="56" spans="5:21" x14ac:dyDescent="0.25">
      <c r="F56" t="s">
        <v>787</v>
      </c>
      <c r="G56" s="118" t="s">
        <v>188</v>
      </c>
      <c r="J56" s="167">
        <v>-1</v>
      </c>
      <c r="K56" s="167">
        <v>-1</v>
      </c>
      <c r="L56" s="167">
        <v>-1</v>
      </c>
      <c r="M56" s="167">
        <v>-1</v>
      </c>
      <c r="N56" s="167">
        <v>-1</v>
      </c>
      <c r="O56" s="167">
        <v>-1</v>
      </c>
      <c r="P56" s="167">
        <v>-1</v>
      </c>
      <c r="Q56" s="167">
        <v>-1</v>
      </c>
      <c r="R56" s="167">
        <v>-1</v>
      </c>
      <c r="S56" s="167">
        <v>-1</v>
      </c>
      <c r="T56" s="119"/>
      <c r="U56" s="119"/>
    </row>
    <row r="57" spans="5:21" x14ac:dyDescent="0.25">
      <c r="F57" t="s">
        <v>796</v>
      </c>
      <c r="G57" s="118" t="s">
        <v>188</v>
      </c>
      <c r="J57" s="167">
        <v>-1</v>
      </c>
      <c r="K57" s="167">
        <v>-1</v>
      </c>
      <c r="L57" s="167">
        <v>-1</v>
      </c>
      <c r="M57" s="167">
        <v>-1</v>
      </c>
      <c r="N57" s="167">
        <v>-1</v>
      </c>
      <c r="O57" s="167">
        <v>-1</v>
      </c>
      <c r="P57" s="167">
        <v>-1</v>
      </c>
      <c r="Q57" s="167">
        <v>-1</v>
      </c>
      <c r="R57" s="167">
        <v>-1</v>
      </c>
      <c r="S57" s="167">
        <v>-1</v>
      </c>
      <c r="T57" s="119"/>
      <c r="U57" s="119"/>
    </row>
    <row r="58" spans="5:21" x14ac:dyDescent="0.25">
      <c r="F58" t="s">
        <v>788</v>
      </c>
      <c r="G58" s="118" t="s">
        <v>188</v>
      </c>
      <c r="J58" s="167">
        <v>-1</v>
      </c>
      <c r="K58" s="167">
        <v>-1</v>
      </c>
      <c r="L58" s="167">
        <v>-1</v>
      </c>
      <c r="M58" s="167">
        <v>-1</v>
      </c>
      <c r="N58" s="167">
        <v>-1</v>
      </c>
      <c r="O58" s="167">
        <v>-1</v>
      </c>
      <c r="P58" s="167">
        <v>-1</v>
      </c>
      <c r="Q58" s="167">
        <v>-1</v>
      </c>
      <c r="R58" s="167">
        <v>-1</v>
      </c>
      <c r="S58" s="167">
        <v>0</v>
      </c>
      <c r="T58" s="119"/>
      <c r="U58" s="119"/>
    </row>
    <row r="59" spans="5:21" x14ac:dyDescent="0.25">
      <c r="F59" t="s">
        <v>795</v>
      </c>
      <c r="G59" s="118" t="s">
        <v>188</v>
      </c>
      <c r="J59" s="167">
        <v>-1</v>
      </c>
      <c r="K59" s="167">
        <v>-1</v>
      </c>
      <c r="L59" s="167">
        <v>-1</v>
      </c>
      <c r="M59" s="167">
        <v>-1</v>
      </c>
      <c r="N59" s="167">
        <v>-1</v>
      </c>
      <c r="O59" s="167">
        <v>-1</v>
      </c>
      <c r="P59" s="167">
        <v>-1</v>
      </c>
      <c r="Q59" s="167">
        <v>-1</v>
      </c>
      <c r="R59" s="167">
        <v>-1</v>
      </c>
      <c r="S59" s="167">
        <v>0</v>
      </c>
      <c r="T59" s="119"/>
      <c r="U59" s="119"/>
    </row>
    <row r="60" spans="5:21" x14ac:dyDescent="0.25">
      <c r="F60" t="s">
        <v>789</v>
      </c>
      <c r="G60" s="118" t="s">
        <v>188</v>
      </c>
      <c r="J60" s="167">
        <v>-1</v>
      </c>
      <c r="K60" s="167">
        <v>-1</v>
      </c>
      <c r="L60" s="167">
        <v>-1</v>
      </c>
      <c r="M60" s="167">
        <v>-1</v>
      </c>
      <c r="N60" s="167">
        <v>-1</v>
      </c>
      <c r="O60" s="167">
        <v>-1</v>
      </c>
      <c r="P60" s="167">
        <v>-1</v>
      </c>
      <c r="Q60" s="167">
        <v>-1</v>
      </c>
      <c r="R60" s="167">
        <v>0</v>
      </c>
      <c r="S60" s="167">
        <v>0</v>
      </c>
      <c r="T60" s="119"/>
      <c r="U60" s="119"/>
    </row>
    <row r="61" spans="5:21" x14ac:dyDescent="0.25">
      <c r="F61" s="96" t="s">
        <v>794</v>
      </c>
      <c r="G61" s="120" t="s">
        <v>188</v>
      </c>
      <c r="H61" s="96"/>
      <c r="I61" s="96"/>
      <c r="J61" s="171">
        <v>-1</v>
      </c>
      <c r="K61" s="171">
        <v>-1</v>
      </c>
      <c r="L61" s="171">
        <v>-1</v>
      </c>
      <c r="M61" s="171">
        <v>-1</v>
      </c>
      <c r="N61" s="171">
        <v>-1</v>
      </c>
      <c r="O61" s="171">
        <v>-1</v>
      </c>
      <c r="P61" s="171">
        <v>-1</v>
      </c>
      <c r="Q61" s="171">
        <v>-1</v>
      </c>
      <c r="R61" s="171">
        <v>0</v>
      </c>
      <c r="S61" s="171">
        <v>0</v>
      </c>
      <c r="T61" s="121"/>
      <c r="U61" s="121"/>
    </row>
    <row r="62" spans="5:21" x14ac:dyDescent="0.25">
      <c r="G62" s="61"/>
      <c r="J62" s="106"/>
      <c r="K62" s="106"/>
      <c r="L62" s="106"/>
      <c r="M62" s="106"/>
      <c r="N62" s="106"/>
      <c r="O62" s="106"/>
      <c r="P62" s="106"/>
      <c r="Q62" s="106"/>
      <c r="R62" s="106"/>
      <c r="S62" s="106"/>
      <c r="T62" s="106"/>
      <c r="U62" s="106"/>
    </row>
    <row r="63" spans="5:21" x14ac:dyDescent="0.25">
      <c r="E63" s="75" t="s">
        <v>356</v>
      </c>
      <c r="G63" s="61"/>
      <c r="J63" s="106"/>
      <c r="K63" s="106"/>
      <c r="L63" s="106"/>
      <c r="M63" s="106"/>
      <c r="N63" s="106"/>
      <c r="O63" s="106"/>
      <c r="P63" s="106"/>
      <c r="Q63" s="106"/>
      <c r="R63" s="106"/>
      <c r="S63" s="106"/>
      <c r="T63" s="106"/>
      <c r="U63" s="106"/>
    </row>
    <row r="64" spans="5:21" x14ac:dyDescent="0.25">
      <c r="E64" s="86" t="s">
        <v>357</v>
      </c>
      <c r="G64" s="61"/>
      <c r="J64" s="106"/>
      <c r="K64" s="106"/>
      <c r="L64" s="106"/>
      <c r="M64" s="106"/>
      <c r="N64" s="106"/>
      <c r="O64" s="106"/>
      <c r="P64" s="106"/>
      <c r="Q64" s="106"/>
      <c r="R64" s="106"/>
      <c r="S64" s="106"/>
      <c r="T64" s="106"/>
      <c r="U64" s="106"/>
    </row>
    <row r="65" spans="6:23" x14ac:dyDescent="0.25">
      <c r="F65" s="95" t="s">
        <v>1112</v>
      </c>
      <c r="G65" s="116" t="s">
        <v>188</v>
      </c>
      <c r="H65" s="95"/>
      <c r="I65" s="95"/>
      <c r="J65" s="147">
        <f t="shared" ref="J65:S65" si="5">IF(J$38 = "", J46, J46 * J$38)</f>
        <v>1</v>
      </c>
      <c r="K65" s="147">
        <f t="shared" si="5"/>
        <v>1</v>
      </c>
      <c r="L65" s="147">
        <f t="shared" si="5"/>
        <v>1</v>
      </c>
      <c r="M65" s="147">
        <f t="shared" si="5"/>
        <v>1</v>
      </c>
      <c r="N65" s="147">
        <f t="shared" si="5"/>
        <v>1</v>
      </c>
      <c r="O65" s="147">
        <f t="shared" si="5"/>
        <v>1</v>
      </c>
      <c r="P65" s="147">
        <f t="shared" si="5"/>
        <v>0</v>
      </c>
      <c r="Q65" s="147">
        <f t="shared" si="5"/>
        <v>1</v>
      </c>
      <c r="R65" s="147">
        <f t="shared" si="5"/>
        <v>1</v>
      </c>
      <c r="S65" s="147">
        <f t="shared" si="5"/>
        <v>1</v>
      </c>
      <c r="T65" s="117"/>
      <c r="U65" s="117"/>
      <c r="W65" s="3"/>
    </row>
    <row r="66" spans="6:23" x14ac:dyDescent="0.25">
      <c r="F66" t="s">
        <v>783</v>
      </c>
      <c r="G66" s="118" t="s">
        <v>188</v>
      </c>
      <c r="J66" s="168">
        <f t="shared" ref="J66:S66" si="6">IF(J$38 = "", J47, J47 * J$38)</f>
        <v>1</v>
      </c>
      <c r="K66" s="168">
        <f t="shared" si="6"/>
        <v>1</v>
      </c>
      <c r="L66" s="168">
        <f t="shared" si="6"/>
        <v>1</v>
      </c>
      <c r="M66" s="168">
        <f t="shared" si="6"/>
        <v>1</v>
      </c>
      <c r="N66" s="168">
        <f t="shared" si="6"/>
        <v>1</v>
      </c>
      <c r="O66" s="168">
        <f t="shared" si="6"/>
        <v>1</v>
      </c>
      <c r="P66" s="168">
        <f t="shared" si="6"/>
        <v>0</v>
      </c>
      <c r="Q66" s="168">
        <f t="shared" si="6"/>
        <v>1</v>
      </c>
      <c r="R66" s="168">
        <f t="shared" si="6"/>
        <v>1</v>
      </c>
      <c r="S66" s="168">
        <f t="shared" si="6"/>
        <v>1</v>
      </c>
      <c r="T66" s="119"/>
      <c r="U66" s="119"/>
    </row>
    <row r="67" spans="6:23" x14ac:dyDescent="0.25">
      <c r="F67" t="s">
        <v>1113</v>
      </c>
      <c r="G67" s="118" t="s">
        <v>188</v>
      </c>
      <c r="J67" s="168">
        <f t="shared" ref="J67:S67" si="7">IF(J$38 = "", J48, J48 * J$38)</f>
        <v>1</v>
      </c>
      <c r="K67" s="168">
        <f t="shared" si="7"/>
        <v>1</v>
      </c>
      <c r="L67" s="168">
        <f t="shared" si="7"/>
        <v>1</v>
      </c>
      <c r="M67" s="168">
        <f t="shared" si="7"/>
        <v>1</v>
      </c>
      <c r="N67" s="168">
        <f t="shared" si="7"/>
        <v>1</v>
      </c>
      <c r="O67" s="168">
        <f t="shared" si="7"/>
        <v>1</v>
      </c>
      <c r="P67" s="168">
        <f t="shared" si="7"/>
        <v>0</v>
      </c>
      <c r="Q67" s="168">
        <f t="shared" si="7"/>
        <v>1</v>
      </c>
      <c r="R67" s="168">
        <f t="shared" si="7"/>
        <v>1</v>
      </c>
      <c r="S67" s="168">
        <f t="shared" si="7"/>
        <v>1</v>
      </c>
      <c r="T67" s="119"/>
      <c r="U67" s="119"/>
    </row>
    <row r="68" spans="6:23" x14ac:dyDescent="0.25">
      <c r="F68" t="s">
        <v>784</v>
      </c>
      <c r="G68" s="118" t="s">
        <v>188</v>
      </c>
      <c r="J68" s="168">
        <f t="shared" ref="J68:S68" si="8">IF(J$38 = "", J49, J49 * J$38)</f>
        <v>1</v>
      </c>
      <c r="K68" s="168">
        <f t="shared" si="8"/>
        <v>1</v>
      </c>
      <c r="L68" s="168">
        <f t="shared" si="8"/>
        <v>1</v>
      </c>
      <c r="M68" s="168">
        <f t="shared" si="8"/>
        <v>1</v>
      </c>
      <c r="N68" s="168">
        <f t="shared" si="8"/>
        <v>1</v>
      </c>
      <c r="O68" s="168">
        <f t="shared" si="8"/>
        <v>1</v>
      </c>
      <c r="P68" s="168">
        <f t="shared" si="8"/>
        <v>0</v>
      </c>
      <c r="Q68" s="168">
        <f t="shared" si="8"/>
        <v>1</v>
      </c>
      <c r="R68" s="168">
        <f t="shared" si="8"/>
        <v>1</v>
      </c>
      <c r="S68" s="168">
        <f t="shared" si="8"/>
        <v>1</v>
      </c>
      <c r="T68" s="119"/>
      <c r="U68" s="119"/>
    </row>
    <row r="69" spans="6:23" x14ac:dyDescent="0.25">
      <c r="F69" t="s">
        <v>790</v>
      </c>
      <c r="G69" s="118" t="s">
        <v>188</v>
      </c>
      <c r="J69" s="168">
        <f t="shared" ref="J69:S69" si="9">IF(J$38 = "", J50, J50 * J$38)</f>
        <v>1</v>
      </c>
      <c r="K69" s="168">
        <f t="shared" si="9"/>
        <v>1</v>
      </c>
      <c r="L69" s="168">
        <f t="shared" si="9"/>
        <v>1</v>
      </c>
      <c r="M69" s="168">
        <f t="shared" si="9"/>
        <v>1</v>
      </c>
      <c r="N69" s="168">
        <f t="shared" si="9"/>
        <v>1</v>
      </c>
      <c r="O69" s="168">
        <f t="shared" si="9"/>
        <v>1</v>
      </c>
      <c r="P69" s="168">
        <f t="shared" si="9"/>
        <v>0</v>
      </c>
      <c r="Q69" s="168">
        <f t="shared" si="9"/>
        <v>1</v>
      </c>
      <c r="R69" s="168">
        <f t="shared" si="9"/>
        <v>1</v>
      </c>
      <c r="S69" s="168">
        <f t="shared" si="9"/>
        <v>1</v>
      </c>
      <c r="T69" s="119"/>
      <c r="U69" s="119"/>
    </row>
    <row r="70" spans="6:23" x14ac:dyDescent="0.25">
      <c r="F70" t="s">
        <v>791</v>
      </c>
      <c r="G70" s="118" t="s">
        <v>188</v>
      </c>
      <c r="J70" s="168">
        <f t="shared" ref="J70:S70" si="10">IF(J$38 = "", J51, J51 * J$38)</f>
        <v>1</v>
      </c>
      <c r="K70" s="168">
        <f t="shared" si="10"/>
        <v>1</v>
      </c>
      <c r="L70" s="168">
        <f t="shared" si="10"/>
        <v>1</v>
      </c>
      <c r="M70" s="168">
        <f t="shared" si="10"/>
        <v>1</v>
      </c>
      <c r="N70" s="168">
        <f t="shared" si="10"/>
        <v>1</v>
      </c>
      <c r="O70" s="168">
        <f t="shared" si="10"/>
        <v>1</v>
      </c>
      <c r="P70" s="168">
        <f t="shared" si="10"/>
        <v>0</v>
      </c>
      <c r="Q70" s="168">
        <f t="shared" si="10"/>
        <v>1</v>
      </c>
      <c r="R70" s="168">
        <f t="shared" si="10"/>
        <v>1</v>
      </c>
      <c r="S70" s="168">
        <f t="shared" si="10"/>
        <v>0</v>
      </c>
      <c r="T70" s="119"/>
      <c r="U70" s="119"/>
    </row>
    <row r="71" spans="6:23" x14ac:dyDescent="0.25">
      <c r="F71" t="s">
        <v>792</v>
      </c>
      <c r="G71" s="118" t="s">
        <v>188</v>
      </c>
      <c r="J71" s="168">
        <f t="shared" ref="J71:S71" si="11">IF(J$38 = "", J52, J52 * J$38)</f>
        <v>1</v>
      </c>
      <c r="K71" s="168">
        <f t="shared" si="11"/>
        <v>1</v>
      </c>
      <c r="L71" s="168">
        <f t="shared" si="11"/>
        <v>1</v>
      </c>
      <c r="M71" s="168">
        <f t="shared" si="11"/>
        <v>1</v>
      </c>
      <c r="N71" s="168">
        <f t="shared" si="11"/>
        <v>1</v>
      </c>
      <c r="O71" s="168">
        <f t="shared" si="11"/>
        <v>1</v>
      </c>
      <c r="P71" s="168">
        <f t="shared" si="11"/>
        <v>0</v>
      </c>
      <c r="Q71" s="168">
        <f t="shared" si="11"/>
        <v>1</v>
      </c>
      <c r="R71" s="168">
        <f t="shared" si="11"/>
        <v>0</v>
      </c>
      <c r="S71" s="168">
        <f t="shared" si="11"/>
        <v>0</v>
      </c>
      <c r="T71" s="119"/>
      <c r="U71" s="119"/>
    </row>
    <row r="72" spans="6:23" x14ac:dyDescent="0.25">
      <c r="F72" t="s">
        <v>793</v>
      </c>
      <c r="G72" s="118" t="s">
        <v>188</v>
      </c>
      <c r="J72" s="168">
        <f t="shared" ref="J72:S72" si="12">IF(J$38 = "", J53, J53 * J$38)</f>
        <v>1</v>
      </c>
      <c r="K72" s="168">
        <f t="shared" si="12"/>
        <v>1</v>
      </c>
      <c r="L72" s="168">
        <f t="shared" si="12"/>
        <v>1</v>
      </c>
      <c r="M72" s="168">
        <f t="shared" si="12"/>
        <v>1</v>
      </c>
      <c r="N72" s="168">
        <f t="shared" si="12"/>
        <v>1</v>
      </c>
      <c r="O72" s="168">
        <f t="shared" si="12"/>
        <v>1</v>
      </c>
      <c r="P72" s="168">
        <f t="shared" si="12"/>
        <v>0</v>
      </c>
      <c r="Q72" s="168">
        <f t="shared" si="12"/>
        <v>1</v>
      </c>
      <c r="R72" s="168">
        <f t="shared" si="12"/>
        <v>1</v>
      </c>
      <c r="S72" s="168">
        <f t="shared" si="12"/>
        <v>1</v>
      </c>
      <c r="T72" s="119"/>
      <c r="U72" s="119"/>
    </row>
    <row r="73" spans="6:23" x14ac:dyDescent="0.25">
      <c r="F73" t="s">
        <v>785</v>
      </c>
      <c r="G73" s="118" t="s">
        <v>188</v>
      </c>
      <c r="J73" s="168">
        <f t="shared" ref="J73:S73" si="13">IF(J$38 = "", J54, J54 * J$38)</f>
        <v>-1</v>
      </c>
      <c r="K73" s="168">
        <f t="shared" si="13"/>
        <v>-1</v>
      </c>
      <c r="L73" s="168">
        <f t="shared" si="13"/>
        <v>-1</v>
      </c>
      <c r="M73" s="168">
        <f t="shared" si="13"/>
        <v>-1</v>
      </c>
      <c r="N73" s="168">
        <f t="shared" si="13"/>
        <v>-1</v>
      </c>
      <c r="O73" s="168">
        <f t="shared" si="13"/>
        <v>-1</v>
      </c>
      <c r="P73" s="168">
        <f t="shared" si="13"/>
        <v>0</v>
      </c>
      <c r="Q73" s="168">
        <f t="shared" si="13"/>
        <v>-1</v>
      </c>
      <c r="R73" s="168">
        <f t="shared" si="13"/>
        <v>-1</v>
      </c>
      <c r="S73" s="168">
        <f t="shared" si="13"/>
        <v>-1</v>
      </c>
      <c r="T73" s="119"/>
      <c r="U73" s="119"/>
    </row>
    <row r="74" spans="6:23" x14ac:dyDescent="0.25">
      <c r="F74" t="s">
        <v>786</v>
      </c>
      <c r="G74" s="118" t="s">
        <v>188</v>
      </c>
      <c r="J74" s="168">
        <f t="shared" ref="J74:S74" si="14">IF(J$38 = "", J55, J55 * J$38)</f>
        <v>-1</v>
      </c>
      <c r="K74" s="168">
        <f t="shared" si="14"/>
        <v>-1</v>
      </c>
      <c r="L74" s="168">
        <f t="shared" si="14"/>
        <v>-1</v>
      </c>
      <c r="M74" s="168">
        <f t="shared" si="14"/>
        <v>-1</v>
      </c>
      <c r="N74" s="168">
        <f t="shared" si="14"/>
        <v>-1</v>
      </c>
      <c r="O74" s="168">
        <f t="shared" si="14"/>
        <v>-1</v>
      </c>
      <c r="P74" s="168">
        <f t="shared" si="14"/>
        <v>0</v>
      </c>
      <c r="Q74" s="168">
        <f t="shared" si="14"/>
        <v>-1</v>
      </c>
      <c r="R74" s="168">
        <f t="shared" si="14"/>
        <v>-1</v>
      </c>
      <c r="S74" s="168">
        <f t="shared" si="14"/>
        <v>0</v>
      </c>
      <c r="T74" s="119"/>
      <c r="U74" s="119"/>
    </row>
    <row r="75" spans="6:23" x14ac:dyDescent="0.25">
      <c r="F75" t="s">
        <v>787</v>
      </c>
      <c r="G75" s="118" t="s">
        <v>188</v>
      </c>
      <c r="J75" s="168">
        <f t="shared" ref="J75:S75" si="15">IF(J$38 = "", J56, J56 * J$38)</f>
        <v>-1</v>
      </c>
      <c r="K75" s="168">
        <f t="shared" si="15"/>
        <v>-1</v>
      </c>
      <c r="L75" s="168">
        <f t="shared" si="15"/>
        <v>-1</v>
      </c>
      <c r="M75" s="168">
        <f t="shared" si="15"/>
        <v>-1</v>
      </c>
      <c r="N75" s="168">
        <f t="shared" si="15"/>
        <v>-1</v>
      </c>
      <c r="O75" s="168">
        <f t="shared" si="15"/>
        <v>-1</v>
      </c>
      <c r="P75" s="168">
        <f t="shared" si="15"/>
        <v>0</v>
      </c>
      <c r="Q75" s="168">
        <f t="shared" si="15"/>
        <v>-1</v>
      </c>
      <c r="R75" s="168">
        <f t="shared" si="15"/>
        <v>-1</v>
      </c>
      <c r="S75" s="168">
        <f t="shared" si="15"/>
        <v>-1</v>
      </c>
      <c r="T75" s="119"/>
      <c r="U75" s="119"/>
    </row>
    <row r="76" spans="6:23" x14ac:dyDescent="0.25">
      <c r="F76" t="s">
        <v>796</v>
      </c>
      <c r="G76" s="118" t="s">
        <v>188</v>
      </c>
      <c r="J76" s="168">
        <f t="shared" ref="J76:S76" si="16">IF(J$38 = "", J57, J57 * J$38)</f>
        <v>-1</v>
      </c>
      <c r="K76" s="168">
        <f t="shared" si="16"/>
        <v>-1</v>
      </c>
      <c r="L76" s="168">
        <f t="shared" si="16"/>
        <v>-1</v>
      </c>
      <c r="M76" s="168">
        <f t="shared" si="16"/>
        <v>-1</v>
      </c>
      <c r="N76" s="168">
        <f t="shared" si="16"/>
        <v>-1</v>
      </c>
      <c r="O76" s="168">
        <f t="shared" si="16"/>
        <v>-1</v>
      </c>
      <c r="P76" s="168">
        <f t="shared" si="16"/>
        <v>0</v>
      </c>
      <c r="Q76" s="168">
        <f t="shared" si="16"/>
        <v>-1</v>
      </c>
      <c r="R76" s="168">
        <f t="shared" si="16"/>
        <v>-1</v>
      </c>
      <c r="S76" s="168">
        <f t="shared" si="16"/>
        <v>-1</v>
      </c>
      <c r="T76" s="119"/>
      <c r="U76" s="119"/>
    </row>
    <row r="77" spans="6:23" x14ac:dyDescent="0.25">
      <c r="F77" t="s">
        <v>788</v>
      </c>
      <c r="G77" s="118" t="s">
        <v>188</v>
      </c>
      <c r="J77" s="168">
        <f t="shared" ref="J77:S77" si="17">IF(J$38 = "", J58, J58 * J$38)</f>
        <v>-1</v>
      </c>
      <c r="K77" s="168">
        <f t="shared" si="17"/>
        <v>-1</v>
      </c>
      <c r="L77" s="168">
        <f t="shared" si="17"/>
        <v>-1</v>
      </c>
      <c r="M77" s="168">
        <f t="shared" si="17"/>
        <v>-1</v>
      </c>
      <c r="N77" s="168">
        <f t="shared" si="17"/>
        <v>-1</v>
      </c>
      <c r="O77" s="168">
        <f t="shared" si="17"/>
        <v>-1</v>
      </c>
      <c r="P77" s="168">
        <f t="shared" si="17"/>
        <v>0</v>
      </c>
      <c r="Q77" s="168">
        <f t="shared" si="17"/>
        <v>-1</v>
      </c>
      <c r="R77" s="168">
        <f t="shared" si="17"/>
        <v>-1</v>
      </c>
      <c r="S77" s="168">
        <f t="shared" si="17"/>
        <v>0</v>
      </c>
      <c r="T77" s="119"/>
      <c r="U77" s="119"/>
    </row>
    <row r="78" spans="6:23" x14ac:dyDescent="0.25">
      <c r="F78" t="s">
        <v>795</v>
      </c>
      <c r="G78" s="118" t="s">
        <v>188</v>
      </c>
      <c r="J78" s="168">
        <f t="shared" ref="J78:S78" si="18">IF(J$38 = "", J59, J59 * J$38)</f>
        <v>-1</v>
      </c>
      <c r="K78" s="168">
        <f t="shared" si="18"/>
        <v>-1</v>
      </c>
      <c r="L78" s="168">
        <f t="shared" si="18"/>
        <v>-1</v>
      </c>
      <c r="M78" s="168">
        <f t="shared" si="18"/>
        <v>-1</v>
      </c>
      <c r="N78" s="168">
        <f t="shared" si="18"/>
        <v>-1</v>
      </c>
      <c r="O78" s="168">
        <f t="shared" si="18"/>
        <v>-1</v>
      </c>
      <c r="P78" s="168">
        <f t="shared" si="18"/>
        <v>0</v>
      </c>
      <c r="Q78" s="168">
        <f t="shared" si="18"/>
        <v>-1</v>
      </c>
      <c r="R78" s="168">
        <f t="shared" si="18"/>
        <v>-1</v>
      </c>
      <c r="S78" s="168">
        <f t="shared" si="18"/>
        <v>0</v>
      </c>
      <c r="T78" s="119"/>
      <c r="U78" s="119"/>
    </row>
    <row r="79" spans="6:23" x14ac:dyDescent="0.25">
      <c r="F79" t="s">
        <v>789</v>
      </c>
      <c r="G79" s="118" t="s">
        <v>188</v>
      </c>
      <c r="J79" s="168">
        <f t="shared" ref="J79:S79" si="19">IF(J$38 = "", J60, J60 * J$38)</f>
        <v>-1</v>
      </c>
      <c r="K79" s="168">
        <f t="shared" si="19"/>
        <v>-1</v>
      </c>
      <c r="L79" s="168">
        <f t="shared" si="19"/>
        <v>-1</v>
      </c>
      <c r="M79" s="168">
        <f t="shared" si="19"/>
        <v>-1</v>
      </c>
      <c r="N79" s="168">
        <f t="shared" si="19"/>
        <v>-1</v>
      </c>
      <c r="O79" s="168">
        <f t="shared" si="19"/>
        <v>-1</v>
      </c>
      <c r="P79" s="168">
        <f t="shared" si="19"/>
        <v>0</v>
      </c>
      <c r="Q79" s="168">
        <f t="shared" si="19"/>
        <v>-1</v>
      </c>
      <c r="R79" s="168">
        <f t="shared" si="19"/>
        <v>0</v>
      </c>
      <c r="S79" s="168">
        <f t="shared" si="19"/>
        <v>0</v>
      </c>
      <c r="T79" s="119"/>
      <c r="U79" s="119"/>
    </row>
    <row r="80" spans="6:23" x14ac:dyDescent="0.25">
      <c r="F80" s="96" t="s">
        <v>794</v>
      </c>
      <c r="G80" s="120" t="s">
        <v>188</v>
      </c>
      <c r="H80" s="96"/>
      <c r="I80" s="96"/>
      <c r="J80" s="172">
        <f t="shared" ref="J80:S80" si="20">IF(J$38 = "", J61, J61 * J$38)</f>
        <v>-1</v>
      </c>
      <c r="K80" s="172">
        <f t="shared" si="20"/>
        <v>-1</v>
      </c>
      <c r="L80" s="172">
        <f t="shared" si="20"/>
        <v>-1</v>
      </c>
      <c r="M80" s="172">
        <f t="shared" si="20"/>
        <v>-1</v>
      </c>
      <c r="N80" s="172">
        <f t="shared" si="20"/>
        <v>-1</v>
      </c>
      <c r="O80" s="172">
        <f t="shared" si="20"/>
        <v>-1</v>
      </c>
      <c r="P80" s="172">
        <f t="shared" si="20"/>
        <v>0</v>
      </c>
      <c r="Q80" s="172">
        <f t="shared" si="20"/>
        <v>-1</v>
      </c>
      <c r="R80" s="172">
        <f t="shared" si="20"/>
        <v>0</v>
      </c>
      <c r="S80" s="172">
        <f t="shared" si="20"/>
        <v>0</v>
      </c>
      <c r="T80" s="121"/>
      <c r="U80" s="121"/>
    </row>
    <row r="81" spans="5:23" x14ac:dyDescent="0.25">
      <c r="G81" s="61"/>
      <c r="J81" s="106"/>
      <c r="K81" s="106"/>
      <c r="L81" s="106"/>
      <c r="M81" s="106"/>
      <c r="N81" s="106"/>
      <c r="O81" s="106"/>
      <c r="P81" s="106"/>
      <c r="Q81" s="106"/>
      <c r="R81" s="106"/>
      <c r="S81" s="106"/>
      <c r="T81" s="106"/>
      <c r="U81" s="106"/>
    </row>
    <row r="82" spans="5:23" x14ac:dyDescent="0.25">
      <c r="E82" s="75" t="s">
        <v>198</v>
      </c>
      <c r="G82" s="61"/>
      <c r="I82" t="s">
        <v>152</v>
      </c>
      <c r="J82" s="106"/>
      <c r="K82" s="106"/>
      <c r="L82" s="106"/>
      <c r="M82" s="106"/>
      <c r="N82" s="106"/>
      <c r="O82" s="106"/>
      <c r="P82" s="106"/>
      <c r="Q82" s="106"/>
      <c r="R82" s="106"/>
      <c r="S82" s="106"/>
      <c r="T82" s="106"/>
      <c r="U82" s="106"/>
      <c r="W82" s="3" t="s">
        <v>358</v>
      </c>
    </row>
    <row r="83" spans="5:23" x14ac:dyDescent="0.25">
      <c r="E83" s="86" t="s">
        <v>200</v>
      </c>
      <c r="G83" s="61"/>
      <c r="J83" s="106"/>
      <c r="K83" s="106"/>
      <c r="L83" s="106"/>
      <c r="M83" s="106"/>
      <c r="N83" s="106"/>
      <c r="O83" s="106"/>
      <c r="P83" s="106"/>
      <c r="Q83" s="106"/>
      <c r="R83" s="106"/>
      <c r="S83" s="106"/>
      <c r="T83" s="106"/>
      <c r="U83" s="106"/>
    </row>
    <row r="84" spans="5:23" x14ac:dyDescent="0.25">
      <c r="F84" s="95" t="s">
        <v>1112</v>
      </c>
      <c r="G84" s="116" t="s">
        <v>174</v>
      </c>
      <c r="H84" s="95"/>
      <c r="I84" s="95"/>
      <c r="J84" s="170">
        <f t="array" ref="J84:S99">TRANSPOSE('Fixed inputs'!J74:Y83)</f>
        <v>1</v>
      </c>
      <c r="K84" s="170">
        <v>1</v>
      </c>
      <c r="L84" s="170">
        <v>1</v>
      </c>
      <c r="M84" s="170">
        <v>1</v>
      </c>
      <c r="N84" s="170">
        <v>1</v>
      </c>
      <c r="O84" s="170">
        <v>1</v>
      </c>
      <c r="P84" s="170">
        <v>1</v>
      </c>
      <c r="Q84" s="170">
        <v>1</v>
      </c>
      <c r="R84" s="170">
        <v>1</v>
      </c>
      <c r="S84" s="170">
        <v>1</v>
      </c>
      <c r="T84" s="117"/>
      <c r="U84" s="117"/>
    </row>
    <row r="85" spans="5:23" x14ac:dyDescent="0.25">
      <c r="F85" t="s">
        <v>783</v>
      </c>
      <c r="G85" s="118" t="s">
        <v>174</v>
      </c>
      <c r="J85" s="167">
        <v>1</v>
      </c>
      <c r="K85" s="167">
        <v>1</v>
      </c>
      <c r="L85" s="167">
        <v>1</v>
      </c>
      <c r="M85" s="167">
        <v>1</v>
      </c>
      <c r="N85" s="167">
        <v>1</v>
      </c>
      <c r="O85" s="167">
        <v>1</v>
      </c>
      <c r="P85" s="167">
        <v>1</v>
      </c>
      <c r="Q85" s="167">
        <v>1</v>
      </c>
      <c r="R85" s="167">
        <v>1</v>
      </c>
      <c r="S85" s="167">
        <v>1</v>
      </c>
      <c r="T85" s="119"/>
      <c r="U85" s="119"/>
    </row>
    <row r="86" spans="5:23" x14ac:dyDescent="0.25">
      <c r="F86" t="s">
        <v>1113</v>
      </c>
      <c r="G86" s="118" t="s">
        <v>174</v>
      </c>
      <c r="J86" s="167">
        <v>1</v>
      </c>
      <c r="K86" s="167">
        <v>1</v>
      </c>
      <c r="L86" s="167">
        <v>1</v>
      </c>
      <c r="M86" s="167">
        <v>1</v>
      </c>
      <c r="N86" s="167">
        <v>1</v>
      </c>
      <c r="O86" s="167">
        <v>1</v>
      </c>
      <c r="P86" s="167">
        <v>1</v>
      </c>
      <c r="Q86" s="167">
        <v>1</v>
      </c>
      <c r="R86" s="167">
        <v>1</v>
      </c>
      <c r="S86" s="167">
        <v>1</v>
      </c>
      <c r="T86" s="119"/>
      <c r="U86" s="119"/>
    </row>
    <row r="87" spans="5:23" x14ac:dyDescent="0.25">
      <c r="F87" t="s">
        <v>784</v>
      </c>
      <c r="G87" s="118" t="s">
        <v>174</v>
      </c>
      <c r="J87" s="167">
        <v>1</v>
      </c>
      <c r="K87" s="167">
        <v>1</v>
      </c>
      <c r="L87" s="167">
        <v>1</v>
      </c>
      <c r="M87" s="167">
        <v>1</v>
      </c>
      <c r="N87" s="167">
        <v>1</v>
      </c>
      <c r="O87" s="167">
        <v>1</v>
      </c>
      <c r="P87" s="167">
        <v>1</v>
      </c>
      <c r="Q87" s="167">
        <v>1</v>
      </c>
      <c r="R87" s="167">
        <v>1</v>
      </c>
      <c r="S87" s="167">
        <v>1</v>
      </c>
      <c r="T87" s="119"/>
      <c r="U87" s="119"/>
    </row>
    <row r="88" spans="5:23" x14ac:dyDescent="0.25">
      <c r="F88" t="s">
        <v>790</v>
      </c>
      <c r="G88" s="118" t="s">
        <v>174</v>
      </c>
      <c r="J88" s="167">
        <v>1</v>
      </c>
      <c r="K88" s="167">
        <v>1</v>
      </c>
      <c r="L88" s="167">
        <v>1</v>
      </c>
      <c r="M88" s="167">
        <v>1</v>
      </c>
      <c r="N88" s="167">
        <v>1</v>
      </c>
      <c r="O88" s="167">
        <v>1</v>
      </c>
      <c r="P88" s="167">
        <v>1</v>
      </c>
      <c r="Q88" s="167">
        <v>1</v>
      </c>
      <c r="R88" s="167">
        <v>1</v>
      </c>
      <c r="S88" s="167">
        <v>1</v>
      </c>
      <c r="T88" s="119"/>
      <c r="U88" s="119"/>
    </row>
    <row r="89" spans="5:23" x14ac:dyDescent="0.25">
      <c r="F89" t="s">
        <v>791</v>
      </c>
      <c r="G89" s="118" t="s">
        <v>174</v>
      </c>
      <c r="J89" s="167">
        <v>1</v>
      </c>
      <c r="K89" s="167">
        <v>1</v>
      </c>
      <c r="L89" s="167">
        <v>1</v>
      </c>
      <c r="M89" s="167">
        <v>1</v>
      </c>
      <c r="N89" s="167">
        <v>1</v>
      </c>
      <c r="O89" s="167">
        <v>1</v>
      </c>
      <c r="P89" s="167">
        <v>1</v>
      </c>
      <c r="Q89" s="167">
        <v>1</v>
      </c>
      <c r="R89" s="167">
        <v>1</v>
      </c>
      <c r="S89" s="167">
        <v>0</v>
      </c>
      <c r="T89" s="119"/>
      <c r="U89" s="119"/>
    </row>
    <row r="90" spans="5:23" x14ac:dyDescent="0.25">
      <c r="F90" t="s">
        <v>792</v>
      </c>
      <c r="G90" s="118" t="s">
        <v>174</v>
      </c>
      <c r="J90" s="167">
        <v>1</v>
      </c>
      <c r="K90" s="167">
        <v>1</v>
      </c>
      <c r="L90" s="167">
        <v>1</v>
      </c>
      <c r="M90" s="167">
        <v>1</v>
      </c>
      <c r="N90" s="167">
        <v>1</v>
      </c>
      <c r="O90" s="167">
        <v>1</v>
      </c>
      <c r="P90" s="167">
        <v>1</v>
      </c>
      <c r="Q90" s="167">
        <v>1</v>
      </c>
      <c r="R90" s="167">
        <v>0</v>
      </c>
      <c r="S90" s="167">
        <v>0</v>
      </c>
      <c r="T90" s="119"/>
      <c r="U90" s="119"/>
    </row>
    <row r="91" spans="5:23" x14ac:dyDescent="0.25">
      <c r="F91" t="s">
        <v>793</v>
      </c>
      <c r="G91" s="118" t="s">
        <v>174</v>
      </c>
      <c r="J91" s="167">
        <v>1</v>
      </c>
      <c r="K91" s="167">
        <v>1</v>
      </c>
      <c r="L91" s="167">
        <v>1</v>
      </c>
      <c r="M91" s="167">
        <v>1</v>
      </c>
      <c r="N91" s="167">
        <v>1</v>
      </c>
      <c r="O91" s="167">
        <v>1</v>
      </c>
      <c r="P91" s="167">
        <v>1</v>
      </c>
      <c r="Q91" s="167">
        <v>1</v>
      </c>
      <c r="R91" s="167">
        <v>1</v>
      </c>
      <c r="S91" s="167">
        <v>1</v>
      </c>
      <c r="T91" s="119"/>
      <c r="U91" s="119"/>
    </row>
    <row r="92" spans="5:23" x14ac:dyDescent="0.25">
      <c r="F92" t="s">
        <v>785</v>
      </c>
      <c r="G92" s="118" t="s">
        <v>174</v>
      </c>
      <c r="J92" s="167">
        <v>-1</v>
      </c>
      <c r="K92" s="167">
        <v>-1</v>
      </c>
      <c r="L92" s="167">
        <v>-1</v>
      </c>
      <c r="M92" s="167">
        <v>-1</v>
      </c>
      <c r="N92" s="167">
        <v>-1</v>
      </c>
      <c r="O92" s="167">
        <v>-1</v>
      </c>
      <c r="P92" s="167">
        <v>-1</v>
      </c>
      <c r="Q92" s="167">
        <v>-1</v>
      </c>
      <c r="R92" s="167">
        <v>-1</v>
      </c>
      <c r="S92" s="167">
        <v>0</v>
      </c>
      <c r="T92" s="119"/>
      <c r="U92" s="119"/>
    </row>
    <row r="93" spans="5:23" x14ac:dyDescent="0.25">
      <c r="F93" t="s">
        <v>786</v>
      </c>
      <c r="G93" s="118" t="s">
        <v>174</v>
      </c>
      <c r="J93" s="167">
        <v>-1</v>
      </c>
      <c r="K93" s="167">
        <v>-1</v>
      </c>
      <c r="L93" s="167">
        <v>-1</v>
      </c>
      <c r="M93" s="167">
        <v>-1</v>
      </c>
      <c r="N93" s="167">
        <v>-1</v>
      </c>
      <c r="O93" s="167">
        <v>-1</v>
      </c>
      <c r="P93" s="167">
        <v>-1</v>
      </c>
      <c r="Q93" s="167">
        <v>-1</v>
      </c>
      <c r="R93" s="167">
        <v>0</v>
      </c>
      <c r="S93" s="167">
        <v>0</v>
      </c>
      <c r="T93" s="119"/>
      <c r="U93" s="119"/>
    </row>
    <row r="94" spans="5:23" x14ac:dyDescent="0.25">
      <c r="F94" t="s">
        <v>787</v>
      </c>
      <c r="G94" s="118" t="s">
        <v>174</v>
      </c>
      <c r="J94" s="167">
        <v>-1</v>
      </c>
      <c r="K94" s="167">
        <v>-1</v>
      </c>
      <c r="L94" s="167">
        <v>-1</v>
      </c>
      <c r="M94" s="167">
        <v>-1</v>
      </c>
      <c r="N94" s="167">
        <v>-1</v>
      </c>
      <c r="O94" s="167">
        <v>-1</v>
      </c>
      <c r="P94" s="167">
        <v>-1</v>
      </c>
      <c r="Q94" s="167">
        <v>-1</v>
      </c>
      <c r="R94" s="167">
        <v>-1</v>
      </c>
      <c r="S94" s="167">
        <v>0</v>
      </c>
      <c r="T94" s="119"/>
      <c r="U94" s="119"/>
    </row>
    <row r="95" spans="5:23" x14ac:dyDescent="0.25">
      <c r="F95" t="s">
        <v>796</v>
      </c>
      <c r="G95" s="118" t="s">
        <v>174</v>
      </c>
      <c r="J95" s="167">
        <v>-1</v>
      </c>
      <c r="K95" s="167">
        <v>-1</v>
      </c>
      <c r="L95" s="167">
        <v>-1</v>
      </c>
      <c r="M95" s="167">
        <v>-1</v>
      </c>
      <c r="N95" s="167">
        <v>-1</v>
      </c>
      <c r="O95" s="167">
        <v>-1</v>
      </c>
      <c r="P95" s="167">
        <v>-1</v>
      </c>
      <c r="Q95" s="167">
        <v>-1</v>
      </c>
      <c r="R95" s="167">
        <v>-1</v>
      </c>
      <c r="S95" s="167">
        <v>0</v>
      </c>
      <c r="T95" s="119"/>
      <c r="U95" s="119"/>
    </row>
    <row r="96" spans="5:23" x14ac:dyDescent="0.25">
      <c r="F96" t="s">
        <v>788</v>
      </c>
      <c r="G96" s="118" t="s">
        <v>174</v>
      </c>
      <c r="J96" s="167">
        <v>-1</v>
      </c>
      <c r="K96" s="167">
        <v>-1</v>
      </c>
      <c r="L96" s="167">
        <v>-1</v>
      </c>
      <c r="M96" s="167">
        <v>-1</v>
      </c>
      <c r="N96" s="167">
        <v>-1</v>
      </c>
      <c r="O96" s="167">
        <v>-1</v>
      </c>
      <c r="P96" s="167">
        <v>-1</v>
      </c>
      <c r="Q96" s="167">
        <v>-1</v>
      </c>
      <c r="R96" s="167">
        <v>0</v>
      </c>
      <c r="S96" s="167">
        <v>0</v>
      </c>
      <c r="T96" s="119"/>
      <c r="U96" s="119"/>
    </row>
    <row r="97" spans="5:23" x14ac:dyDescent="0.25">
      <c r="F97" t="s">
        <v>795</v>
      </c>
      <c r="G97" s="118" t="s">
        <v>174</v>
      </c>
      <c r="J97" s="167">
        <v>-1</v>
      </c>
      <c r="K97" s="167">
        <v>-1</v>
      </c>
      <c r="L97" s="167">
        <v>-1</v>
      </c>
      <c r="M97" s="167">
        <v>-1</v>
      </c>
      <c r="N97" s="167">
        <v>-1</v>
      </c>
      <c r="O97" s="167">
        <v>-1</v>
      </c>
      <c r="P97" s="167">
        <v>-1</v>
      </c>
      <c r="Q97" s="167">
        <v>-1</v>
      </c>
      <c r="R97" s="167">
        <v>0</v>
      </c>
      <c r="S97" s="167">
        <v>0</v>
      </c>
      <c r="T97" s="119"/>
      <c r="U97" s="119"/>
    </row>
    <row r="98" spans="5:23" x14ac:dyDescent="0.25">
      <c r="F98" t="s">
        <v>789</v>
      </c>
      <c r="G98" s="118" t="s">
        <v>174</v>
      </c>
      <c r="J98" s="167">
        <v>-1</v>
      </c>
      <c r="K98" s="167">
        <v>-1</v>
      </c>
      <c r="L98" s="167">
        <v>-1</v>
      </c>
      <c r="M98" s="167">
        <v>-1</v>
      </c>
      <c r="N98" s="167">
        <v>-1</v>
      </c>
      <c r="O98" s="167">
        <v>-1</v>
      </c>
      <c r="P98" s="167">
        <v>-1</v>
      </c>
      <c r="Q98" s="167">
        <v>0</v>
      </c>
      <c r="R98" s="167">
        <v>0</v>
      </c>
      <c r="S98" s="167">
        <v>0</v>
      </c>
      <c r="T98" s="119"/>
      <c r="U98" s="119"/>
    </row>
    <row r="99" spans="5:23" x14ac:dyDescent="0.25">
      <c r="F99" s="96" t="s">
        <v>794</v>
      </c>
      <c r="G99" s="120" t="s">
        <v>174</v>
      </c>
      <c r="H99" s="96"/>
      <c r="I99" s="96"/>
      <c r="J99" s="171">
        <v>-1</v>
      </c>
      <c r="K99" s="171">
        <v>-1</v>
      </c>
      <c r="L99" s="171">
        <v>-1</v>
      </c>
      <c r="M99" s="171">
        <v>-1</v>
      </c>
      <c r="N99" s="171">
        <v>-1</v>
      </c>
      <c r="O99" s="171">
        <v>-1</v>
      </c>
      <c r="P99" s="171">
        <v>-1</v>
      </c>
      <c r="Q99" s="171">
        <v>0</v>
      </c>
      <c r="R99" s="171">
        <v>0</v>
      </c>
      <c r="S99" s="171">
        <v>0</v>
      </c>
      <c r="T99" s="121"/>
      <c r="U99" s="121"/>
    </row>
    <row r="100" spans="5:23" x14ac:dyDescent="0.25">
      <c r="G100" s="61"/>
      <c r="J100" s="106"/>
      <c r="K100" s="106"/>
      <c r="L100" s="106"/>
      <c r="M100" s="106"/>
      <c r="N100" s="106"/>
      <c r="O100" s="106"/>
      <c r="P100" s="106"/>
      <c r="Q100" s="106"/>
      <c r="R100" s="106"/>
      <c r="S100" s="106"/>
      <c r="T100" s="106"/>
      <c r="U100" s="106"/>
    </row>
    <row r="101" spans="5:23" x14ac:dyDescent="0.25">
      <c r="E101" s="75" t="s">
        <v>359</v>
      </c>
      <c r="G101" s="61"/>
      <c r="I101" t="s">
        <v>152</v>
      </c>
      <c r="J101" s="106"/>
      <c r="K101" s="106"/>
      <c r="L101" s="106"/>
      <c r="M101" s="106"/>
      <c r="N101" s="106"/>
      <c r="O101" s="106"/>
      <c r="P101" s="106"/>
      <c r="Q101" s="106"/>
      <c r="R101" s="106"/>
      <c r="S101" s="106"/>
      <c r="T101" s="106"/>
      <c r="U101" s="106"/>
      <c r="W101" s="3" t="s">
        <v>358</v>
      </c>
    </row>
    <row r="102" spans="5:23" x14ac:dyDescent="0.25">
      <c r="E102" s="86" t="s">
        <v>200</v>
      </c>
      <c r="G102" s="61"/>
      <c r="J102" s="106"/>
      <c r="K102" s="106"/>
      <c r="L102" s="106"/>
      <c r="M102" s="106"/>
      <c r="N102" s="106"/>
      <c r="O102" s="106"/>
      <c r="P102" s="106"/>
      <c r="Q102" s="106"/>
      <c r="R102" s="106"/>
      <c r="S102" s="106"/>
      <c r="T102" s="106"/>
      <c r="U102" s="106"/>
    </row>
    <row r="103" spans="5:23" x14ac:dyDescent="0.25">
      <c r="E103" s="86" t="s">
        <v>357</v>
      </c>
      <c r="G103" s="61"/>
      <c r="J103" s="106"/>
      <c r="K103" s="106"/>
      <c r="L103" s="106"/>
      <c r="M103" s="106"/>
      <c r="N103" s="106"/>
      <c r="O103" s="106"/>
      <c r="P103" s="106"/>
      <c r="Q103" s="106"/>
      <c r="R103" s="106"/>
      <c r="S103" s="106"/>
      <c r="T103" s="106"/>
      <c r="U103" s="106"/>
    </row>
    <row r="104" spans="5:23" x14ac:dyDescent="0.25">
      <c r="F104" s="95" t="s">
        <v>1112</v>
      </c>
      <c r="G104" s="116" t="s">
        <v>174</v>
      </c>
      <c r="H104" s="95"/>
      <c r="I104" s="95"/>
      <c r="J104" s="147">
        <f t="shared" ref="J104:S104" si="21">IF(J$38 = "", J84, J84 * J$38)</f>
        <v>1</v>
      </c>
      <c r="K104" s="147">
        <f t="shared" si="21"/>
        <v>1</v>
      </c>
      <c r="L104" s="147">
        <f t="shared" si="21"/>
        <v>1</v>
      </c>
      <c r="M104" s="147">
        <f t="shared" si="21"/>
        <v>1</v>
      </c>
      <c r="N104" s="147">
        <f t="shared" si="21"/>
        <v>1</v>
      </c>
      <c r="O104" s="147">
        <f t="shared" si="21"/>
        <v>1</v>
      </c>
      <c r="P104" s="147">
        <f t="shared" si="21"/>
        <v>0</v>
      </c>
      <c r="Q104" s="147">
        <f t="shared" si="21"/>
        <v>1</v>
      </c>
      <c r="R104" s="147">
        <f t="shared" si="21"/>
        <v>1</v>
      </c>
      <c r="S104" s="147">
        <f t="shared" si="21"/>
        <v>1</v>
      </c>
      <c r="T104" s="117"/>
      <c r="U104" s="117"/>
    </row>
    <row r="105" spans="5:23" x14ac:dyDescent="0.25">
      <c r="F105" t="s">
        <v>783</v>
      </c>
      <c r="G105" s="118" t="s">
        <v>174</v>
      </c>
      <c r="J105" s="168">
        <f t="shared" ref="J105:S105" si="22">IF(J$38 = "", J85, J85 * J$38)</f>
        <v>1</v>
      </c>
      <c r="K105" s="168">
        <f t="shared" si="22"/>
        <v>1</v>
      </c>
      <c r="L105" s="168">
        <f t="shared" si="22"/>
        <v>1</v>
      </c>
      <c r="M105" s="168">
        <f t="shared" si="22"/>
        <v>1</v>
      </c>
      <c r="N105" s="168">
        <f t="shared" si="22"/>
        <v>1</v>
      </c>
      <c r="O105" s="168">
        <f t="shared" si="22"/>
        <v>1</v>
      </c>
      <c r="P105" s="168">
        <f t="shared" si="22"/>
        <v>0</v>
      </c>
      <c r="Q105" s="168">
        <f t="shared" si="22"/>
        <v>1</v>
      </c>
      <c r="R105" s="168">
        <f t="shared" si="22"/>
        <v>1</v>
      </c>
      <c r="S105" s="168">
        <f t="shared" si="22"/>
        <v>1</v>
      </c>
      <c r="T105" s="119"/>
      <c r="U105" s="119"/>
    </row>
    <row r="106" spans="5:23" x14ac:dyDescent="0.25">
      <c r="F106" t="s">
        <v>1113</v>
      </c>
      <c r="G106" s="118" t="s">
        <v>174</v>
      </c>
      <c r="J106" s="168">
        <f t="shared" ref="J106:S106" si="23">IF(J$38 = "", J86, J86 * J$38)</f>
        <v>1</v>
      </c>
      <c r="K106" s="168">
        <f t="shared" si="23"/>
        <v>1</v>
      </c>
      <c r="L106" s="168">
        <f t="shared" si="23"/>
        <v>1</v>
      </c>
      <c r="M106" s="168">
        <f t="shared" si="23"/>
        <v>1</v>
      </c>
      <c r="N106" s="168">
        <f t="shared" si="23"/>
        <v>1</v>
      </c>
      <c r="O106" s="168">
        <f t="shared" si="23"/>
        <v>1</v>
      </c>
      <c r="P106" s="168">
        <f t="shared" si="23"/>
        <v>0</v>
      </c>
      <c r="Q106" s="168">
        <f t="shared" si="23"/>
        <v>1</v>
      </c>
      <c r="R106" s="168">
        <f t="shared" si="23"/>
        <v>1</v>
      </c>
      <c r="S106" s="168">
        <f t="shared" si="23"/>
        <v>1</v>
      </c>
      <c r="T106" s="119"/>
      <c r="U106" s="119"/>
    </row>
    <row r="107" spans="5:23" x14ac:dyDescent="0.25">
      <c r="F107" t="s">
        <v>784</v>
      </c>
      <c r="G107" s="118" t="s">
        <v>174</v>
      </c>
      <c r="J107" s="168">
        <f t="shared" ref="J107:S107" si="24">IF(J$38 = "", J87, J87 * J$38)</f>
        <v>1</v>
      </c>
      <c r="K107" s="168">
        <f t="shared" si="24"/>
        <v>1</v>
      </c>
      <c r="L107" s="168">
        <f t="shared" si="24"/>
        <v>1</v>
      </c>
      <c r="M107" s="168">
        <f t="shared" si="24"/>
        <v>1</v>
      </c>
      <c r="N107" s="168">
        <f t="shared" si="24"/>
        <v>1</v>
      </c>
      <c r="O107" s="168">
        <f t="shared" si="24"/>
        <v>1</v>
      </c>
      <c r="P107" s="168">
        <f t="shared" si="24"/>
        <v>0</v>
      </c>
      <c r="Q107" s="168">
        <f t="shared" si="24"/>
        <v>1</v>
      </c>
      <c r="R107" s="168">
        <f t="shared" si="24"/>
        <v>1</v>
      </c>
      <c r="S107" s="168">
        <f t="shared" si="24"/>
        <v>1</v>
      </c>
      <c r="T107" s="119"/>
      <c r="U107" s="119"/>
    </row>
    <row r="108" spans="5:23" x14ac:dyDescent="0.25">
      <c r="F108" t="s">
        <v>790</v>
      </c>
      <c r="G108" s="118" t="s">
        <v>174</v>
      </c>
      <c r="J108" s="168">
        <f t="shared" ref="J108:S108" si="25">IF(J$38 = "", J88, J88 * J$38)</f>
        <v>1</v>
      </c>
      <c r="K108" s="168">
        <f t="shared" si="25"/>
        <v>1</v>
      </c>
      <c r="L108" s="168">
        <f t="shared" si="25"/>
        <v>1</v>
      </c>
      <c r="M108" s="168">
        <f t="shared" si="25"/>
        <v>1</v>
      </c>
      <c r="N108" s="168">
        <f t="shared" si="25"/>
        <v>1</v>
      </c>
      <c r="O108" s="168">
        <f t="shared" si="25"/>
        <v>1</v>
      </c>
      <c r="P108" s="168">
        <f t="shared" si="25"/>
        <v>0</v>
      </c>
      <c r="Q108" s="168">
        <f t="shared" si="25"/>
        <v>1</v>
      </c>
      <c r="R108" s="168">
        <f t="shared" si="25"/>
        <v>1</v>
      </c>
      <c r="S108" s="168">
        <f t="shared" si="25"/>
        <v>1</v>
      </c>
      <c r="T108" s="119"/>
      <c r="U108" s="119"/>
    </row>
    <row r="109" spans="5:23" x14ac:dyDescent="0.25">
      <c r="F109" t="s">
        <v>791</v>
      </c>
      <c r="G109" s="118" t="s">
        <v>174</v>
      </c>
      <c r="J109" s="168">
        <f t="shared" ref="J109:S109" si="26">IF(J$38 = "", J89, J89 * J$38)</f>
        <v>1</v>
      </c>
      <c r="K109" s="168">
        <f t="shared" si="26"/>
        <v>1</v>
      </c>
      <c r="L109" s="168">
        <f t="shared" si="26"/>
        <v>1</v>
      </c>
      <c r="M109" s="168">
        <f t="shared" si="26"/>
        <v>1</v>
      </c>
      <c r="N109" s="168">
        <f t="shared" si="26"/>
        <v>1</v>
      </c>
      <c r="O109" s="168">
        <f t="shared" si="26"/>
        <v>1</v>
      </c>
      <c r="P109" s="168">
        <f t="shared" si="26"/>
        <v>0</v>
      </c>
      <c r="Q109" s="168">
        <f t="shared" si="26"/>
        <v>1</v>
      </c>
      <c r="R109" s="168">
        <f t="shared" si="26"/>
        <v>1</v>
      </c>
      <c r="S109" s="168">
        <f t="shared" si="26"/>
        <v>0</v>
      </c>
      <c r="T109" s="119"/>
      <c r="U109" s="119"/>
    </row>
    <row r="110" spans="5:23" x14ac:dyDescent="0.25">
      <c r="F110" t="s">
        <v>792</v>
      </c>
      <c r="G110" s="118" t="s">
        <v>174</v>
      </c>
      <c r="J110" s="168">
        <f t="shared" ref="J110:S110" si="27">IF(J$38 = "", J90, J90 * J$38)</f>
        <v>1</v>
      </c>
      <c r="K110" s="168">
        <f t="shared" si="27"/>
        <v>1</v>
      </c>
      <c r="L110" s="168">
        <f t="shared" si="27"/>
        <v>1</v>
      </c>
      <c r="M110" s="168">
        <f t="shared" si="27"/>
        <v>1</v>
      </c>
      <c r="N110" s="168">
        <f t="shared" si="27"/>
        <v>1</v>
      </c>
      <c r="O110" s="168">
        <f t="shared" si="27"/>
        <v>1</v>
      </c>
      <c r="P110" s="168">
        <f t="shared" si="27"/>
        <v>0</v>
      </c>
      <c r="Q110" s="168">
        <f t="shared" si="27"/>
        <v>1</v>
      </c>
      <c r="R110" s="168">
        <f t="shared" si="27"/>
        <v>0</v>
      </c>
      <c r="S110" s="168">
        <f t="shared" si="27"/>
        <v>0</v>
      </c>
      <c r="T110" s="119"/>
      <c r="U110" s="119"/>
    </row>
    <row r="111" spans="5:23" x14ac:dyDescent="0.25">
      <c r="F111" t="s">
        <v>793</v>
      </c>
      <c r="G111" s="118" t="s">
        <v>174</v>
      </c>
      <c r="J111" s="168">
        <f t="shared" ref="J111:S111" si="28">IF(J$38 = "", J91, J91 * J$38)</f>
        <v>1</v>
      </c>
      <c r="K111" s="168">
        <f t="shared" si="28"/>
        <v>1</v>
      </c>
      <c r="L111" s="168">
        <f t="shared" si="28"/>
        <v>1</v>
      </c>
      <c r="M111" s="168">
        <f t="shared" si="28"/>
        <v>1</v>
      </c>
      <c r="N111" s="168">
        <f t="shared" si="28"/>
        <v>1</v>
      </c>
      <c r="O111" s="168">
        <f t="shared" si="28"/>
        <v>1</v>
      </c>
      <c r="P111" s="168">
        <f t="shared" si="28"/>
        <v>0</v>
      </c>
      <c r="Q111" s="168">
        <f t="shared" si="28"/>
        <v>1</v>
      </c>
      <c r="R111" s="168">
        <f t="shared" si="28"/>
        <v>1</v>
      </c>
      <c r="S111" s="168">
        <f t="shared" si="28"/>
        <v>1</v>
      </c>
      <c r="T111" s="119"/>
      <c r="U111" s="119"/>
    </row>
    <row r="112" spans="5:23" x14ac:dyDescent="0.25">
      <c r="F112" t="s">
        <v>785</v>
      </c>
      <c r="G112" s="118" t="s">
        <v>174</v>
      </c>
      <c r="J112" s="168">
        <f t="shared" ref="J112:S112" si="29">IF(J$38 = "", J92, J92 * J$38)</f>
        <v>-1</v>
      </c>
      <c r="K112" s="168">
        <f t="shared" si="29"/>
        <v>-1</v>
      </c>
      <c r="L112" s="168">
        <f t="shared" si="29"/>
        <v>-1</v>
      </c>
      <c r="M112" s="168">
        <f t="shared" si="29"/>
        <v>-1</v>
      </c>
      <c r="N112" s="168">
        <f t="shared" si="29"/>
        <v>-1</v>
      </c>
      <c r="O112" s="168">
        <f t="shared" si="29"/>
        <v>-1</v>
      </c>
      <c r="P112" s="168">
        <f t="shared" si="29"/>
        <v>0</v>
      </c>
      <c r="Q112" s="168">
        <f t="shared" si="29"/>
        <v>-1</v>
      </c>
      <c r="R112" s="168">
        <f t="shared" si="29"/>
        <v>-1</v>
      </c>
      <c r="S112" s="168">
        <f t="shared" si="29"/>
        <v>0</v>
      </c>
      <c r="T112" s="119"/>
      <c r="U112" s="119"/>
    </row>
    <row r="113" spans="3:23" x14ac:dyDescent="0.25">
      <c r="F113" t="s">
        <v>786</v>
      </c>
      <c r="G113" s="118" t="s">
        <v>174</v>
      </c>
      <c r="J113" s="168">
        <f t="shared" ref="J113:S113" si="30">IF(J$38 = "", J93, J93 * J$38)</f>
        <v>-1</v>
      </c>
      <c r="K113" s="168">
        <f t="shared" si="30"/>
        <v>-1</v>
      </c>
      <c r="L113" s="168">
        <f t="shared" si="30"/>
        <v>-1</v>
      </c>
      <c r="M113" s="168">
        <f t="shared" si="30"/>
        <v>-1</v>
      </c>
      <c r="N113" s="168">
        <f t="shared" si="30"/>
        <v>-1</v>
      </c>
      <c r="O113" s="168">
        <f t="shared" si="30"/>
        <v>-1</v>
      </c>
      <c r="P113" s="168">
        <f t="shared" si="30"/>
        <v>0</v>
      </c>
      <c r="Q113" s="168">
        <f t="shared" si="30"/>
        <v>-1</v>
      </c>
      <c r="R113" s="168">
        <f t="shared" si="30"/>
        <v>0</v>
      </c>
      <c r="S113" s="168">
        <f t="shared" si="30"/>
        <v>0</v>
      </c>
      <c r="T113" s="119"/>
      <c r="U113" s="119"/>
    </row>
    <row r="114" spans="3:23" x14ac:dyDescent="0.25">
      <c r="F114" t="s">
        <v>787</v>
      </c>
      <c r="G114" s="118" t="s">
        <v>174</v>
      </c>
      <c r="J114" s="168">
        <f t="shared" ref="J114:S114" si="31">IF(J$38 = "", J94, J94 * J$38)</f>
        <v>-1</v>
      </c>
      <c r="K114" s="168">
        <f t="shared" si="31"/>
        <v>-1</v>
      </c>
      <c r="L114" s="168">
        <f t="shared" si="31"/>
        <v>-1</v>
      </c>
      <c r="M114" s="168">
        <f t="shared" si="31"/>
        <v>-1</v>
      </c>
      <c r="N114" s="168">
        <f t="shared" si="31"/>
        <v>-1</v>
      </c>
      <c r="O114" s="168">
        <f t="shared" si="31"/>
        <v>-1</v>
      </c>
      <c r="P114" s="168">
        <f t="shared" si="31"/>
        <v>0</v>
      </c>
      <c r="Q114" s="168">
        <f t="shared" si="31"/>
        <v>-1</v>
      </c>
      <c r="R114" s="168">
        <f t="shared" si="31"/>
        <v>-1</v>
      </c>
      <c r="S114" s="168">
        <f t="shared" si="31"/>
        <v>0</v>
      </c>
      <c r="T114" s="119"/>
      <c r="U114" s="119"/>
    </row>
    <row r="115" spans="3:23" x14ac:dyDescent="0.25">
      <c r="F115" t="s">
        <v>796</v>
      </c>
      <c r="G115" s="118" t="s">
        <v>174</v>
      </c>
      <c r="J115" s="168">
        <f t="shared" ref="J115:S115" si="32">IF(J$38 = "", J95, J95 * J$38)</f>
        <v>-1</v>
      </c>
      <c r="K115" s="168">
        <f t="shared" si="32"/>
        <v>-1</v>
      </c>
      <c r="L115" s="168">
        <f t="shared" si="32"/>
        <v>-1</v>
      </c>
      <c r="M115" s="168">
        <f t="shared" si="32"/>
        <v>-1</v>
      </c>
      <c r="N115" s="168">
        <f t="shared" si="32"/>
        <v>-1</v>
      </c>
      <c r="O115" s="168">
        <f t="shared" si="32"/>
        <v>-1</v>
      </c>
      <c r="P115" s="168">
        <f t="shared" si="32"/>
        <v>0</v>
      </c>
      <c r="Q115" s="168">
        <f t="shared" si="32"/>
        <v>-1</v>
      </c>
      <c r="R115" s="168">
        <f t="shared" si="32"/>
        <v>-1</v>
      </c>
      <c r="S115" s="168">
        <f t="shared" si="32"/>
        <v>0</v>
      </c>
      <c r="T115" s="119"/>
      <c r="U115" s="119"/>
    </row>
    <row r="116" spans="3:23" x14ac:dyDescent="0.25">
      <c r="F116" t="s">
        <v>788</v>
      </c>
      <c r="G116" s="118" t="s">
        <v>174</v>
      </c>
      <c r="J116" s="168">
        <f t="shared" ref="J116:S116" si="33">IF(J$38 = "", J96, J96 * J$38)</f>
        <v>-1</v>
      </c>
      <c r="K116" s="168">
        <f t="shared" si="33"/>
        <v>-1</v>
      </c>
      <c r="L116" s="168">
        <f t="shared" si="33"/>
        <v>-1</v>
      </c>
      <c r="M116" s="168">
        <f t="shared" si="33"/>
        <v>-1</v>
      </c>
      <c r="N116" s="168">
        <f t="shared" si="33"/>
        <v>-1</v>
      </c>
      <c r="O116" s="168">
        <f t="shared" si="33"/>
        <v>-1</v>
      </c>
      <c r="P116" s="168">
        <f t="shared" si="33"/>
        <v>0</v>
      </c>
      <c r="Q116" s="168">
        <f t="shared" si="33"/>
        <v>-1</v>
      </c>
      <c r="R116" s="168">
        <f t="shared" si="33"/>
        <v>0</v>
      </c>
      <c r="S116" s="168">
        <f t="shared" si="33"/>
        <v>0</v>
      </c>
      <c r="T116" s="119"/>
      <c r="U116" s="119"/>
    </row>
    <row r="117" spans="3:23" x14ac:dyDescent="0.25">
      <c r="F117" t="s">
        <v>795</v>
      </c>
      <c r="G117" s="118" t="s">
        <v>174</v>
      </c>
      <c r="J117" s="168">
        <f t="shared" ref="J117:S117" si="34">IF(J$38 = "", J97, J97 * J$38)</f>
        <v>-1</v>
      </c>
      <c r="K117" s="168">
        <f t="shared" si="34"/>
        <v>-1</v>
      </c>
      <c r="L117" s="168">
        <f t="shared" si="34"/>
        <v>-1</v>
      </c>
      <c r="M117" s="168">
        <f t="shared" si="34"/>
        <v>-1</v>
      </c>
      <c r="N117" s="168">
        <f t="shared" si="34"/>
        <v>-1</v>
      </c>
      <c r="O117" s="168">
        <f t="shared" si="34"/>
        <v>-1</v>
      </c>
      <c r="P117" s="168">
        <f t="shared" si="34"/>
        <v>0</v>
      </c>
      <c r="Q117" s="168">
        <f t="shared" si="34"/>
        <v>-1</v>
      </c>
      <c r="R117" s="168">
        <f t="shared" si="34"/>
        <v>0</v>
      </c>
      <c r="S117" s="168">
        <f t="shared" si="34"/>
        <v>0</v>
      </c>
      <c r="T117" s="119"/>
      <c r="U117" s="119"/>
    </row>
    <row r="118" spans="3:23" x14ac:dyDescent="0.25">
      <c r="F118" t="s">
        <v>789</v>
      </c>
      <c r="G118" s="118" t="s">
        <v>174</v>
      </c>
      <c r="J118" s="168">
        <f t="shared" ref="J118:S118" si="35">IF(J$38 = "", J98, J98 * J$38)</f>
        <v>-1</v>
      </c>
      <c r="K118" s="168">
        <f t="shared" si="35"/>
        <v>-1</v>
      </c>
      <c r="L118" s="168">
        <f t="shared" si="35"/>
        <v>-1</v>
      </c>
      <c r="M118" s="168">
        <f t="shared" si="35"/>
        <v>-1</v>
      </c>
      <c r="N118" s="168">
        <f t="shared" si="35"/>
        <v>-1</v>
      </c>
      <c r="O118" s="168">
        <f t="shared" si="35"/>
        <v>-1</v>
      </c>
      <c r="P118" s="168">
        <f t="shared" si="35"/>
        <v>0</v>
      </c>
      <c r="Q118" s="168">
        <f t="shared" si="35"/>
        <v>0</v>
      </c>
      <c r="R118" s="168">
        <f t="shared" si="35"/>
        <v>0</v>
      </c>
      <c r="S118" s="168">
        <f t="shared" si="35"/>
        <v>0</v>
      </c>
      <c r="T118" s="119"/>
      <c r="U118" s="119"/>
    </row>
    <row r="119" spans="3:23" x14ac:dyDescent="0.25">
      <c r="F119" s="96" t="s">
        <v>794</v>
      </c>
      <c r="G119" s="120" t="s">
        <v>174</v>
      </c>
      <c r="H119" s="96"/>
      <c r="I119" s="96"/>
      <c r="J119" s="172">
        <f t="shared" ref="J119:S119" si="36">IF(J$38 = "", J99, J99 * J$38)</f>
        <v>-1</v>
      </c>
      <c r="K119" s="172">
        <f t="shared" si="36"/>
        <v>-1</v>
      </c>
      <c r="L119" s="172">
        <f t="shared" si="36"/>
        <v>-1</v>
      </c>
      <c r="M119" s="172">
        <f t="shared" si="36"/>
        <v>-1</v>
      </c>
      <c r="N119" s="172">
        <f t="shared" si="36"/>
        <v>-1</v>
      </c>
      <c r="O119" s="172">
        <f t="shared" si="36"/>
        <v>-1</v>
      </c>
      <c r="P119" s="172">
        <f t="shared" si="36"/>
        <v>0</v>
      </c>
      <c r="Q119" s="172">
        <f t="shared" si="36"/>
        <v>0</v>
      </c>
      <c r="R119" s="172">
        <f t="shared" si="36"/>
        <v>0</v>
      </c>
      <c r="S119" s="172">
        <f t="shared" si="36"/>
        <v>0</v>
      </c>
      <c r="T119" s="121"/>
      <c r="U119" s="121"/>
    </row>
    <row r="120" spans="3:23" x14ac:dyDescent="0.25">
      <c r="G120" s="61"/>
      <c r="J120" s="106"/>
      <c r="K120" s="106"/>
      <c r="L120" s="106"/>
      <c r="M120" s="106"/>
      <c r="N120" s="106"/>
      <c r="O120" s="106"/>
      <c r="P120" s="106"/>
      <c r="Q120" s="106"/>
      <c r="R120" s="106"/>
      <c r="S120" s="106"/>
      <c r="T120" s="106"/>
      <c r="U120" s="106"/>
    </row>
    <row r="121" spans="3:23" x14ac:dyDescent="0.2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25">
      <c r="H122" s="3"/>
      <c r="I122" s="3"/>
      <c r="J122" s="173"/>
      <c r="K122" s="173"/>
      <c r="L122" s="173"/>
      <c r="M122" s="173"/>
      <c r="N122" s="173"/>
      <c r="O122" s="173"/>
      <c r="P122" s="173"/>
      <c r="Q122" s="173"/>
      <c r="R122" s="173"/>
      <c r="S122" s="173"/>
      <c r="T122" s="173"/>
      <c r="U122" s="173"/>
      <c r="W122" s="3"/>
    </row>
    <row r="123" spans="3:23" x14ac:dyDescent="0.25">
      <c r="E123" s="75" t="s">
        <v>360</v>
      </c>
      <c r="G123" s="61"/>
      <c r="J123" s="106"/>
      <c r="K123" s="106"/>
      <c r="L123" s="106"/>
      <c r="M123" s="106"/>
      <c r="N123" s="106"/>
      <c r="O123" s="106"/>
      <c r="P123" s="106"/>
      <c r="Q123" s="106"/>
      <c r="R123" s="106"/>
      <c r="S123" s="106"/>
      <c r="T123" s="106"/>
      <c r="U123" s="106"/>
      <c r="W123" s="3"/>
    </row>
    <row r="124" spans="3:23" x14ac:dyDescent="0.25">
      <c r="E124" s="86" t="s">
        <v>361</v>
      </c>
      <c r="G124" s="61"/>
      <c r="J124" s="106"/>
      <c r="K124" s="106"/>
      <c r="L124" s="106"/>
      <c r="M124" s="106"/>
      <c r="N124" s="106"/>
      <c r="O124" s="106"/>
      <c r="P124" s="106"/>
      <c r="Q124" s="106"/>
      <c r="R124" s="106"/>
      <c r="S124" s="106"/>
      <c r="T124" s="106"/>
      <c r="U124" s="106"/>
    </row>
    <row r="125" spans="3:23" x14ac:dyDescent="0.25">
      <c r="E125" s="86" t="s">
        <v>362</v>
      </c>
      <c r="G125" s="61"/>
      <c r="H125" s="174" t="s">
        <v>363</v>
      </c>
      <c r="J125" s="106"/>
      <c r="K125" s="106"/>
      <c r="L125" s="106"/>
      <c r="M125" s="106"/>
      <c r="N125" s="106"/>
      <c r="O125" s="106"/>
      <c r="P125" s="106"/>
      <c r="Q125" s="106"/>
      <c r="R125" s="106"/>
      <c r="S125" s="106"/>
      <c r="T125" s="106"/>
      <c r="U125" s="106"/>
    </row>
    <row r="126" spans="3:23" x14ac:dyDescent="0.25">
      <c r="F126" s="95" t="s">
        <v>1112</v>
      </c>
      <c r="G126" s="116" t="s">
        <v>281</v>
      </c>
      <c r="H126" s="147">
        <f t="shared" ref="H126:H141" si="37">MAX(J126:S126)</f>
        <v>1.1020000000000001</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1.1020000000000001</v>
      </c>
      <c r="T126" s="117"/>
      <c r="U126" s="117"/>
      <c r="W126" s="3"/>
    </row>
    <row r="127" spans="3:23" x14ac:dyDescent="0.25">
      <c r="F127" t="s">
        <v>783</v>
      </c>
      <c r="G127" s="118" t="s">
        <v>281</v>
      </c>
      <c r="H127" s="168">
        <f t="shared" si="37"/>
        <v>1.1020000000000001</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1.1020000000000001</v>
      </c>
      <c r="T127" s="119"/>
      <c r="U127" s="119"/>
      <c r="W127" s="3"/>
    </row>
    <row r="128" spans="3:23" x14ac:dyDescent="0.25">
      <c r="F128" t="s">
        <v>1113</v>
      </c>
      <c r="G128" s="118" t="s">
        <v>281</v>
      </c>
      <c r="H128" s="168">
        <f t="shared" si="37"/>
        <v>1.1020000000000001</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1.1020000000000001</v>
      </c>
      <c r="T128" s="119"/>
      <c r="U128" s="119"/>
      <c r="W128" s="3"/>
    </row>
    <row r="129" spans="5:23" x14ac:dyDescent="0.25">
      <c r="F129" t="s">
        <v>784</v>
      </c>
      <c r="G129" s="118" t="s">
        <v>281</v>
      </c>
      <c r="H129" s="168">
        <f t="shared" si="37"/>
        <v>1.1020000000000001</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1.1020000000000001</v>
      </c>
      <c r="T129" s="119"/>
      <c r="U129" s="119"/>
    </row>
    <row r="130" spans="5:23" x14ac:dyDescent="0.25">
      <c r="F130" t="s">
        <v>790</v>
      </c>
      <c r="G130" s="118" t="s">
        <v>281</v>
      </c>
      <c r="H130" s="168">
        <f t="shared" si="37"/>
        <v>1.1020000000000001</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1.1020000000000001</v>
      </c>
      <c r="T130" s="119"/>
      <c r="U130" s="119"/>
    </row>
    <row r="131" spans="5:23" x14ac:dyDescent="0.25">
      <c r="F131" t="s">
        <v>791</v>
      </c>
      <c r="G131" s="118" t="s">
        <v>281</v>
      </c>
      <c r="H131" s="168">
        <f t="shared" si="37"/>
        <v>1.04</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1.04</v>
      </c>
      <c r="S131" s="168">
        <f>OR(SUM(S70:$S70) = 1, SUM(S70:$S70) = -1) * S$29</f>
        <v>0</v>
      </c>
      <c r="T131" s="119"/>
      <c r="U131" s="119"/>
    </row>
    <row r="132" spans="5:23" x14ac:dyDescent="0.25">
      <c r="F132" t="s">
        <v>792</v>
      </c>
      <c r="G132" s="118" t="s">
        <v>281</v>
      </c>
      <c r="H132" s="168">
        <f t="shared" si="37"/>
        <v>1.024</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1.0149999999999999</v>
      </c>
      <c r="Q132" s="168">
        <f>OR(SUM(Q71:$S71) = 1, SUM(Q71:$S71) = -1) * Q$29</f>
        <v>1.024</v>
      </c>
      <c r="R132" s="168">
        <f>OR(SUM(R71:$S71) = 1, SUM(R71:$S71) = -1) * R$29</f>
        <v>0</v>
      </c>
      <c r="S132" s="168">
        <f>OR(SUM(S71:$S71) = 1, SUM(S71:$S71) = -1) * S$29</f>
        <v>0</v>
      </c>
      <c r="T132" s="119"/>
      <c r="U132" s="119"/>
    </row>
    <row r="133" spans="5:23" x14ac:dyDescent="0.25">
      <c r="F133" t="s">
        <v>793</v>
      </c>
      <c r="G133" s="118" t="s">
        <v>281</v>
      </c>
      <c r="H133" s="168">
        <f t="shared" si="37"/>
        <v>1.1020000000000001</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1.1020000000000001</v>
      </c>
      <c r="T133" s="119"/>
      <c r="U133" s="119"/>
    </row>
    <row r="134" spans="5:23" x14ac:dyDescent="0.25">
      <c r="F134" t="s">
        <v>785</v>
      </c>
      <c r="G134" s="118" t="s">
        <v>281</v>
      </c>
      <c r="H134" s="168">
        <f t="shared" si="37"/>
        <v>1.1020000000000001</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1.1020000000000001</v>
      </c>
      <c r="T134" s="119"/>
      <c r="U134" s="119"/>
    </row>
    <row r="135" spans="5:23" x14ac:dyDescent="0.25">
      <c r="F135" t="s">
        <v>786</v>
      </c>
      <c r="G135" s="118" t="s">
        <v>281</v>
      </c>
      <c r="H135" s="168">
        <f t="shared" si="37"/>
        <v>1.04</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1.04</v>
      </c>
      <c r="S135" s="168">
        <f>OR(SUM(S74:$S74) = 1, SUM(S74:$S74) = -1) * S$29</f>
        <v>0</v>
      </c>
      <c r="T135" s="119"/>
      <c r="U135" s="119"/>
    </row>
    <row r="136" spans="5:23" x14ac:dyDescent="0.25">
      <c r="F136" t="s">
        <v>787</v>
      </c>
      <c r="G136" s="118" t="s">
        <v>281</v>
      </c>
      <c r="H136" s="168">
        <f t="shared" si="37"/>
        <v>1.1020000000000001</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1.1020000000000001</v>
      </c>
      <c r="T136" s="119"/>
      <c r="U136" s="119"/>
    </row>
    <row r="137" spans="5:23" x14ac:dyDescent="0.25">
      <c r="F137" t="s">
        <v>796</v>
      </c>
      <c r="G137" s="118" t="s">
        <v>281</v>
      </c>
      <c r="H137" s="168">
        <f t="shared" si="37"/>
        <v>1.1020000000000001</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1.1020000000000001</v>
      </c>
      <c r="T137" s="119"/>
      <c r="U137" s="119"/>
    </row>
    <row r="138" spans="5:23" x14ac:dyDescent="0.25">
      <c r="F138" t="s">
        <v>788</v>
      </c>
      <c r="G138" s="118" t="s">
        <v>281</v>
      </c>
      <c r="H138" s="168">
        <f t="shared" si="37"/>
        <v>1.04</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1.04</v>
      </c>
      <c r="S138" s="168">
        <f>OR(SUM(S77:$S77) = 1, SUM(S77:$S77) = -1) * S$29</f>
        <v>0</v>
      </c>
      <c r="T138" s="119"/>
      <c r="U138" s="119"/>
    </row>
    <row r="139" spans="5:23" x14ac:dyDescent="0.25">
      <c r="F139" t="s">
        <v>795</v>
      </c>
      <c r="G139" s="118" t="s">
        <v>281</v>
      </c>
      <c r="H139" s="168">
        <f t="shared" si="37"/>
        <v>1.04</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1.04</v>
      </c>
      <c r="S139" s="168">
        <f>OR(SUM(S78:$S78) = 1, SUM(S78:$S78) = -1) * S$29</f>
        <v>0</v>
      </c>
      <c r="T139" s="119"/>
      <c r="U139" s="119"/>
    </row>
    <row r="140" spans="5:23" x14ac:dyDescent="0.25">
      <c r="F140" t="s">
        <v>789</v>
      </c>
      <c r="G140" s="118" t="s">
        <v>281</v>
      </c>
      <c r="H140" s="168">
        <f t="shared" si="37"/>
        <v>1.024</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1.0149999999999999</v>
      </c>
      <c r="Q140" s="168">
        <f>OR(SUM(Q79:$S79) = 1, SUM(Q79:$S79) = -1) * Q$29</f>
        <v>1.024</v>
      </c>
      <c r="R140" s="168">
        <f>OR(SUM(R79:$S79) = 1, SUM(R79:$S79) = -1) * R$29</f>
        <v>0</v>
      </c>
      <c r="S140" s="168">
        <f>OR(SUM(S79:$S79) = 1, SUM(S79:$S79) = -1) * S$29</f>
        <v>0</v>
      </c>
      <c r="T140" s="119"/>
      <c r="U140" s="119"/>
    </row>
    <row r="141" spans="5:23" x14ac:dyDescent="0.25">
      <c r="F141" s="96" t="s">
        <v>794</v>
      </c>
      <c r="G141" s="120" t="s">
        <v>281</v>
      </c>
      <c r="H141" s="172">
        <f t="shared" si="37"/>
        <v>1.024</v>
      </c>
      <c r="I141" s="96"/>
      <c r="J141" s="172">
        <f>OR(SUM(J80:$S80) = 1, SUM(J80:$S80) = -1) * J$29</f>
        <v>0</v>
      </c>
      <c r="K141" s="172">
        <f>OR(SUM(K80:$S80) = 1, SUM(K80:$S80) = -1) * K$29</f>
        <v>0</v>
      </c>
      <c r="L141" s="172">
        <f>OR(SUM(L80:$S80) = 1, SUM(L80:$S80) = -1) * L$29</f>
        <v>0</v>
      </c>
      <c r="M141" s="172">
        <f>OR(SUM(M80:$S80) = 1, SUM(M80:$S80) = -1) * M$29</f>
        <v>0</v>
      </c>
      <c r="N141" s="172">
        <f>OR(SUM(N80:$S80) = 1, SUM(N80:$S80) = -1) * N$29</f>
        <v>0</v>
      </c>
      <c r="O141" s="172">
        <f>OR(SUM(O80:$S80) = 1, SUM(O80:$S80) = -1) * O$29</f>
        <v>0</v>
      </c>
      <c r="P141" s="172">
        <f>OR(SUM(P80:$S80) = 1, SUM(P80:$S80) = -1) * P$29</f>
        <v>1.0149999999999999</v>
      </c>
      <c r="Q141" s="172">
        <f>OR(SUM(Q80:$S80) = 1, SUM(Q80:$S80) = -1) * Q$29</f>
        <v>1.024</v>
      </c>
      <c r="R141" s="172">
        <f>OR(SUM(R80:$S80) = 1, SUM(R80:$S80) = -1) * R$29</f>
        <v>0</v>
      </c>
      <c r="S141" s="172">
        <f>OR(SUM(S80:$S80) = 1, SUM(S80:$S80) = -1) * S$29</f>
        <v>0</v>
      </c>
      <c r="T141" s="121"/>
      <c r="U141" s="121"/>
    </row>
    <row r="142" spans="5:23" x14ac:dyDescent="0.25">
      <c r="G142" s="61"/>
    </row>
    <row r="143" spans="5:23" x14ac:dyDescent="0.25">
      <c r="E143" s="75" t="s">
        <v>364</v>
      </c>
      <c r="G143" s="61"/>
      <c r="I143" t="s">
        <v>152</v>
      </c>
      <c r="W143" s="3" t="s">
        <v>365</v>
      </c>
    </row>
    <row r="144" spans="5:23" x14ac:dyDescent="0.25">
      <c r="E144" s="86" t="s">
        <v>357</v>
      </c>
      <c r="G144" s="61"/>
    </row>
    <row r="145" spans="6:23" x14ac:dyDescent="0.25">
      <c r="F145" s="95" t="s">
        <v>1112</v>
      </c>
      <c r="G145" s="116" t="s">
        <v>281</v>
      </c>
      <c r="H145" s="175"/>
      <c r="I145" s="95"/>
      <c r="J145" s="149">
        <f t="shared" ref="J145:S145" si="38">$H126 * J104</f>
        <v>1.1020000000000001</v>
      </c>
      <c r="K145" s="149">
        <f t="shared" si="38"/>
        <v>1.1020000000000001</v>
      </c>
      <c r="L145" s="149">
        <f t="shared" si="38"/>
        <v>1.1020000000000001</v>
      </c>
      <c r="M145" s="149">
        <f t="shared" si="38"/>
        <v>1.1020000000000001</v>
      </c>
      <c r="N145" s="149">
        <f t="shared" si="38"/>
        <v>1.1020000000000001</v>
      </c>
      <c r="O145" s="149">
        <f t="shared" si="38"/>
        <v>1.1020000000000001</v>
      </c>
      <c r="P145" s="149">
        <f t="shared" si="38"/>
        <v>0</v>
      </c>
      <c r="Q145" s="149">
        <f t="shared" si="38"/>
        <v>1.1020000000000001</v>
      </c>
      <c r="R145" s="149">
        <f t="shared" si="38"/>
        <v>1.1020000000000001</v>
      </c>
      <c r="S145" s="149">
        <f t="shared" si="38"/>
        <v>1.1020000000000001</v>
      </c>
      <c r="T145" s="117"/>
      <c r="U145" s="117"/>
    </row>
    <row r="146" spans="6:23" x14ac:dyDescent="0.25">
      <c r="F146" t="s">
        <v>783</v>
      </c>
      <c r="G146" s="118" t="s">
        <v>281</v>
      </c>
      <c r="H146" s="97"/>
      <c r="J146" s="151">
        <f t="shared" ref="J146:S146" si="39">$H127 * J105</f>
        <v>1.1020000000000001</v>
      </c>
      <c r="K146" s="151">
        <f t="shared" si="39"/>
        <v>1.1020000000000001</v>
      </c>
      <c r="L146" s="151">
        <f t="shared" si="39"/>
        <v>1.1020000000000001</v>
      </c>
      <c r="M146" s="151">
        <f t="shared" si="39"/>
        <v>1.1020000000000001</v>
      </c>
      <c r="N146" s="151">
        <f t="shared" si="39"/>
        <v>1.1020000000000001</v>
      </c>
      <c r="O146" s="151">
        <f t="shared" si="39"/>
        <v>1.1020000000000001</v>
      </c>
      <c r="P146" s="151">
        <f t="shared" si="39"/>
        <v>0</v>
      </c>
      <c r="Q146" s="151">
        <f t="shared" si="39"/>
        <v>1.1020000000000001</v>
      </c>
      <c r="R146" s="151">
        <f t="shared" si="39"/>
        <v>1.1020000000000001</v>
      </c>
      <c r="S146" s="151">
        <f t="shared" si="39"/>
        <v>1.1020000000000001</v>
      </c>
      <c r="T146" s="119"/>
      <c r="U146" s="119"/>
      <c r="W146" s="3"/>
    </row>
    <row r="147" spans="6:23" x14ac:dyDescent="0.25">
      <c r="F147" t="s">
        <v>1113</v>
      </c>
      <c r="G147" s="118" t="s">
        <v>281</v>
      </c>
      <c r="H147" s="97"/>
      <c r="J147" s="151">
        <f t="shared" ref="J147:S147" si="40">$H128 * J106</f>
        <v>1.1020000000000001</v>
      </c>
      <c r="K147" s="151">
        <f t="shared" si="40"/>
        <v>1.1020000000000001</v>
      </c>
      <c r="L147" s="151">
        <f t="shared" si="40"/>
        <v>1.1020000000000001</v>
      </c>
      <c r="M147" s="151">
        <f t="shared" si="40"/>
        <v>1.1020000000000001</v>
      </c>
      <c r="N147" s="151">
        <f t="shared" si="40"/>
        <v>1.1020000000000001</v>
      </c>
      <c r="O147" s="151">
        <f t="shared" si="40"/>
        <v>1.1020000000000001</v>
      </c>
      <c r="P147" s="151">
        <f t="shared" si="40"/>
        <v>0</v>
      </c>
      <c r="Q147" s="151">
        <f t="shared" si="40"/>
        <v>1.1020000000000001</v>
      </c>
      <c r="R147" s="151">
        <f t="shared" si="40"/>
        <v>1.1020000000000001</v>
      </c>
      <c r="S147" s="151">
        <f t="shared" si="40"/>
        <v>1.1020000000000001</v>
      </c>
      <c r="T147" s="119"/>
      <c r="U147" s="119"/>
      <c r="W147" s="3"/>
    </row>
    <row r="148" spans="6:23" x14ac:dyDescent="0.25">
      <c r="F148" t="s">
        <v>784</v>
      </c>
      <c r="G148" s="118" t="s">
        <v>281</v>
      </c>
      <c r="H148" s="97"/>
      <c r="J148" s="151">
        <f t="shared" ref="J148:S148" si="41">$H129 * J107</f>
        <v>1.1020000000000001</v>
      </c>
      <c r="K148" s="151">
        <f t="shared" si="41"/>
        <v>1.1020000000000001</v>
      </c>
      <c r="L148" s="151">
        <f t="shared" si="41"/>
        <v>1.1020000000000001</v>
      </c>
      <c r="M148" s="151">
        <f t="shared" si="41"/>
        <v>1.1020000000000001</v>
      </c>
      <c r="N148" s="151">
        <f t="shared" si="41"/>
        <v>1.1020000000000001</v>
      </c>
      <c r="O148" s="151">
        <f t="shared" si="41"/>
        <v>1.1020000000000001</v>
      </c>
      <c r="P148" s="151">
        <f t="shared" si="41"/>
        <v>0</v>
      </c>
      <c r="Q148" s="151">
        <f t="shared" si="41"/>
        <v>1.1020000000000001</v>
      </c>
      <c r="R148" s="151">
        <f t="shared" si="41"/>
        <v>1.1020000000000001</v>
      </c>
      <c r="S148" s="151">
        <f t="shared" si="41"/>
        <v>1.1020000000000001</v>
      </c>
      <c r="T148" s="119"/>
      <c r="U148" s="119"/>
    </row>
    <row r="149" spans="6:23" x14ac:dyDescent="0.25">
      <c r="F149" t="s">
        <v>790</v>
      </c>
      <c r="G149" s="118" t="s">
        <v>281</v>
      </c>
      <c r="H149" s="97"/>
      <c r="J149" s="151">
        <f t="shared" ref="J149:S149" si="42">$H130 * J108</f>
        <v>1.1020000000000001</v>
      </c>
      <c r="K149" s="151">
        <f t="shared" si="42"/>
        <v>1.1020000000000001</v>
      </c>
      <c r="L149" s="151">
        <f t="shared" si="42"/>
        <v>1.1020000000000001</v>
      </c>
      <c r="M149" s="151">
        <f t="shared" si="42"/>
        <v>1.1020000000000001</v>
      </c>
      <c r="N149" s="151">
        <f t="shared" si="42"/>
        <v>1.1020000000000001</v>
      </c>
      <c r="O149" s="151">
        <f t="shared" si="42"/>
        <v>1.1020000000000001</v>
      </c>
      <c r="P149" s="151">
        <f t="shared" si="42"/>
        <v>0</v>
      </c>
      <c r="Q149" s="151">
        <f t="shared" si="42"/>
        <v>1.1020000000000001</v>
      </c>
      <c r="R149" s="151">
        <f t="shared" si="42"/>
        <v>1.1020000000000001</v>
      </c>
      <c r="S149" s="151">
        <f t="shared" si="42"/>
        <v>1.1020000000000001</v>
      </c>
      <c r="T149" s="119"/>
      <c r="U149" s="119"/>
    </row>
    <row r="150" spans="6:23" x14ac:dyDescent="0.25">
      <c r="F150" t="s">
        <v>791</v>
      </c>
      <c r="G150" s="118" t="s">
        <v>281</v>
      </c>
      <c r="H150" s="97"/>
      <c r="J150" s="151">
        <f t="shared" ref="J150:S150" si="43">$H131 * J109</f>
        <v>1.04</v>
      </c>
      <c r="K150" s="151">
        <f t="shared" si="43"/>
        <v>1.04</v>
      </c>
      <c r="L150" s="151">
        <f t="shared" si="43"/>
        <v>1.04</v>
      </c>
      <c r="M150" s="151">
        <f t="shared" si="43"/>
        <v>1.04</v>
      </c>
      <c r="N150" s="151">
        <f t="shared" si="43"/>
        <v>1.04</v>
      </c>
      <c r="O150" s="151">
        <f t="shared" si="43"/>
        <v>1.04</v>
      </c>
      <c r="P150" s="151">
        <f t="shared" si="43"/>
        <v>0</v>
      </c>
      <c r="Q150" s="151">
        <f t="shared" si="43"/>
        <v>1.04</v>
      </c>
      <c r="R150" s="151">
        <f t="shared" si="43"/>
        <v>1.04</v>
      </c>
      <c r="S150" s="151">
        <f t="shared" si="43"/>
        <v>0</v>
      </c>
      <c r="T150" s="119"/>
      <c r="U150" s="119"/>
    </row>
    <row r="151" spans="6:23" x14ac:dyDescent="0.25">
      <c r="F151" t="s">
        <v>792</v>
      </c>
      <c r="G151" s="118" t="s">
        <v>281</v>
      </c>
      <c r="H151" s="97"/>
      <c r="J151" s="151">
        <f t="shared" ref="J151:S151" si="44">$H132 * J110</f>
        <v>1.024</v>
      </c>
      <c r="K151" s="151">
        <f t="shared" si="44"/>
        <v>1.024</v>
      </c>
      <c r="L151" s="151">
        <f t="shared" si="44"/>
        <v>1.024</v>
      </c>
      <c r="M151" s="151">
        <f t="shared" si="44"/>
        <v>1.024</v>
      </c>
      <c r="N151" s="151">
        <f t="shared" si="44"/>
        <v>1.024</v>
      </c>
      <c r="O151" s="151">
        <f t="shared" si="44"/>
        <v>1.024</v>
      </c>
      <c r="P151" s="151">
        <f t="shared" si="44"/>
        <v>0</v>
      </c>
      <c r="Q151" s="151">
        <f t="shared" si="44"/>
        <v>1.024</v>
      </c>
      <c r="R151" s="151">
        <f t="shared" si="44"/>
        <v>0</v>
      </c>
      <c r="S151" s="151">
        <f t="shared" si="44"/>
        <v>0</v>
      </c>
      <c r="T151" s="119"/>
      <c r="U151" s="119"/>
    </row>
    <row r="152" spans="6:23" x14ac:dyDescent="0.25">
      <c r="F152" t="s">
        <v>793</v>
      </c>
      <c r="G152" s="118" t="s">
        <v>281</v>
      </c>
      <c r="H152" s="97"/>
      <c r="J152" s="151">
        <f t="shared" ref="J152:S152" si="45">$H133 * J111</f>
        <v>1.1020000000000001</v>
      </c>
      <c r="K152" s="151">
        <f t="shared" si="45"/>
        <v>1.1020000000000001</v>
      </c>
      <c r="L152" s="151">
        <f t="shared" si="45"/>
        <v>1.1020000000000001</v>
      </c>
      <c r="M152" s="151">
        <f t="shared" si="45"/>
        <v>1.1020000000000001</v>
      </c>
      <c r="N152" s="151">
        <f t="shared" si="45"/>
        <v>1.1020000000000001</v>
      </c>
      <c r="O152" s="151">
        <f t="shared" si="45"/>
        <v>1.1020000000000001</v>
      </c>
      <c r="P152" s="151">
        <f t="shared" si="45"/>
        <v>0</v>
      </c>
      <c r="Q152" s="151">
        <f t="shared" si="45"/>
        <v>1.1020000000000001</v>
      </c>
      <c r="R152" s="151">
        <f t="shared" si="45"/>
        <v>1.1020000000000001</v>
      </c>
      <c r="S152" s="151">
        <f t="shared" si="45"/>
        <v>1.1020000000000001</v>
      </c>
      <c r="T152" s="119"/>
      <c r="U152" s="119"/>
    </row>
    <row r="153" spans="6:23" x14ac:dyDescent="0.25">
      <c r="F153" t="s">
        <v>785</v>
      </c>
      <c r="G153" s="118" t="s">
        <v>281</v>
      </c>
      <c r="H153" s="97"/>
      <c r="J153" s="151">
        <f t="shared" ref="J153:S153" si="46">$H134 * J112</f>
        <v>-1.1020000000000001</v>
      </c>
      <c r="K153" s="151">
        <f t="shared" si="46"/>
        <v>-1.1020000000000001</v>
      </c>
      <c r="L153" s="151">
        <f t="shared" si="46"/>
        <v>-1.1020000000000001</v>
      </c>
      <c r="M153" s="151">
        <f t="shared" si="46"/>
        <v>-1.1020000000000001</v>
      </c>
      <c r="N153" s="151">
        <f t="shared" si="46"/>
        <v>-1.1020000000000001</v>
      </c>
      <c r="O153" s="151">
        <f t="shared" si="46"/>
        <v>-1.1020000000000001</v>
      </c>
      <c r="P153" s="151">
        <f t="shared" si="46"/>
        <v>0</v>
      </c>
      <c r="Q153" s="151">
        <f t="shared" si="46"/>
        <v>-1.1020000000000001</v>
      </c>
      <c r="R153" s="151">
        <f t="shared" si="46"/>
        <v>-1.1020000000000001</v>
      </c>
      <c r="S153" s="151">
        <f t="shared" si="46"/>
        <v>0</v>
      </c>
      <c r="T153" s="119"/>
      <c r="U153" s="119"/>
    </row>
    <row r="154" spans="6:23" x14ac:dyDescent="0.25">
      <c r="F154" t="s">
        <v>786</v>
      </c>
      <c r="G154" s="118" t="s">
        <v>281</v>
      </c>
      <c r="H154" s="97"/>
      <c r="J154" s="151">
        <f t="shared" ref="J154:S154" si="47">$H135 * J113</f>
        <v>-1.04</v>
      </c>
      <c r="K154" s="151">
        <f t="shared" si="47"/>
        <v>-1.04</v>
      </c>
      <c r="L154" s="151">
        <f t="shared" si="47"/>
        <v>-1.04</v>
      </c>
      <c r="M154" s="151">
        <f t="shared" si="47"/>
        <v>-1.04</v>
      </c>
      <c r="N154" s="151">
        <f t="shared" si="47"/>
        <v>-1.04</v>
      </c>
      <c r="O154" s="151">
        <f t="shared" si="47"/>
        <v>-1.04</v>
      </c>
      <c r="P154" s="151">
        <f t="shared" si="47"/>
        <v>0</v>
      </c>
      <c r="Q154" s="151">
        <f t="shared" si="47"/>
        <v>-1.04</v>
      </c>
      <c r="R154" s="151">
        <f t="shared" si="47"/>
        <v>0</v>
      </c>
      <c r="S154" s="151">
        <f t="shared" si="47"/>
        <v>0</v>
      </c>
      <c r="T154" s="119"/>
      <c r="U154" s="119"/>
    </row>
    <row r="155" spans="6:23" x14ac:dyDescent="0.25">
      <c r="F155" t="s">
        <v>787</v>
      </c>
      <c r="G155" s="118" t="s">
        <v>281</v>
      </c>
      <c r="H155" s="97"/>
      <c r="J155" s="151">
        <f t="shared" ref="J155:S155" si="48">$H136 * J114</f>
        <v>-1.1020000000000001</v>
      </c>
      <c r="K155" s="151">
        <f t="shared" si="48"/>
        <v>-1.1020000000000001</v>
      </c>
      <c r="L155" s="151">
        <f t="shared" si="48"/>
        <v>-1.1020000000000001</v>
      </c>
      <c r="M155" s="151">
        <f t="shared" si="48"/>
        <v>-1.1020000000000001</v>
      </c>
      <c r="N155" s="151">
        <f t="shared" si="48"/>
        <v>-1.1020000000000001</v>
      </c>
      <c r="O155" s="151">
        <f t="shared" si="48"/>
        <v>-1.1020000000000001</v>
      </c>
      <c r="P155" s="151">
        <f t="shared" si="48"/>
        <v>0</v>
      </c>
      <c r="Q155" s="151">
        <f t="shared" si="48"/>
        <v>-1.1020000000000001</v>
      </c>
      <c r="R155" s="151">
        <f t="shared" si="48"/>
        <v>-1.1020000000000001</v>
      </c>
      <c r="S155" s="151">
        <f t="shared" si="48"/>
        <v>0</v>
      </c>
      <c r="T155" s="119"/>
      <c r="U155" s="119"/>
    </row>
    <row r="156" spans="6:23" x14ac:dyDescent="0.25">
      <c r="F156" t="s">
        <v>796</v>
      </c>
      <c r="G156" s="118" t="s">
        <v>281</v>
      </c>
      <c r="H156" s="97"/>
      <c r="J156" s="151">
        <f t="shared" ref="J156:S156" si="49">$H137 * J115</f>
        <v>-1.1020000000000001</v>
      </c>
      <c r="K156" s="151">
        <f t="shared" si="49"/>
        <v>-1.1020000000000001</v>
      </c>
      <c r="L156" s="151">
        <f t="shared" si="49"/>
        <v>-1.1020000000000001</v>
      </c>
      <c r="M156" s="151">
        <f t="shared" si="49"/>
        <v>-1.1020000000000001</v>
      </c>
      <c r="N156" s="151">
        <f t="shared" si="49"/>
        <v>-1.1020000000000001</v>
      </c>
      <c r="O156" s="151">
        <f t="shared" si="49"/>
        <v>-1.1020000000000001</v>
      </c>
      <c r="P156" s="151">
        <f t="shared" si="49"/>
        <v>0</v>
      </c>
      <c r="Q156" s="151">
        <f t="shared" si="49"/>
        <v>-1.1020000000000001</v>
      </c>
      <c r="R156" s="151">
        <f t="shared" si="49"/>
        <v>-1.1020000000000001</v>
      </c>
      <c r="S156" s="151">
        <f t="shared" si="49"/>
        <v>0</v>
      </c>
      <c r="T156" s="119"/>
      <c r="U156" s="119"/>
    </row>
    <row r="157" spans="6:23" x14ac:dyDescent="0.25">
      <c r="F157" t="s">
        <v>788</v>
      </c>
      <c r="G157" s="118" t="s">
        <v>281</v>
      </c>
      <c r="H157" s="97"/>
      <c r="J157" s="151">
        <f t="shared" ref="J157:S157" si="50">$H138 * J116</f>
        <v>-1.04</v>
      </c>
      <c r="K157" s="151">
        <f t="shared" si="50"/>
        <v>-1.04</v>
      </c>
      <c r="L157" s="151">
        <f t="shared" si="50"/>
        <v>-1.04</v>
      </c>
      <c r="M157" s="151">
        <f t="shared" si="50"/>
        <v>-1.04</v>
      </c>
      <c r="N157" s="151">
        <f t="shared" si="50"/>
        <v>-1.04</v>
      </c>
      <c r="O157" s="151">
        <f t="shared" si="50"/>
        <v>-1.04</v>
      </c>
      <c r="P157" s="151">
        <f t="shared" si="50"/>
        <v>0</v>
      </c>
      <c r="Q157" s="151">
        <f t="shared" si="50"/>
        <v>-1.04</v>
      </c>
      <c r="R157" s="151">
        <f t="shared" si="50"/>
        <v>0</v>
      </c>
      <c r="S157" s="151">
        <f t="shared" si="50"/>
        <v>0</v>
      </c>
      <c r="T157" s="119"/>
      <c r="U157" s="119"/>
    </row>
    <row r="158" spans="6:23" x14ac:dyDescent="0.25">
      <c r="F158" t="s">
        <v>795</v>
      </c>
      <c r="G158" s="118" t="s">
        <v>281</v>
      </c>
      <c r="H158" s="97"/>
      <c r="J158" s="151">
        <f t="shared" ref="J158:S158" si="51">$H139 * J117</f>
        <v>-1.04</v>
      </c>
      <c r="K158" s="151">
        <f t="shared" si="51"/>
        <v>-1.04</v>
      </c>
      <c r="L158" s="151">
        <f t="shared" si="51"/>
        <v>-1.04</v>
      </c>
      <c r="M158" s="151">
        <f t="shared" si="51"/>
        <v>-1.04</v>
      </c>
      <c r="N158" s="151">
        <f t="shared" si="51"/>
        <v>-1.04</v>
      </c>
      <c r="O158" s="151">
        <f t="shared" si="51"/>
        <v>-1.04</v>
      </c>
      <c r="P158" s="151">
        <f t="shared" si="51"/>
        <v>0</v>
      </c>
      <c r="Q158" s="151">
        <f t="shared" si="51"/>
        <v>-1.04</v>
      </c>
      <c r="R158" s="151">
        <f t="shared" si="51"/>
        <v>0</v>
      </c>
      <c r="S158" s="151">
        <f t="shared" si="51"/>
        <v>0</v>
      </c>
      <c r="T158" s="119"/>
      <c r="U158" s="119"/>
    </row>
    <row r="159" spans="6:23" x14ac:dyDescent="0.25">
      <c r="F159" t="s">
        <v>789</v>
      </c>
      <c r="G159" s="118" t="s">
        <v>281</v>
      </c>
      <c r="H159" s="97"/>
      <c r="J159" s="151">
        <f t="shared" ref="J159:S159" si="52">$H140 * J118</f>
        <v>-1.024</v>
      </c>
      <c r="K159" s="151">
        <f t="shared" si="52"/>
        <v>-1.024</v>
      </c>
      <c r="L159" s="151">
        <f t="shared" si="52"/>
        <v>-1.024</v>
      </c>
      <c r="M159" s="151">
        <f t="shared" si="52"/>
        <v>-1.024</v>
      </c>
      <c r="N159" s="151">
        <f t="shared" si="52"/>
        <v>-1.024</v>
      </c>
      <c r="O159" s="151">
        <f t="shared" si="52"/>
        <v>-1.024</v>
      </c>
      <c r="P159" s="151">
        <f t="shared" si="52"/>
        <v>0</v>
      </c>
      <c r="Q159" s="151">
        <f t="shared" si="52"/>
        <v>0</v>
      </c>
      <c r="R159" s="151">
        <f t="shared" si="52"/>
        <v>0</v>
      </c>
      <c r="S159" s="151">
        <f t="shared" si="52"/>
        <v>0</v>
      </c>
      <c r="T159" s="119"/>
      <c r="U159" s="119"/>
    </row>
    <row r="160" spans="6:23" x14ac:dyDescent="0.25">
      <c r="F160" s="96" t="s">
        <v>794</v>
      </c>
      <c r="G160" s="120" t="s">
        <v>281</v>
      </c>
      <c r="H160" s="176"/>
      <c r="I160" s="96"/>
      <c r="J160" s="150">
        <f t="shared" ref="J160:S160" si="53">$H141 * J119</f>
        <v>-1.024</v>
      </c>
      <c r="K160" s="150">
        <f t="shared" si="53"/>
        <v>-1.024</v>
      </c>
      <c r="L160" s="150">
        <f t="shared" si="53"/>
        <v>-1.024</v>
      </c>
      <c r="M160" s="150">
        <f t="shared" si="53"/>
        <v>-1.024</v>
      </c>
      <c r="N160" s="150">
        <f t="shared" si="53"/>
        <v>-1.024</v>
      </c>
      <c r="O160" s="150">
        <f t="shared" si="53"/>
        <v>-1.024</v>
      </c>
      <c r="P160" s="150">
        <f t="shared" si="53"/>
        <v>0</v>
      </c>
      <c r="Q160" s="150">
        <f t="shared" si="53"/>
        <v>0</v>
      </c>
      <c r="R160" s="150">
        <f t="shared" si="53"/>
        <v>0</v>
      </c>
      <c r="S160" s="150">
        <f t="shared" si="53"/>
        <v>0</v>
      </c>
      <c r="T160" s="121"/>
      <c r="U160" s="121"/>
    </row>
    <row r="161" spans="5:23" x14ac:dyDescent="0.25">
      <c r="G161" s="61"/>
      <c r="J161" s="106"/>
      <c r="K161" s="106"/>
      <c r="L161" s="106"/>
      <c r="M161" s="106"/>
      <c r="N161" s="106"/>
      <c r="O161" s="106"/>
      <c r="P161" s="106"/>
      <c r="Q161" s="106"/>
      <c r="R161" s="106"/>
      <c r="S161" s="106"/>
      <c r="T161" s="106"/>
      <c r="U161" s="106"/>
    </row>
    <row r="162" spans="5:23" x14ac:dyDescent="0.25">
      <c r="E162" s="75" t="s">
        <v>360</v>
      </c>
      <c r="G162" s="61"/>
      <c r="I162" t="s">
        <v>152</v>
      </c>
      <c r="J162" s="106"/>
      <c r="K162" s="106"/>
      <c r="L162" s="106"/>
      <c r="M162" s="106"/>
      <c r="N162" s="106"/>
      <c r="O162" s="106"/>
      <c r="P162" s="106"/>
      <c r="Q162" s="106"/>
      <c r="R162" s="106"/>
      <c r="S162" s="106"/>
      <c r="T162" s="106"/>
      <c r="U162" s="106"/>
      <c r="W162" s="3" t="s">
        <v>365</v>
      </c>
    </row>
    <row r="163" spans="5:23" x14ac:dyDescent="0.25">
      <c r="E163" s="86" t="s">
        <v>357</v>
      </c>
      <c r="G163" s="61"/>
      <c r="J163" s="106"/>
      <c r="K163" s="106"/>
      <c r="L163" s="106"/>
      <c r="M163" s="106"/>
      <c r="N163" s="106"/>
      <c r="O163" s="106"/>
      <c r="P163" s="106"/>
      <c r="Q163" s="106"/>
      <c r="R163" s="106"/>
      <c r="S163" s="106"/>
      <c r="T163" s="106"/>
      <c r="U163" s="106"/>
    </row>
    <row r="164" spans="5:23" x14ac:dyDescent="0.25">
      <c r="F164" s="95" t="s">
        <v>1112</v>
      </c>
      <c r="G164" s="116" t="s">
        <v>281</v>
      </c>
      <c r="H164" s="175"/>
      <c r="I164" s="95"/>
      <c r="J164" s="117"/>
      <c r="K164" s="117"/>
      <c r="L164" s="117"/>
      <c r="M164" s="117"/>
      <c r="N164" s="117"/>
      <c r="O164" s="117"/>
      <c r="P164" s="117"/>
      <c r="Q164" s="117"/>
      <c r="R164" s="117"/>
      <c r="S164" s="117"/>
      <c r="T164" s="117"/>
      <c r="U164" s="117"/>
    </row>
    <row r="165" spans="5:23" x14ac:dyDescent="0.25">
      <c r="F165" t="s">
        <v>783</v>
      </c>
      <c r="G165" s="118" t="s">
        <v>281</v>
      </c>
      <c r="H165" s="97"/>
      <c r="J165" s="119"/>
      <c r="K165" s="119"/>
      <c r="L165" s="119"/>
      <c r="M165" s="119"/>
      <c r="N165" s="119"/>
      <c r="O165" s="119"/>
      <c r="P165" s="119"/>
      <c r="Q165" s="119"/>
      <c r="R165" s="119"/>
      <c r="S165" s="119"/>
      <c r="T165" s="119"/>
      <c r="U165" s="119"/>
      <c r="W165" s="3"/>
    </row>
    <row r="166" spans="5:23" x14ac:dyDescent="0.25">
      <c r="F166" t="s">
        <v>1113</v>
      </c>
      <c r="G166" s="118" t="s">
        <v>281</v>
      </c>
      <c r="H166" s="97"/>
      <c r="J166" s="119"/>
      <c r="K166" s="119"/>
      <c r="L166" s="119"/>
      <c r="M166" s="119"/>
      <c r="N166" s="119"/>
      <c r="O166" s="119"/>
      <c r="P166" s="119"/>
      <c r="Q166" s="119"/>
      <c r="R166" s="119"/>
      <c r="S166" s="119"/>
      <c r="T166" s="119"/>
      <c r="U166" s="119"/>
      <c r="W166" s="3"/>
    </row>
    <row r="167" spans="5:23" x14ac:dyDescent="0.25">
      <c r="F167" t="s">
        <v>784</v>
      </c>
      <c r="G167" s="118" t="s">
        <v>281</v>
      </c>
      <c r="H167" s="97"/>
      <c r="J167" s="119"/>
      <c r="K167" s="119"/>
      <c r="L167" s="119"/>
      <c r="M167" s="119"/>
      <c r="N167" s="119"/>
      <c r="O167" s="119"/>
      <c r="P167" s="119"/>
      <c r="Q167" s="119"/>
      <c r="R167" s="119"/>
      <c r="S167" s="119"/>
      <c r="T167" s="119"/>
      <c r="U167" s="119"/>
    </row>
    <row r="168" spans="5:23" x14ac:dyDescent="0.25">
      <c r="F168" t="s">
        <v>790</v>
      </c>
      <c r="G168" s="118" t="s">
        <v>281</v>
      </c>
      <c r="H168" s="97"/>
      <c r="J168" s="119"/>
      <c r="K168" s="119"/>
      <c r="L168" s="119"/>
      <c r="M168" s="119"/>
      <c r="N168" s="119"/>
      <c r="O168" s="119"/>
      <c r="P168" s="119"/>
      <c r="Q168" s="119"/>
      <c r="R168" s="119"/>
      <c r="S168" s="119"/>
      <c r="T168" s="119"/>
      <c r="U168" s="119"/>
    </row>
    <row r="169" spans="5:23" x14ac:dyDescent="0.25">
      <c r="F169" t="s">
        <v>791</v>
      </c>
      <c r="G169" s="118" t="s">
        <v>281</v>
      </c>
      <c r="H169" s="97"/>
      <c r="J169" s="119"/>
      <c r="K169" s="119"/>
      <c r="L169" s="119"/>
      <c r="M169" s="119"/>
      <c r="N169" s="119"/>
      <c r="O169" s="119"/>
      <c r="P169" s="119"/>
      <c r="Q169" s="119"/>
      <c r="R169" s="119"/>
      <c r="S169" s="119"/>
      <c r="T169" s="119"/>
      <c r="U169" s="119"/>
    </row>
    <row r="170" spans="5:23" x14ac:dyDescent="0.25">
      <c r="F170" t="s">
        <v>792</v>
      </c>
      <c r="G170" s="118" t="s">
        <v>281</v>
      </c>
      <c r="H170" s="97"/>
      <c r="J170" s="119"/>
      <c r="K170" s="119"/>
      <c r="L170" s="119"/>
      <c r="M170" s="119"/>
      <c r="N170" s="119"/>
      <c r="O170" s="119"/>
      <c r="P170" s="119"/>
      <c r="Q170" s="119"/>
      <c r="R170" s="119"/>
      <c r="S170" s="119"/>
      <c r="T170" s="119"/>
      <c r="U170" s="119"/>
    </row>
    <row r="171" spans="5:23" x14ac:dyDescent="0.25">
      <c r="F171" t="s">
        <v>793</v>
      </c>
      <c r="G171" s="118" t="s">
        <v>281</v>
      </c>
      <c r="H171" s="97"/>
      <c r="J171" s="119"/>
      <c r="K171" s="119"/>
      <c r="L171" s="119"/>
      <c r="M171" s="119"/>
      <c r="N171" s="119"/>
      <c r="O171" s="119"/>
      <c r="P171" s="119"/>
      <c r="Q171" s="119"/>
      <c r="R171" s="119"/>
      <c r="S171" s="119"/>
      <c r="T171" s="119"/>
      <c r="U171" s="119"/>
    </row>
    <row r="172" spans="5:23" x14ac:dyDescent="0.25">
      <c r="F172" t="s">
        <v>785</v>
      </c>
      <c r="G172" s="118" t="s">
        <v>281</v>
      </c>
      <c r="H172" s="97"/>
      <c r="J172" s="151">
        <f t="shared" ref="J172:S172" si="54">$H134 * J73</f>
        <v>-1.1020000000000001</v>
      </c>
      <c r="K172" s="151">
        <f t="shared" si="54"/>
        <v>-1.1020000000000001</v>
      </c>
      <c r="L172" s="151">
        <f t="shared" si="54"/>
        <v>-1.1020000000000001</v>
      </c>
      <c r="M172" s="151">
        <f t="shared" si="54"/>
        <v>-1.1020000000000001</v>
      </c>
      <c r="N172" s="151">
        <f t="shared" si="54"/>
        <v>-1.1020000000000001</v>
      </c>
      <c r="O172" s="151">
        <f t="shared" si="54"/>
        <v>-1.1020000000000001</v>
      </c>
      <c r="P172" s="151">
        <f t="shared" si="54"/>
        <v>0</v>
      </c>
      <c r="Q172" s="151">
        <f t="shared" si="54"/>
        <v>-1.1020000000000001</v>
      </c>
      <c r="R172" s="151">
        <f t="shared" si="54"/>
        <v>-1.1020000000000001</v>
      </c>
      <c r="S172" s="151">
        <f t="shared" si="54"/>
        <v>-1.1020000000000001</v>
      </c>
      <c r="T172" s="119"/>
      <c r="U172" s="119"/>
    </row>
    <row r="173" spans="5:23" x14ac:dyDescent="0.25">
      <c r="F173" t="s">
        <v>786</v>
      </c>
      <c r="G173" s="118" t="s">
        <v>281</v>
      </c>
      <c r="H173" s="97"/>
      <c r="J173" s="151">
        <f t="shared" ref="J173:S173" si="55">$H135 * J74</f>
        <v>-1.04</v>
      </c>
      <c r="K173" s="151">
        <f t="shared" si="55"/>
        <v>-1.04</v>
      </c>
      <c r="L173" s="151">
        <f t="shared" si="55"/>
        <v>-1.04</v>
      </c>
      <c r="M173" s="151">
        <f t="shared" si="55"/>
        <v>-1.04</v>
      </c>
      <c r="N173" s="151">
        <f t="shared" si="55"/>
        <v>-1.04</v>
      </c>
      <c r="O173" s="151">
        <f t="shared" si="55"/>
        <v>-1.04</v>
      </c>
      <c r="P173" s="151">
        <f t="shared" si="55"/>
        <v>0</v>
      </c>
      <c r="Q173" s="151">
        <f t="shared" si="55"/>
        <v>-1.04</v>
      </c>
      <c r="R173" s="151">
        <f t="shared" si="55"/>
        <v>-1.04</v>
      </c>
      <c r="S173" s="151">
        <f t="shared" si="55"/>
        <v>0</v>
      </c>
      <c r="T173" s="119"/>
      <c r="U173" s="119"/>
    </row>
    <row r="174" spans="5:23" x14ac:dyDescent="0.25">
      <c r="F174" t="s">
        <v>787</v>
      </c>
      <c r="G174" s="118" t="s">
        <v>281</v>
      </c>
      <c r="H174" s="97"/>
      <c r="J174" s="151">
        <f t="shared" ref="J174:S174" si="56">$H136 * J75</f>
        <v>-1.1020000000000001</v>
      </c>
      <c r="K174" s="151">
        <f t="shared" si="56"/>
        <v>-1.1020000000000001</v>
      </c>
      <c r="L174" s="151">
        <f t="shared" si="56"/>
        <v>-1.1020000000000001</v>
      </c>
      <c r="M174" s="151">
        <f t="shared" si="56"/>
        <v>-1.1020000000000001</v>
      </c>
      <c r="N174" s="151">
        <f t="shared" si="56"/>
        <v>-1.1020000000000001</v>
      </c>
      <c r="O174" s="151">
        <f t="shared" si="56"/>
        <v>-1.1020000000000001</v>
      </c>
      <c r="P174" s="151">
        <f t="shared" si="56"/>
        <v>0</v>
      </c>
      <c r="Q174" s="151">
        <f t="shared" si="56"/>
        <v>-1.1020000000000001</v>
      </c>
      <c r="R174" s="151">
        <f t="shared" si="56"/>
        <v>-1.1020000000000001</v>
      </c>
      <c r="S174" s="151">
        <f t="shared" si="56"/>
        <v>-1.1020000000000001</v>
      </c>
      <c r="T174" s="119"/>
      <c r="U174" s="119"/>
    </row>
    <row r="175" spans="5:23" x14ac:dyDescent="0.25">
      <c r="F175" t="s">
        <v>796</v>
      </c>
      <c r="G175" s="118" t="s">
        <v>281</v>
      </c>
      <c r="H175" s="97"/>
      <c r="J175" s="151">
        <f t="shared" ref="J175:S175" si="57">$H137 * J76</f>
        <v>-1.1020000000000001</v>
      </c>
      <c r="K175" s="151">
        <f t="shared" si="57"/>
        <v>-1.1020000000000001</v>
      </c>
      <c r="L175" s="151">
        <f t="shared" si="57"/>
        <v>-1.1020000000000001</v>
      </c>
      <c r="M175" s="151">
        <f t="shared" si="57"/>
        <v>-1.1020000000000001</v>
      </c>
      <c r="N175" s="151">
        <f t="shared" si="57"/>
        <v>-1.1020000000000001</v>
      </c>
      <c r="O175" s="151">
        <f t="shared" si="57"/>
        <v>-1.1020000000000001</v>
      </c>
      <c r="P175" s="151">
        <f t="shared" si="57"/>
        <v>0</v>
      </c>
      <c r="Q175" s="151">
        <f t="shared" si="57"/>
        <v>-1.1020000000000001</v>
      </c>
      <c r="R175" s="151">
        <f t="shared" si="57"/>
        <v>-1.1020000000000001</v>
      </c>
      <c r="S175" s="151">
        <f t="shared" si="57"/>
        <v>-1.1020000000000001</v>
      </c>
      <c r="T175" s="119"/>
      <c r="U175" s="119"/>
    </row>
    <row r="176" spans="5:23" x14ac:dyDescent="0.25">
      <c r="F176" t="s">
        <v>788</v>
      </c>
      <c r="G176" s="118" t="s">
        <v>281</v>
      </c>
      <c r="H176" s="97"/>
      <c r="J176" s="151">
        <f t="shared" ref="J176:S176" si="58">$H138 * J77</f>
        <v>-1.04</v>
      </c>
      <c r="K176" s="151">
        <f t="shared" si="58"/>
        <v>-1.04</v>
      </c>
      <c r="L176" s="151">
        <f t="shared" si="58"/>
        <v>-1.04</v>
      </c>
      <c r="M176" s="151">
        <f t="shared" si="58"/>
        <v>-1.04</v>
      </c>
      <c r="N176" s="151">
        <f t="shared" si="58"/>
        <v>-1.04</v>
      </c>
      <c r="O176" s="151">
        <f t="shared" si="58"/>
        <v>-1.04</v>
      </c>
      <c r="P176" s="151">
        <f t="shared" si="58"/>
        <v>0</v>
      </c>
      <c r="Q176" s="151">
        <f t="shared" si="58"/>
        <v>-1.04</v>
      </c>
      <c r="R176" s="151">
        <f t="shared" si="58"/>
        <v>-1.04</v>
      </c>
      <c r="S176" s="151">
        <f t="shared" si="58"/>
        <v>0</v>
      </c>
      <c r="T176" s="119"/>
      <c r="U176" s="119"/>
    </row>
    <row r="177" spans="2:23" x14ac:dyDescent="0.25">
      <c r="F177" t="s">
        <v>795</v>
      </c>
      <c r="G177" s="118" t="s">
        <v>281</v>
      </c>
      <c r="H177" s="97"/>
      <c r="J177" s="151">
        <f t="shared" ref="J177:S177" si="59">$H139 * J78</f>
        <v>-1.04</v>
      </c>
      <c r="K177" s="151">
        <f t="shared" si="59"/>
        <v>-1.04</v>
      </c>
      <c r="L177" s="151">
        <f t="shared" si="59"/>
        <v>-1.04</v>
      </c>
      <c r="M177" s="151">
        <f t="shared" si="59"/>
        <v>-1.04</v>
      </c>
      <c r="N177" s="151">
        <f t="shared" si="59"/>
        <v>-1.04</v>
      </c>
      <c r="O177" s="151">
        <f t="shared" si="59"/>
        <v>-1.04</v>
      </c>
      <c r="P177" s="151">
        <f t="shared" si="59"/>
        <v>0</v>
      </c>
      <c r="Q177" s="151">
        <f t="shared" si="59"/>
        <v>-1.04</v>
      </c>
      <c r="R177" s="151">
        <f t="shared" si="59"/>
        <v>-1.04</v>
      </c>
      <c r="S177" s="151">
        <f t="shared" si="59"/>
        <v>0</v>
      </c>
      <c r="T177" s="119"/>
      <c r="U177" s="119"/>
    </row>
    <row r="178" spans="2:23" x14ac:dyDescent="0.25">
      <c r="F178" t="s">
        <v>789</v>
      </c>
      <c r="G178" s="118" t="s">
        <v>281</v>
      </c>
      <c r="H178" s="97"/>
      <c r="J178" s="151">
        <f t="shared" ref="J178:S178" si="60">$H140 * J79</f>
        <v>-1.024</v>
      </c>
      <c r="K178" s="151">
        <f t="shared" si="60"/>
        <v>-1.024</v>
      </c>
      <c r="L178" s="151">
        <f t="shared" si="60"/>
        <v>-1.024</v>
      </c>
      <c r="M178" s="151">
        <f t="shared" si="60"/>
        <v>-1.024</v>
      </c>
      <c r="N178" s="151">
        <f t="shared" si="60"/>
        <v>-1.024</v>
      </c>
      <c r="O178" s="151">
        <f t="shared" si="60"/>
        <v>-1.024</v>
      </c>
      <c r="P178" s="151">
        <f t="shared" si="60"/>
        <v>0</v>
      </c>
      <c r="Q178" s="151">
        <f t="shared" si="60"/>
        <v>-1.024</v>
      </c>
      <c r="R178" s="151">
        <f t="shared" si="60"/>
        <v>0</v>
      </c>
      <c r="S178" s="151">
        <f t="shared" si="60"/>
        <v>0</v>
      </c>
      <c r="T178" s="119"/>
      <c r="U178" s="119"/>
    </row>
    <row r="179" spans="2:23" x14ac:dyDescent="0.25">
      <c r="F179" s="96" t="s">
        <v>794</v>
      </c>
      <c r="G179" s="120" t="s">
        <v>281</v>
      </c>
      <c r="H179" s="176"/>
      <c r="I179" s="96"/>
      <c r="J179" s="150">
        <f t="shared" ref="J179:S179" si="61">$H141 * J80</f>
        <v>-1.024</v>
      </c>
      <c r="K179" s="150">
        <f t="shared" si="61"/>
        <v>-1.024</v>
      </c>
      <c r="L179" s="150">
        <f t="shared" si="61"/>
        <v>-1.024</v>
      </c>
      <c r="M179" s="150">
        <f t="shared" si="61"/>
        <v>-1.024</v>
      </c>
      <c r="N179" s="150">
        <f t="shared" si="61"/>
        <v>-1.024</v>
      </c>
      <c r="O179" s="150">
        <f t="shared" si="61"/>
        <v>-1.024</v>
      </c>
      <c r="P179" s="150">
        <f t="shared" si="61"/>
        <v>0</v>
      </c>
      <c r="Q179" s="150">
        <f t="shared" si="61"/>
        <v>-1.024</v>
      </c>
      <c r="R179" s="150">
        <f t="shared" si="61"/>
        <v>0</v>
      </c>
      <c r="S179" s="150">
        <f t="shared" si="61"/>
        <v>0</v>
      </c>
      <c r="T179" s="121"/>
      <c r="U179" s="121"/>
    </row>
    <row r="180" spans="2:23" x14ac:dyDescent="0.25">
      <c r="G180" s="61"/>
    </row>
    <row r="181" spans="2:23" x14ac:dyDescent="0.25">
      <c r="B181" s="85" t="s">
        <v>229</v>
      </c>
      <c r="C181" s="85"/>
      <c r="D181" s="152"/>
      <c r="E181" s="152"/>
      <c r="F181" s="152"/>
      <c r="G181" s="177"/>
      <c r="H181" s="152"/>
      <c r="I181" s="152"/>
      <c r="J181" s="152"/>
      <c r="K181" s="152"/>
      <c r="L181" s="152"/>
      <c r="M181" s="152"/>
      <c r="N181" s="152"/>
      <c r="O181" s="152"/>
      <c r="P181" s="152"/>
      <c r="Q181" s="152"/>
      <c r="R181" s="152"/>
      <c r="S181" s="152"/>
      <c r="T181" s="152"/>
      <c r="U181" s="152"/>
      <c r="V181" s="152"/>
      <c r="W181" s="152"/>
    </row>
    <row r="182" spans="2:23" x14ac:dyDescent="0.25">
      <c r="G182" s="61"/>
    </row>
    <row r="183" spans="2:23" x14ac:dyDescent="0.25">
      <c r="E183" t="s">
        <v>230</v>
      </c>
      <c r="G183" s="6" t="s">
        <v>54</v>
      </c>
      <c r="H183" s="113">
        <f t="array" ref="H183">SUM(IF(ISERROR(H19:W181), 1))</f>
        <v>0</v>
      </c>
    </row>
    <row r="185" spans="2:23" x14ac:dyDescent="0.25">
      <c r="B185" s="85" t="s">
        <v>105</v>
      </c>
      <c r="C185" s="85"/>
      <c r="D185" s="85"/>
      <c r="E185" s="85"/>
      <c r="F185" s="85"/>
      <c r="G185" s="85"/>
      <c r="H185" s="85"/>
      <c r="I185" s="85"/>
      <c r="J185" s="85"/>
      <c r="K185" s="178"/>
      <c r="L185" s="178"/>
      <c r="M185" s="178"/>
      <c r="N185" s="178"/>
      <c r="O185" s="178"/>
      <c r="P185" s="178"/>
      <c r="Q185" s="178"/>
      <c r="R185" s="178"/>
      <c r="S185" s="178"/>
      <c r="T185" s="178"/>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v11 - 2026/27</v>
      </c>
    </row>
    <row r="4" spans="1:23" x14ac:dyDescent="0.25">
      <c r="A4" s="60" t="str">
        <f>H70 &amp; IF(H70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W5" s="91" t="s">
        <v>143</v>
      </c>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366</v>
      </c>
    </row>
    <row r="10" spans="1:23" x14ac:dyDescent="0.25">
      <c r="C10" s="86" t="s">
        <v>1111</v>
      </c>
    </row>
    <row r="12" spans="1:23" x14ac:dyDescent="0.25">
      <c r="B12" s="85" t="s">
        <v>65</v>
      </c>
      <c r="C12" s="85"/>
      <c r="D12" s="85"/>
      <c r="E12" s="85"/>
      <c r="F12" s="85"/>
      <c r="G12" s="85"/>
      <c r="H12" s="85"/>
      <c r="I12" s="85"/>
      <c r="J12" s="85"/>
      <c r="K12" s="85"/>
      <c r="L12" s="85"/>
      <c r="M12" s="85"/>
      <c r="N12" s="85"/>
      <c r="O12" s="85"/>
      <c r="P12" s="85"/>
      <c r="Q12" s="85"/>
      <c r="R12" s="85"/>
      <c r="S12" s="85"/>
      <c r="T12" s="85"/>
      <c r="U12" s="85"/>
      <c r="V12" s="85"/>
      <c r="W12" s="85"/>
    </row>
    <row r="14" spans="1:23" x14ac:dyDescent="0.25">
      <c r="C14" s="86" t="s">
        <v>367</v>
      </c>
    </row>
    <row r="16" spans="1:23" x14ac:dyDescent="0.2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25">
      <c r="E18" s="75" t="s">
        <v>178</v>
      </c>
      <c r="H18" s="3"/>
      <c r="I18" s="3" t="s">
        <v>152</v>
      </c>
      <c r="J18" s="3"/>
      <c r="K18" s="3"/>
      <c r="L18" s="3"/>
      <c r="M18" s="3"/>
      <c r="N18" s="3"/>
      <c r="O18" s="3"/>
      <c r="P18" s="3"/>
      <c r="Q18" s="3"/>
      <c r="R18" s="3"/>
      <c r="S18" s="3"/>
      <c r="T18" s="3"/>
      <c r="U18" s="3"/>
      <c r="W18" s="3" t="s">
        <v>179</v>
      </c>
    </row>
    <row r="19" spans="5:23" x14ac:dyDescent="0.25">
      <c r="E19" s="86" t="s">
        <v>180</v>
      </c>
      <c r="H19" s="3"/>
      <c r="I19" s="3"/>
      <c r="J19" s="3"/>
      <c r="K19" s="3"/>
      <c r="L19" s="3"/>
      <c r="M19" s="3"/>
      <c r="N19" s="3"/>
      <c r="O19" s="3"/>
      <c r="P19" s="3"/>
      <c r="Q19" s="3"/>
      <c r="R19" s="3"/>
      <c r="S19" s="3"/>
      <c r="T19" s="3"/>
      <c r="U19" s="3"/>
      <c r="W19" s="3"/>
    </row>
    <row r="20" spans="5:23" x14ac:dyDescent="0.25">
      <c r="F20" s="179"/>
      <c r="G20" s="179"/>
      <c r="H20" s="180"/>
      <c r="I20" s="180"/>
      <c r="J20" s="181" t="s">
        <v>181</v>
      </c>
      <c r="K20" s="181" t="s">
        <v>182</v>
      </c>
      <c r="L20" s="181" t="s">
        <v>183</v>
      </c>
      <c r="M20" s="181" t="s">
        <v>184</v>
      </c>
      <c r="O20" s="3"/>
      <c r="P20" s="3"/>
      <c r="Q20" s="3"/>
      <c r="R20" s="3"/>
      <c r="S20" s="3"/>
      <c r="T20" s="3"/>
      <c r="U20" s="3"/>
    </row>
    <row r="21" spans="5:23" x14ac:dyDescent="0.25">
      <c r="F21" s="94" t="s">
        <v>1112</v>
      </c>
      <c r="G21" s="61" t="s">
        <v>174</v>
      </c>
      <c r="H21" s="3"/>
      <c r="I21" s="3"/>
      <c r="J21" s="182">
        <f t="array" ref="J21:M36">TRANSPOSE('Fixed inputs'!J54:Y57)</f>
        <v>0</v>
      </c>
      <c r="K21" s="182">
        <v>0</v>
      </c>
      <c r="L21" s="182">
        <v>0</v>
      </c>
      <c r="M21" s="182">
        <v>1</v>
      </c>
      <c r="S21" s="3"/>
      <c r="T21" s="3"/>
      <c r="U21" s="3"/>
      <c r="W21" s="3"/>
    </row>
    <row r="22" spans="5:23" x14ac:dyDescent="0.25">
      <c r="F22" s="94" t="s">
        <v>783</v>
      </c>
      <c r="G22" s="61" t="s">
        <v>174</v>
      </c>
      <c r="H22" s="3"/>
      <c r="I22" s="3"/>
      <c r="J22" s="182">
        <v>0</v>
      </c>
      <c r="K22" s="182">
        <v>0</v>
      </c>
      <c r="L22" s="182">
        <v>0</v>
      </c>
      <c r="M22" s="182">
        <v>1</v>
      </c>
      <c r="S22" s="3"/>
      <c r="T22" s="3"/>
      <c r="U22" s="3"/>
      <c r="W22" s="3"/>
    </row>
    <row r="23" spans="5:23" x14ac:dyDescent="0.25">
      <c r="F23" s="94" t="s">
        <v>1113</v>
      </c>
      <c r="G23" s="61" t="s">
        <v>174</v>
      </c>
      <c r="H23" s="3"/>
      <c r="I23" s="3"/>
      <c r="J23" s="182">
        <v>0</v>
      </c>
      <c r="K23" s="182">
        <v>0</v>
      </c>
      <c r="L23" s="182">
        <v>0</v>
      </c>
      <c r="M23" s="182">
        <v>1</v>
      </c>
      <c r="S23" s="3"/>
      <c r="T23" s="3"/>
      <c r="U23" s="3"/>
      <c r="W23" s="3"/>
    </row>
    <row r="24" spans="5:23" x14ac:dyDescent="0.25">
      <c r="F24" s="94" t="s">
        <v>784</v>
      </c>
      <c r="G24" s="61" t="s">
        <v>174</v>
      </c>
      <c r="H24" s="3"/>
      <c r="I24" s="3"/>
      <c r="J24" s="182">
        <v>0</v>
      </c>
      <c r="K24" s="182">
        <v>0</v>
      </c>
      <c r="L24" s="182">
        <v>0</v>
      </c>
      <c r="M24" s="182">
        <v>1</v>
      </c>
      <c r="S24" s="3"/>
      <c r="T24" s="3"/>
      <c r="U24" s="3"/>
      <c r="W24" s="3"/>
    </row>
    <row r="25" spans="5:23" x14ac:dyDescent="0.25">
      <c r="F25" s="94" t="s">
        <v>790</v>
      </c>
      <c r="G25" s="61" t="s">
        <v>174</v>
      </c>
      <c r="H25" s="3"/>
      <c r="I25" s="3"/>
      <c r="J25" s="182">
        <v>0</v>
      </c>
      <c r="K25" s="182">
        <v>0</v>
      </c>
      <c r="L25" s="182">
        <v>0</v>
      </c>
      <c r="M25" s="182">
        <v>1</v>
      </c>
      <c r="S25" s="3"/>
      <c r="T25" s="3"/>
      <c r="U25" s="3"/>
      <c r="W25" s="3"/>
    </row>
    <row r="26" spans="5:23" x14ac:dyDescent="0.25">
      <c r="F26" s="94" t="s">
        <v>791</v>
      </c>
      <c r="G26" s="61" t="s">
        <v>174</v>
      </c>
      <c r="H26" s="3"/>
      <c r="I26" s="3"/>
      <c r="J26" s="182">
        <v>0</v>
      </c>
      <c r="K26" s="182">
        <v>0</v>
      </c>
      <c r="L26" s="182">
        <v>1</v>
      </c>
      <c r="M26" s="182">
        <v>0</v>
      </c>
      <c r="S26" s="3"/>
      <c r="T26" s="3"/>
      <c r="U26" s="3"/>
      <c r="W26" s="3"/>
    </row>
    <row r="27" spans="5:23" x14ac:dyDescent="0.25">
      <c r="F27" s="94" t="s">
        <v>792</v>
      </c>
      <c r="G27" s="61" t="s">
        <v>174</v>
      </c>
      <c r="H27" s="3"/>
      <c r="I27" s="3"/>
      <c r="J27" s="182">
        <v>0</v>
      </c>
      <c r="K27" s="182">
        <v>1</v>
      </c>
      <c r="L27" s="182">
        <v>0</v>
      </c>
      <c r="M27" s="182">
        <v>0</v>
      </c>
      <c r="S27" s="3"/>
      <c r="T27" s="3"/>
      <c r="U27" s="3"/>
      <c r="W27" s="3"/>
    </row>
    <row r="28" spans="5:23" x14ac:dyDescent="0.25">
      <c r="F28" s="94" t="s">
        <v>793</v>
      </c>
      <c r="G28" s="61" t="s">
        <v>174</v>
      </c>
      <c r="H28" s="3"/>
      <c r="I28" s="3"/>
      <c r="J28" s="182">
        <v>0</v>
      </c>
      <c r="K28" s="182">
        <v>0</v>
      </c>
      <c r="L28" s="182">
        <v>0</v>
      </c>
      <c r="M28" s="182">
        <v>1</v>
      </c>
      <c r="S28" s="3"/>
      <c r="T28" s="3"/>
      <c r="U28" s="3"/>
      <c r="W28" s="3"/>
    </row>
    <row r="29" spans="5:23" x14ac:dyDescent="0.25">
      <c r="F29" s="94" t="s">
        <v>785</v>
      </c>
      <c r="G29" s="61" t="s">
        <v>174</v>
      </c>
      <c r="H29" s="3"/>
      <c r="I29" s="3"/>
      <c r="J29" s="182">
        <v>0</v>
      </c>
      <c r="K29" s="182">
        <v>0</v>
      </c>
      <c r="L29" s="182">
        <v>0</v>
      </c>
      <c r="M29" s="182">
        <v>1</v>
      </c>
      <c r="S29" s="3"/>
      <c r="T29" s="3"/>
      <c r="U29" s="3"/>
      <c r="W29" s="3"/>
    </row>
    <row r="30" spans="5:23" x14ac:dyDescent="0.25">
      <c r="F30" s="94" t="s">
        <v>786</v>
      </c>
      <c r="G30" s="61" t="s">
        <v>174</v>
      </c>
      <c r="H30" s="3"/>
      <c r="I30" s="3"/>
      <c r="J30" s="182">
        <v>0</v>
      </c>
      <c r="K30" s="182">
        <v>0</v>
      </c>
      <c r="L30" s="182">
        <v>1</v>
      </c>
      <c r="M30" s="182">
        <v>0</v>
      </c>
      <c r="S30" s="3"/>
      <c r="T30" s="3"/>
      <c r="U30" s="3"/>
      <c r="W30" s="3"/>
    </row>
    <row r="31" spans="5:23" x14ac:dyDescent="0.25">
      <c r="F31" s="94" t="s">
        <v>787</v>
      </c>
      <c r="G31" s="61" t="s">
        <v>174</v>
      </c>
      <c r="H31" s="3"/>
      <c r="I31" s="3"/>
      <c r="J31" s="182">
        <v>0</v>
      </c>
      <c r="K31" s="182">
        <v>0</v>
      </c>
      <c r="L31" s="182">
        <v>0</v>
      </c>
      <c r="M31" s="182">
        <v>1</v>
      </c>
      <c r="S31" s="3"/>
      <c r="T31" s="3"/>
      <c r="U31" s="3"/>
      <c r="W31" s="3"/>
    </row>
    <row r="32" spans="5:23" x14ac:dyDescent="0.25">
      <c r="F32" s="94" t="s">
        <v>796</v>
      </c>
      <c r="G32" s="61" t="s">
        <v>174</v>
      </c>
      <c r="H32" s="3"/>
      <c r="I32" s="3"/>
      <c r="J32" s="182">
        <v>0</v>
      </c>
      <c r="K32" s="182">
        <v>0</v>
      </c>
      <c r="L32" s="182">
        <v>0</v>
      </c>
      <c r="M32" s="182">
        <v>1</v>
      </c>
      <c r="S32" s="3"/>
      <c r="T32" s="3"/>
      <c r="U32" s="3"/>
      <c r="W32" s="3"/>
    </row>
    <row r="33" spans="3:23" x14ac:dyDescent="0.25">
      <c r="F33" s="94" t="s">
        <v>788</v>
      </c>
      <c r="G33" s="61" t="s">
        <v>174</v>
      </c>
      <c r="H33" s="3"/>
      <c r="I33" s="3"/>
      <c r="J33" s="182">
        <v>0</v>
      </c>
      <c r="K33" s="182">
        <v>0</v>
      </c>
      <c r="L33" s="182">
        <v>1</v>
      </c>
      <c r="M33" s="182">
        <v>0</v>
      </c>
      <c r="S33" s="3"/>
      <c r="T33" s="3"/>
      <c r="U33" s="3"/>
      <c r="W33" s="3"/>
    </row>
    <row r="34" spans="3:23" x14ac:dyDescent="0.25">
      <c r="F34" s="94" t="s">
        <v>795</v>
      </c>
      <c r="G34" s="61" t="s">
        <v>174</v>
      </c>
      <c r="H34" s="3"/>
      <c r="I34" s="3"/>
      <c r="J34" s="182">
        <v>0</v>
      </c>
      <c r="K34" s="182">
        <v>0</v>
      </c>
      <c r="L34" s="182">
        <v>1</v>
      </c>
      <c r="M34" s="182">
        <v>0</v>
      </c>
      <c r="S34" s="3"/>
      <c r="T34" s="3"/>
      <c r="U34" s="3"/>
      <c r="W34" s="3"/>
    </row>
    <row r="35" spans="3:23" x14ac:dyDescent="0.25">
      <c r="F35" s="94" t="s">
        <v>789</v>
      </c>
      <c r="G35" s="61" t="s">
        <v>174</v>
      </c>
      <c r="H35" s="3"/>
      <c r="I35" s="3"/>
      <c r="J35" s="182">
        <v>0</v>
      </c>
      <c r="K35" s="182">
        <v>1</v>
      </c>
      <c r="L35" s="182">
        <v>0</v>
      </c>
      <c r="M35" s="182">
        <v>0</v>
      </c>
      <c r="S35" s="3"/>
      <c r="T35" s="3"/>
      <c r="U35" s="3"/>
      <c r="W35" s="3"/>
    </row>
    <row r="36" spans="3:23" x14ac:dyDescent="0.25">
      <c r="F36" s="101" t="s">
        <v>794</v>
      </c>
      <c r="G36" s="144" t="s">
        <v>174</v>
      </c>
      <c r="H36" s="58"/>
      <c r="I36" s="58"/>
      <c r="J36" s="183">
        <v>0</v>
      </c>
      <c r="K36" s="183">
        <v>1</v>
      </c>
      <c r="L36" s="183">
        <v>0</v>
      </c>
      <c r="M36" s="183">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25">
      <c r="E40" s="75" t="s">
        <v>368</v>
      </c>
      <c r="H40" s="3"/>
      <c r="I40" s="3" t="s">
        <v>152</v>
      </c>
      <c r="J40" s="3"/>
      <c r="K40" s="3"/>
      <c r="L40" s="3"/>
      <c r="M40" s="3"/>
      <c r="N40" s="3"/>
      <c r="O40" s="3"/>
      <c r="P40" s="3"/>
      <c r="Q40" s="3"/>
      <c r="R40" s="3"/>
      <c r="S40" s="3"/>
      <c r="T40" s="3"/>
      <c r="U40" s="3"/>
      <c r="W40" s="3" t="s">
        <v>369</v>
      </c>
    </row>
    <row r="41" spans="3:23" x14ac:dyDescent="0.25">
      <c r="E41" s="86" t="s">
        <v>370</v>
      </c>
      <c r="H41" s="3"/>
      <c r="I41" s="3"/>
      <c r="J41" s="3"/>
      <c r="K41" s="3"/>
      <c r="L41" s="3"/>
      <c r="M41" s="3"/>
      <c r="N41" s="3"/>
      <c r="O41" s="3"/>
      <c r="P41" s="3"/>
      <c r="Q41" s="3"/>
      <c r="R41" s="3"/>
      <c r="S41" s="3"/>
      <c r="T41" s="3"/>
      <c r="U41" s="3"/>
      <c r="W41" s="3"/>
    </row>
    <row r="42" spans="3:23" x14ac:dyDescent="0.25">
      <c r="E42" s="75"/>
      <c r="F42" s="184"/>
      <c r="G42" s="184"/>
      <c r="H42" s="184"/>
      <c r="I42" s="184"/>
      <c r="J42" s="184" t="s">
        <v>187</v>
      </c>
      <c r="K42" s="185" t="s">
        <v>189</v>
      </c>
      <c r="L42" s="185" t="s">
        <v>190</v>
      </c>
      <c r="M42" s="185" t="s">
        <v>191</v>
      </c>
      <c r="N42" s="185" t="s">
        <v>192</v>
      </c>
      <c r="O42" s="185" t="s">
        <v>193</v>
      </c>
      <c r="P42" s="185" t="s">
        <v>194</v>
      </c>
      <c r="Q42" s="185" t="s">
        <v>195</v>
      </c>
      <c r="R42" s="185" t="s">
        <v>196</v>
      </c>
      <c r="S42" s="185" t="s">
        <v>197</v>
      </c>
      <c r="T42" s="185" t="s">
        <v>332</v>
      </c>
      <c r="U42" s="185" t="s">
        <v>333</v>
      </c>
    </row>
    <row r="43" spans="3:23" x14ac:dyDescent="0.25">
      <c r="F43" s="94" t="s">
        <v>184</v>
      </c>
      <c r="G43" s="118" t="s">
        <v>165</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25">
      <c r="F44" s="94" t="s">
        <v>183</v>
      </c>
      <c r="G44" s="118" t="s">
        <v>165</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25">
      <c r="F45" s="94" t="s">
        <v>182</v>
      </c>
      <c r="G45" s="118" t="s">
        <v>165</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25">
      <c r="F46" s="101" t="s">
        <v>181</v>
      </c>
      <c r="G46" s="120" t="s">
        <v>165</v>
      </c>
      <c r="H46" s="58"/>
      <c r="I46" s="58"/>
      <c r="J46" s="102"/>
      <c r="K46" s="102"/>
      <c r="L46" s="186">
        <f>'Inputs by network level'!L29</f>
        <v>0</v>
      </c>
      <c r="M46" s="186">
        <f>'Inputs by network level'!M29</f>
        <v>0</v>
      </c>
      <c r="N46" s="186">
        <f>'Inputs by network level'!N29</f>
        <v>0</v>
      </c>
      <c r="O46" s="186">
        <f>'Inputs by network level'!O29</f>
        <v>0</v>
      </c>
      <c r="P46" s="186">
        <f>'Inputs by network level'!P29</f>
        <v>0</v>
      </c>
      <c r="Q46" s="186">
        <f>'Inputs by network level'!Q29</f>
        <v>0</v>
      </c>
      <c r="R46" s="186">
        <f>'Inputs by network level'!R29</f>
        <v>0</v>
      </c>
      <c r="S46" s="186">
        <f>'Inputs by network level'!S29</f>
        <v>0</v>
      </c>
      <c r="T46" s="102"/>
      <c r="U46" s="102"/>
      <c r="W46" s="3"/>
    </row>
    <row r="47" spans="3:23" x14ac:dyDescent="0.25">
      <c r="G47" s="61"/>
      <c r="H47" s="3"/>
      <c r="I47" s="3"/>
      <c r="J47" s="3"/>
      <c r="K47" s="3"/>
      <c r="L47" s="3"/>
      <c r="M47" s="3"/>
      <c r="N47" s="3"/>
      <c r="O47" s="3"/>
      <c r="P47" s="3"/>
      <c r="Q47" s="3"/>
      <c r="R47" s="3"/>
      <c r="S47" s="3"/>
      <c r="T47" s="3"/>
      <c r="U47" s="3"/>
      <c r="W47" s="3"/>
    </row>
    <row r="48" spans="3:23" x14ac:dyDescent="0.25">
      <c r="E48" s="75" t="s">
        <v>371</v>
      </c>
      <c r="H48" s="61"/>
      <c r="I48" s="3"/>
      <c r="J48" s="3"/>
      <c r="K48" s="3"/>
      <c r="L48" s="3"/>
      <c r="M48" s="3"/>
      <c r="N48" s="3"/>
      <c r="O48" s="3"/>
      <c r="P48" s="3"/>
      <c r="Q48" s="3"/>
      <c r="R48" s="3"/>
      <c r="S48" s="3"/>
      <c r="T48" s="3"/>
      <c r="U48" s="3"/>
      <c r="W48" s="3"/>
    </row>
    <row r="49" spans="5:23" x14ac:dyDescent="0.25">
      <c r="E49" s="86" t="s">
        <v>372</v>
      </c>
      <c r="H49" s="61"/>
      <c r="I49" s="3"/>
      <c r="J49" s="3"/>
      <c r="K49" s="3"/>
      <c r="L49" s="3"/>
      <c r="M49" s="3"/>
      <c r="N49" s="3"/>
      <c r="O49" s="3"/>
      <c r="P49" s="3"/>
      <c r="Q49" s="3"/>
      <c r="R49" s="3"/>
      <c r="S49" s="3"/>
      <c r="T49" s="3"/>
      <c r="U49" s="3"/>
      <c r="W49" s="3"/>
    </row>
    <row r="50" spans="5:23" x14ac:dyDescent="0.25">
      <c r="F50" s="184"/>
      <c r="G50" s="184"/>
      <c r="H50" s="187"/>
      <c r="I50" s="184"/>
      <c r="J50" s="184" t="s">
        <v>187</v>
      </c>
      <c r="K50" s="185" t="s">
        <v>189</v>
      </c>
      <c r="L50" s="185" t="s">
        <v>190</v>
      </c>
      <c r="M50" s="185" t="s">
        <v>191</v>
      </c>
      <c r="N50" s="185" t="s">
        <v>192</v>
      </c>
      <c r="O50" s="185" t="s">
        <v>193</v>
      </c>
      <c r="P50" s="185" t="s">
        <v>194</v>
      </c>
      <c r="Q50" s="185" t="s">
        <v>195</v>
      </c>
      <c r="R50" s="185" t="s">
        <v>196</v>
      </c>
      <c r="S50" s="185" t="s">
        <v>197</v>
      </c>
      <c r="T50" s="185" t="s">
        <v>332</v>
      </c>
      <c r="U50" s="185" t="s">
        <v>333</v>
      </c>
      <c r="W50" s="3"/>
    </row>
    <row r="51" spans="5:23" x14ac:dyDescent="0.25">
      <c r="F51" s="94" t="s">
        <v>1112</v>
      </c>
      <c r="G51" s="94"/>
      <c r="H51" s="118" t="s">
        <v>165</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25">
      <c r="F52" s="94" t="s">
        <v>783</v>
      </c>
      <c r="G52" s="94"/>
      <c r="H52" s="118" t="s">
        <v>165</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25">
      <c r="F53" s="94" t="s">
        <v>1113</v>
      </c>
      <c r="G53" s="94"/>
      <c r="H53" s="118" t="s">
        <v>165</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25">
      <c r="F54" s="94" t="s">
        <v>784</v>
      </c>
      <c r="G54" s="94"/>
      <c r="H54" s="118" t="s">
        <v>165</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25">
      <c r="F55" s="94" t="s">
        <v>790</v>
      </c>
      <c r="G55" s="94"/>
      <c r="H55" s="118" t="s">
        <v>165</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25">
      <c r="F56" s="94" t="s">
        <v>791</v>
      </c>
      <c r="G56" s="94"/>
      <c r="H56" s="118" t="s">
        <v>165</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25">
      <c r="F57" s="94" t="s">
        <v>792</v>
      </c>
      <c r="G57" s="94"/>
      <c r="H57" s="118" t="s">
        <v>165</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25">
      <c r="F58" s="94" t="s">
        <v>793</v>
      </c>
      <c r="G58" s="94"/>
      <c r="H58" s="118" t="s">
        <v>165</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25">
      <c r="F59" s="94" t="s">
        <v>785</v>
      </c>
      <c r="G59" s="94"/>
      <c r="H59" s="118" t="s">
        <v>165</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25">
      <c r="F60" s="94" t="s">
        <v>786</v>
      </c>
      <c r="G60" s="94"/>
      <c r="H60" s="118" t="s">
        <v>165</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25">
      <c r="F61" s="94" t="s">
        <v>787</v>
      </c>
      <c r="G61" s="94"/>
      <c r="H61" s="118" t="s">
        <v>165</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25">
      <c r="F62" s="94" t="s">
        <v>796</v>
      </c>
      <c r="G62" s="94"/>
      <c r="H62" s="118" t="s">
        <v>165</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25">
      <c r="F63" s="94" t="s">
        <v>788</v>
      </c>
      <c r="G63" s="94"/>
      <c r="H63" s="118" t="s">
        <v>165</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25">
      <c r="F64" s="94" t="s">
        <v>795</v>
      </c>
      <c r="G64" s="94"/>
      <c r="H64" s="118" t="s">
        <v>165</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25">
      <c r="F65" s="94" t="s">
        <v>789</v>
      </c>
      <c r="G65" s="94"/>
      <c r="H65" s="118" t="s">
        <v>165</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25">
      <c r="F66" s="101" t="s">
        <v>794</v>
      </c>
      <c r="G66" s="101"/>
      <c r="H66" s="120" t="s">
        <v>165</v>
      </c>
      <c r="I66" s="96"/>
      <c r="J66" s="104"/>
      <c r="K66" s="104"/>
      <c r="L66" s="188">
        <f t="shared" si="1"/>
        <v>0</v>
      </c>
      <c r="M66" s="188">
        <f t="shared" si="1"/>
        <v>0</v>
      </c>
      <c r="N66" s="188">
        <f t="shared" si="1"/>
        <v>0</v>
      </c>
      <c r="O66" s="188">
        <f t="shared" si="1"/>
        <v>0</v>
      </c>
      <c r="P66" s="188">
        <f t="shared" si="1"/>
        <v>0</v>
      </c>
      <c r="Q66" s="188">
        <f t="shared" si="1"/>
        <v>0</v>
      </c>
      <c r="R66" s="188">
        <f t="shared" si="1"/>
        <v>0</v>
      </c>
      <c r="S66" s="188">
        <f t="shared" si="1"/>
        <v>0</v>
      </c>
      <c r="T66" s="104"/>
      <c r="U66" s="104"/>
    </row>
    <row r="68" spans="2:23" x14ac:dyDescent="0.25">
      <c r="B68" s="85" t="s">
        <v>229</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25">
      <c r="E70" t="s">
        <v>230</v>
      </c>
      <c r="G70" s="6" t="s">
        <v>54</v>
      </c>
      <c r="H70" s="113">
        <f t="array" ref="H70">SUM(IF(ISERROR(H21:U66), 1))</f>
        <v>0</v>
      </c>
    </row>
    <row r="72" spans="2:23" x14ac:dyDescent="0.25">
      <c r="B72" s="85" t="s">
        <v>105</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H693 &amp; IF(H693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373</v>
      </c>
    </row>
    <row r="10" spans="1:43" x14ac:dyDescent="0.25">
      <c r="C10" s="86" t="s">
        <v>374</v>
      </c>
    </row>
    <row r="11" spans="1:43" x14ac:dyDescent="0.25">
      <c r="C11" s="86" t="s">
        <v>375</v>
      </c>
    </row>
    <row r="13" spans="1:43" x14ac:dyDescent="0.25">
      <c r="B13" s="85" t="s">
        <v>376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25">
      <c r="C14" s="86"/>
    </row>
    <row r="15" spans="1:43" x14ac:dyDescent="0.2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25">
      <c r="C16" s="86"/>
    </row>
    <row r="17" spans="4:43" x14ac:dyDescent="0.25">
      <c r="D17" s="86" t="s">
        <v>377</v>
      </c>
    </row>
    <row r="18" spans="4:43" x14ac:dyDescent="0.25">
      <c r="D18" s="86" t="s">
        <v>378</v>
      </c>
    </row>
    <row r="19" spans="4:43" x14ac:dyDescent="0.25">
      <c r="D19" s="86"/>
    </row>
    <row r="20" spans="4:43" x14ac:dyDescent="0.25">
      <c r="E20" s="105" t="s">
        <v>379</v>
      </c>
      <c r="I20" t="s">
        <v>152</v>
      </c>
      <c r="J20" s="97"/>
      <c r="K20" s="97"/>
      <c r="L20" s="97"/>
      <c r="M20" s="97"/>
      <c r="N20" s="97"/>
      <c r="O20" s="97"/>
      <c r="P20" s="97"/>
      <c r="Q20" s="97"/>
      <c r="R20" s="97"/>
      <c r="S20" s="97"/>
      <c r="T20" s="97"/>
      <c r="U20" s="97"/>
      <c r="V20" s="97"/>
      <c r="W20" s="97"/>
      <c r="X20" s="97"/>
      <c r="Y20" s="97"/>
    </row>
    <row r="21" spans="4:43" x14ac:dyDescent="0.25">
      <c r="E21" s="86" t="s">
        <v>380</v>
      </c>
      <c r="AA21" t="s">
        <v>381</v>
      </c>
    </row>
    <row r="22" spans="4:43" x14ac:dyDescent="0.25">
      <c r="F22" s="95" t="s">
        <v>173</v>
      </c>
      <c r="G22" s="95" t="s">
        <v>165</v>
      </c>
      <c r="H22" s="154">
        <f>'General inputs'!H30</f>
        <v>0.40999688257340583</v>
      </c>
      <c r="AQ22" s="3"/>
    </row>
    <row r="23" spans="4:43" x14ac:dyDescent="0.25">
      <c r="F23" t="s">
        <v>175</v>
      </c>
      <c r="G23" t="s">
        <v>165</v>
      </c>
      <c r="H23" s="155">
        <f>'General inputs'!H31</f>
        <v>0.60376444392351947</v>
      </c>
      <c r="AQ23" s="3"/>
    </row>
    <row r="24" spans="4:43" x14ac:dyDescent="0.25">
      <c r="F24" t="s">
        <v>176</v>
      </c>
      <c r="G24" t="s">
        <v>165</v>
      </c>
      <c r="H24" s="155">
        <f>'General inputs'!H32</f>
        <v>0.32468019364035799</v>
      </c>
      <c r="AQ24" s="3"/>
    </row>
    <row r="25" spans="4:43" x14ac:dyDescent="0.25">
      <c r="F25" s="96" t="s">
        <v>177</v>
      </c>
      <c r="G25" s="96" t="s">
        <v>165</v>
      </c>
      <c r="H25" s="186">
        <f>'General inputs'!H33</f>
        <v>0.16961170739746073</v>
      </c>
      <c r="AQ25" s="3"/>
    </row>
    <row r="27" spans="4:43" x14ac:dyDescent="0.25">
      <c r="E27" s="75" t="s">
        <v>382</v>
      </c>
      <c r="I27" t="s">
        <v>152</v>
      </c>
      <c r="AA27" t="s">
        <v>383</v>
      </c>
      <c r="AQ27" s="3"/>
    </row>
    <row r="28" spans="4:43" x14ac:dyDescent="0.25">
      <c r="E28" s="86" t="s">
        <v>384</v>
      </c>
    </row>
    <row r="29" spans="4:43" x14ac:dyDescent="0.25">
      <c r="E29" s="86" t="s">
        <v>385</v>
      </c>
    </row>
    <row r="30" spans="4:43" x14ac:dyDescent="0.25">
      <c r="F30" s="95" t="s">
        <v>173</v>
      </c>
      <c r="G30" s="95" t="s">
        <v>174</v>
      </c>
      <c r="H30" s="95"/>
      <c r="I30" s="95"/>
      <c r="J30" s="189">
        <f>'Fixed inputs'!J47</f>
        <v>1</v>
      </c>
      <c r="K30" s="189">
        <f>'Fixed inputs'!K47</f>
        <v>1</v>
      </c>
      <c r="L30" s="189">
        <f>'Fixed inputs'!L47</f>
        <v>1</v>
      </c>
      <c r="M30" s="189">
        <f>'Fixed inputs'!M47</f>
        <v>1</v>
      </c>
      <c r="N30" s="189">
        <f>'Fixed inputs'!N47</f>
        <v>1</v>
      </c>
      <c r="O30" s="189">
        <f>'Fixed inputs'!O47</f>
        <v>0</v>
      </c>
      <c r="P30" s="189">
        <f>'Fixed inputs'!P47</f>
        <v>0</v>
      </c>
      <c r="Q30" s="189">
        <f>'Fixed inputs'!Q47</f>
        <v>1</v>
      </c>
      <c r="R30" s="189">
        <f>'Fixed inputs'!R47</f>
        <v>0</v>
      </c>
      <c r="S30" s="189">
        <f>'Fixed inputs'!S47</f>
        <v>0</v>
      </c>
      <c r="T30" s="189">
        <f>'Fixed inputs'!T47</f>
        <v>0</v>
      </c>
      <c r="U30" s="189">
        <f>'Fixed inputs'!U47</f>
        <v>0</v>
      </c>
      <c r="V30" s="189">
        <f>'Fixed inputs'!V47</f>
        <v>0</v>
      </c>
      <c r="W30" s="189">
        <f>'Fixed inputs'!W47</f>
        <v>0</v>
      </c>
      <c r="X30" s="189">
        <f>'Fixed inputs'!X47</f>
        <v>0</v>
      </c>
      <c r="Y30" s="189">
        <f>'Fixed inputs'!Y47</f>
        <v>0</v>
      </c>
      <c r="AQ30" s="3"/>
    </row>
    <row r="31" spans="4:43" x14ac:dyDescent="0.25">
      <c r="F31" t="s">
        <v>175</v>
      </c>
      <c r="G31" t="s">
        <v>174</v>
      </c>
      <c r="J31" s="182">
        <f>'Fixed inputs'!J48</f>
        <v>1</v>
      </c>
      <c r="K31" s="182">
        <f>'Fixed inputs'!K48</f>
        <v>1</v>
      </c>
      <c r="L31" s="182">
        <f>'Fixed inputs'!L48</f>
        <v>1</v>
      </c>
      <c r="M31" s="182">
        <f>'Fixed inputs'!M48</f>
        <v>1</v>
      </c>
      <c r="N31" s="182">
        <f>'Fixed inputs'!N48</f>
        <v>1</v>
      </c>
      <c r="O31" s="182">
        <f>'Fixed inputs'!O48</f>
        <v>0</v>
      </c>
      <c r="P31" s="182">
        <f>'Fixed inputs'!P48</f>
        <v>0</v>
      </c>
      <c r="Q31" s="182">
        <f>'Fixed inputs'!Q48</f>
        <v>1</v>
      </c>
      <c r="R31" s="182">
        <f>'Fixed inputs'!R48</f>
        <v>0</v>
      </c>
      <c r="S31" s="182">
        <f>'Fixed inputs'!S48</f>
        <v>0</v>
      </c>
      <c r="T31" s="182">
        <f>'Fixed inputs'!T48</f>
        <v>0</v>
      </c>
      <c r="U31" s="182">
        <f>'Fixed inputs'!U48</f>
        <v>0</v>
      </c>
      <c r="V31" s="182">
        <f>'Fixed inputs'!V48</f>
        <v>0</v>
      </c>
      <c r="W31" s="182">
        <f>'Fixed inputs'!W48</f>
        <v>0</v>
      </c>
      <c r="X31" s="182">
        <f>'Fixed inputs'!X48</f>
        <v>0</v>
      </c>
      <c r="Y31" s="182">
        <f>'Fixed inputs'!Y48</f>
        <v>0</v>
      </c>
      <c r="AQ31" s="3"/>
    </row>
    <row r="32" spans="4:43" x14ac:dyDescent="0.25">
      <c r="F32" t="s">
        <v>176</v>
      </c>
      <c r="G32" t="s">
        <v>174</v>
      </c>
      <c r="J32" s="182">
        <f>'Fixed inputs'!J49</f>
        <v>0</v>
      </c>
      <c r="K32" s="182">
        <f>'Fixed inputs'!K49</f>
        <v>0</v>
      </c>
      <c r="L32" s="182">
        <f>'Fixed inputs'!L49</f>
        <v>0</v>
      </c>
      <c r="M32" s="182">
        <f>'Fixed inputs'!M49</f>
        <v>0</v>
      </c>
      <c r="N32" s="182">
        <f>'Fixed inputs'!N49</f>
        <v>0</v>
      </c>
      <c r="O32" s="182">
        <f>'Fixed inputs'!O49</f>
        <v>1</v>
      </c>
      <c r="P32" s="182">
        <f>'Fixed inputs'!P49</f>
        <v>0</v>
      </c>
      <c r="Q32" s="182">
        <f>'Fixed inputs'!Q49</f>
        <v>0</v>
      </c>
      <c r="R32" s="182">
        <f>'Fixed inputs'!R49</f>
        <v>0</v>
      </c>
      <c r="S32" s="182">
        <f>'Fixed inputs'!S49</f>
        <v>0</v>
      </c>
      <c r="T32" s="182">
        <f>'Fixed inputs'!T49</f>
        <v>0</v>
      </c>
      <c r="U32" s="182">
        <f>'Fixed inputs'!U49</f>
        <v>0</v>
      </c>
      <c r="V32" s="182">
        <f>'Fixed inputs'!V49</f>
        <v>0</v>
      </c>
      <c r="W32" s="182">
        <f>'Fixed inputs'!W49</f>
        <v>0</v>
      </c>
      <c r="X32" s="182">
        <f>'Fixed inputs'!X49</f>
        <v>0</v>
      </c>
      <c r="Y32" s="182">
        <f>'Fixed inputs'!Y49</f>
        <v>0</v>
      </c>
      <c r="AQ32" s="3"/>
    </row>
    <row r="33" spans="4:43" x14ac:dyDescent="0.25">
      <c r="F33" s="96" t="s">
        <v>177</v>
      </c>
      <c r="G33" s="96" t="s">
        <v>174</v>
      </c>
      <c r="H33" s="96"/>
      <c r="I33" s="96"/>
      <c r="J33" s="183">
        <f>'Fixed inputs'!J50</f>
        <v>0</v>
      </c>
      <c r="K33" s="183">
        <f>'Fixed inputs'!K50</f>
        <v>0</v>
      </c>
      <c r="L33" s="183">
        <f>'Fixed inputs'!L50</f>
        <v>0</v>
      </c>
      <c r="M33" s="183">
        <f>'Fixed inputs'!M50</f>
        <v>0</v>
      </c>
      <c r="N33" s="183">
        <f>'Fixed inputs'!N50</f>
        <v>0</v>
      </c>
      <c r="O33" s="183">
        <f>'Fixed inputs'!O50</f>
        <v>0</v>
      </c>
      <c r="P33" s="183">
        <f>'Fixed inputs'!P50</f>
        <v>1</v>
      </c>
      <c r="Q33" s="183">
        <f>'Fixed inputs'!Q50</f>
        <v>0</v>
      </c>
      <c r="R33" s="183">
        <f>'Fixed inputs'!R50</f>
        <v>0</v>
      </c>
      <c r="S33" s="183">
        <f>'Fixed inputs'!S50</f>
        <v>0</v>
      </c>
      <c r="T33" s="183">
        <f>'Fixed inputs'!T50</f>
        <v>0</v>
      </c>
      <c r="U33" s="183">
        <f>'Fixed inputs'!U50</f>
        <v>0</v>
      </c>
      <c r="V33" s="183">
        <f>'Fixed inputs'!V50</f>
        <v>0</v>
      </c>
      <c r="W33" s="183">
        <f>'Fixed inputs'!W50</f>
        <v>0</v>
      </c>
      <c r="X33" s="183">
        <f>'Fixed inputs'!X50</f>
        <v>0</v>
      </c>
      <c r="Y33" s="183">
        <f>'Fixed inputs'!Y50</f>
        <v>0</v>
      </c>
      <c r="AQ33" s="3"/>
    </row>
    <row r="34" spans="4:43" x14ac:dyDescent="0.25">
      <c r="F34" s="94" t="s">
        <v>386</v>
      </c>
      <c r="G34" s="94" t="s">
        <v>165</v>
      </c>
      <c r="J34" s="190">
        <f t="shared" ref="J34:Y34" si="0">J30 * $H$22</f>
        <v>0.40999688257340583</v>
      </c>
      <c r="K34" s="190">
        <f t="shared" si="0"/>
        <v>0.40999688257340583</v>
      </c>
      <c r="L34" s="190">
        <f t="shared" si="0"/>
        <v>0.40999688257340583</v>
      </c>
      <c r="M34" s="190">
        <f t="shared" si="0"/>
        <v>0.40999688257340583</v>
      </c>
      <c r="N34" s="190">
        <f t="shared" si="0"/>
        <v>0.40999688257340583</v>
      </c>
      <c r="O34" s="190">
        <f t="shared" si="0"/>
        <v>0</v>
      </c>
      <c r="P34" s="190">
        <f t="shared" si="0"/>
        <v>0</v>
      </c>
      <c r="Q34" s="190">
        <f t="shared" si="0"/>
        <v>0.40999688257340583</v>
      </c>
      <c r="R34" s="190">
        <f t="shared" si="0"/>
        <v>0</v>
      </c>
      <c r="S34" s="190">
        <f t="shared" si="0"/>
        <v>0</v>
      </c>
      <c r="T34" s="190">
        <f t="shared" si="0"/>
        <v>0</v>
      </c>
      <c r="U34" s="190">
        <f t="shared" si="0"/>
        <v>0</v>
      </c>
      <c r="V34" s="190">
        <f t="shared" si="0"/>
        <v>0</v>
      </c>
      <c r="W34" s="190">
        <f t="shared" si="0"/>
        <v>0</v>
      </c>
      <c r="X34" s="190">
        <f t="shared" si="0"/>
        <v>0</v>
      </c>
      <c r="Y34" s="190">
        <f t="shared" si="0"/>
        <v>0</v>
      </c>
      <c r="AQ34" s="3"/>
    </row>
    <row r="35" spans="4:43" x14ac:dyDescent="0.25">
      <c r="F35" s="94" t="s">
        <v>387</v>
      </c>
      <c r="G35" s="94" t="s">
        <v>165</v>
      </c>
      <c r="J35" s="190">
        <f t="shared" ref="J35:Y35" si="1">SUMPRODUCT(J31:J33,$H$23:$H$25)</f>
        <v>0.60376444392351947</v>
      </c>
      <c r="K35" s="190">
        <f t="shared" si="1"/>
        <v>0.60376444392351947</v>
      </c>
      <c r="L35" s="190">
        <f t="shared" si="1"/>
        <v>0.60376444392351947</v>
      </c>
      <c r="M35" s="190">
        <f t="shared" si="1"/>
        <v>0.60376444392351947</v>
      </c>
      <c r="N35" s="190">
        <f t="shared" si="1"/>
        <v>0.60376444392351947</v>
      </c>
      <c r="O35" s="190">
        <f t="shared" si="1"/>
        <v>0.32468019364035799</v>
      </c>
      <c r="P35" s="190">
        <f t="shared" si="1"/>
        <v>0.16961170739746073</v>
      </c>
      <c r="Q35" s="190">
        <f t="shared" si="1"/>
        <v>0.60376444392351947</v>
      </c>
      <c r="R35" s="190">
        <f t="shared" si="1"/>
        <v>0</v>
      </c>
      <c r="S35" s="190">
        <f t="shared" si="1"/>
        <v>0</v>
      </c>
      <c r="T35" s="190">
        <f t="shared" si="1"/>
        <v>0</v>
      </c>
      <c r="U35" s="190">
        <f t="shared" si="1"/>
        <v>0</v>
      </c>
      <c r="V35" s="190">
        <f t="shared" si="1"/>
        <v>0</v>
      </c>
      <c r="W35" s="190">
        <f t="shared" si="1"/>
        <v>0</v>
      </c>
      <c r="X35" s="190">
        <f t="shared" si="1"/>
        <v>0</v>
      </c>
      <c r="Y35" s="190">
        <f t="shared" si="1"/>
        <v>0</v>
      </c>
      <c r="AQ35" s="3"/>
    </row>
    <row r="36" spans="4:43" x14ac:dyDescent="0.25">
      <c r="D36" s="75"/>
      <c r="AQ36" s="3"/>
    </row>
    <row r="37" spans="4:43" x14ac:dyDescent="0.25">
      <c r="E37" s="75" t="s">
        <v>388</v>
      </c>
      <c r="I37" t="s">
        <v>152</v>
      </c>
      <c r="AA37" t="s">
        <v>383</v>
      </c>
      <c r="AQ37" s="3"/>
    </row>
    <row r="38" spans="4:43" x14ac:dyDescent="0.25">
      <c r="E38" s="86" t="s">
        <v>389</v>
      </c>
    </row>
    <row r="39" spans="4:43" x14ac:dyDescent="0.25">
      <c r="F39" s="94" t="s">
        <v>390</v>
      </c>
      <c r="G39" s="94" t="s">
        <v>207</v>
      </c>
      <c r="J39" s="191" t="b">
        <f>'Fixed inputs'!J106</f>
        <v>0</v>
      </c>
      <c r="K39" s="191" t="b">
        <f>'Fixed inputs'!K106</f>
        <v>0</v>
      </c>
      <c r="L39" s="191" t="b">
        <f>'Fixed inputs'!L106</f>
        <v>0</v>
      </c>
      <c r="M39" s="191" t="b">
        <f>'Fixed inputs'!M106</f>
        <v>0</v>
      </c>
      <c r="N39" s="191" t="b">
        <f>'Fixed inputs'!N106</f>
        <v>0</v>
      </c>
      <c r="O39" s="191" t="b">
        <f>'Fixed inputs'!O106</f>
        <v>0</v>
      </c>
      <c r="P39" s="191" t="b">
        <f>'Fixed inputs'!P106</f>
        <v>0</v>
      </c>
      <c r="Q39" s="191" t="b">
        <f>'Fixed inputs'!Q106</f>
        <v>0</v>
      </c>
      <c r="R39" s="191" t="b">
        <f>'Fixed inputs'!R106</f>
        <v>1</v>
      </c>
      <c r="S39" s="191" t="b">
        <f>'Fixed inputs'!S106</f>
        <v>1</v>
      </c>
      <c r="T39" s="191" t="b">
        <f>'Fixed inputs'!T106</f>
        <v>1</v>
      </c>
      <c r="U39" s="191" t="b">
        <f>'Fixed inputs'!U106</f>
        <v>1</v>
      </c>
      <c r="V39" s="191" t="b">
        <f>'Fixed inputs'!V106</f>
        <v>1</v>
      </c>
      <c r="W39" s="191" t="b">
        <f>'Fixed inputs'!W106</f>
        <v>1</v>
      </c>
      <c r="X39" s="191" t="b">
        <f>'Fixed inputs'!X106</f>
        <v>1</v>
      </c>
      <c r="Y39" s="191" t="b">
        <f>'Fixed inputs'!Y106</f>
        <v>1</v>
      </c>
      <c r="AQ39" s="3"/>
    </row>
    <row r="40" spans="4:43" x14ac:dyDescent="0.25">
      <c r="F40" s="94" t="s">
        <v>391</v>
      </c>
      <c r="G40" s="94" t="s">
        <v>207</v>
      </c>
      <c r="J40" s="191" t="b">
        <f>'Fixed inputs'!J110</f>
        <v>0</v>
      </c>
      <c r="K40" s="191" t="b">
        <f>'Fixed inputs'!K110</f>
        <v>0</v>
      </c>
      <c r="L40" s="191" t="b">
        <f>'Fixed inputs'!L110</f>
        <v>0</v>
      </c>
      <c r="M40" s="191" t="b">
        <f>'Fixed inputs'!M110</f>
        <v>0</v>
      </c>
      <c r="N40" s="191" t="b">
        <f>'Fixed inputs'!N110</f>
        <v>0</v>
      </c>
      <c r="O40" s="191" t="b">
        <f>'Fixed inputs'!O110</f>
        <v>0</v>
      </c>
      <c r="P40" s="191" t="b">
        <f>'Fixed inputs'!P110</f>
        <v>0</v>
      </c>
      <c r="Q40" s="191" t="b">
        <f>'Fixed inputs'!Q110</f>
        <v>0</v>
      </c>
      <c r="R40" s="191" t="b">
        <f>'Fixed inputs'!R110</f>
        <v>1</v>
      </c>
      <c r="S40" s="191" t="b">
        <f>'Fixed inputs'!S110</f>
        <v>1</v>
      </c>
      <c r="T40" s="191" t="b">
        <f>'Fixed inputs'!T110</f>
        <v>1</v>
      </c>
      <c r="U40" s="191" t="b">
        <f>'Fixed inputs'!U110</f>
        <v>1</v>
      </c>
      <c r="V40" s="191" t="b">
        <f>'Fixed inputs'!V110</f>
        <v>1</v>
      </c>
      <c r="W40" s="191" t="b">
        <f>'Fixed inputs'!W110</f>
        <v>1</v>
      </c>
      <c r="X40" s="191" t="b">
        <f>'Fixed inputs'!X110</f>
        <v>1</v>
      </c>
      <c r="Y40" s="191" t="b">
        <f>'Fixed inputs'!Y110</f>
        <v>1</v>
      </c>
      <c r="AQ40" s="3"/>
    </row>
    <row r="41" spans="4:43" x14ac:dyDescent="0.25">
      <c r="F41" s="94" t="s">
        <v>392</v>
      </c>
      <c r="G41" s="94" t="s">
        <v>207</v>
      </c>
      <c r="J41" s="191" t="b">
        <f>'Fixed inputs'!J114</f>
        <v>0</v>
      </c>
      <c r="K41" s="191" t="b">
        <f>'Fixed inputs'!K114</f>
        <v>0</v>
      </c>
      <c r="L41" s="191" t="b">
        <f>'Fixed inputs'!L114</f>
        <v>0</v>
      </c>
      <c r="M41" s="191" t="b">
        <f>'Fixed inputs'!M114</f>
        <v>0</v>
      </c>
      <c r="N41" s="191" t="b">
        <f>'Fixed inputs'!N114</f>
        <v>0</v>
      </c>
      <c r="O41" s="191" t="b">
        <f>'Fixed inputs'!O114</f>
        <v>0</v>
      </c>
      <c r="P41" s="191" t="b">
        <f>'Fixed inputs'!P114</f>
        <v>0</v>
      </c>
      <c r="Q41" s="191" t="b">
        <f>'Fixed inputs'!Q114</f>
        <v>0</v>
      </c>
      <c r="R41" s="191" t="b">
        <f>'Fixed inputs'!R114</f>
        <v>1</v>
      </c>
      <c r="S41" s="191" t="b">
        <f>'Fixed inputs'!S114</f>
        <v>1</v>
      </c>
      <c r="T41" s="191" t="b">
        <f>'Fixed inputs'!T114</f>
        <v>1</v>
      </c>
      <c r="U41" s="191" t="b">
        <f>'Fixed inputs'!U114</f>
        <v>1</v>
      </c>
      <c r="V41" s="191" t="b">
        <f>'Fixed inputs'!V114</f>
        <v>1</v>
      </c>
      <c r="W41" s="191" t="b">
        <f>'Fixed inputs'!W114</f>
        <v>1</v>
      </c>
      <c r="X41" s="191" t="b">
        <f>'Fixed inputs'!X114</f>
        <v>1</v>
      </c>
      <c r="Y41" s="191" t="b">
        <f>'Fixed inputs'!Y114</f>
        <v>1</v>
      </c>
      <c r="AQ41" s="3"/>
    </row>
    <row r="42" spans="4:43" x14ac:dyDescent="0.25">
      <c r="F42" s="94" t="s">
        <v>393</v>
      </c>
      <c r="G42" s="94" t="s">
        <v>207</v>
      </c>
      <c r="J42" s="191" t="b">
        <f>'Fixed inputs'!J118</f>
        <v>0</v>
      </c>
      <c r="K42" s="191" t="b">
        <f>'Fixed inputs'!K118</f>
        <v>0</v>
      </c>
      <c r="L42" s="191" t="b">
        <f>'Fixed inputs'!L118</f>
        <v>0</v>
      </c>
      <c r="M42" s="191" t="b">
        <f>'Fixed inputs'!M118</f>
        <v>0</v>
      </c>
      <c r="N42" s="191" t="b">
        <f>'Fixed inputs'!N118</f>
        <v>0</v>
      </c>
      <c r="O42" s="191" t="b">
        <f>'Fixed inputs'!O118</f>
        <v>0</v>
      </c>
      <c r="P42" s="191" t="b">
        <f>'Fixed inputs'!P118</f>
        <v>0</v>
      </c>
      <c r="Q42" s="191" t="b">
        <f>'Fixed inputs'!Q118</f>
        <v>0</v>
      </c>
      <c r="R42" s="191" t="b">
        <f>'Fixed inputs'!R118</f>
        <v>1</v>
      </c>
      <c r="S42" s="191" t="b">
        <f>'Fixed inputs'!S118</f>
        <v>1</v>
      </c>
      <c r="T42" s="191" t="b">
        <f>'Fixed inputs'!T118</f>
        <v>1</v>
      </c>
      <c r="U42" s="191" t="b">
        <f>'Fixed inputs'!U118</f>
        <v>1</v>
      </c>
      <c r="V42" s="191" t="b">
        <f>'Fixed inputs'!V118</f>
        <v>1</v>
      </c>
      <c r="W42" s="191" t="b">
        <f>'Fixed inputs'!W118</f>
        <v>1</v>
      </c>
      <c r="X42" s="191" t="b">
        <f>'Fixed inputs'!X118</f>
        <v>1</v>
      </c>
      <c r="Y42" s="191" t="b">
        <f>'Fixed inputs'!Y118</f>
        <v>1</v>
      </c>
      <c r="AQ42" s="3"/>
    </row>
    <row r="43" spans="4:43" x14ac:dyDescent="0.25">
      <c r="F43" s="94" t="s">
        <v>394</v>
      </c>
      <c r="G43" s="94" t="s">
        <v>207</v>
      </c>
      <c r="J43" s="191" t="b">
        <f>'Fixed inputs'!J122</f>
        <v>0</v>
      </c>
      <c r="K43" s="191" t="b">
        <f>'Fixed inputs'!K122</f>
        <v>0</v>
      </c>
      <c r="L43" s="191" t="b">
        <f>'Fixed inputs'!L122</f>
        <v>0</v>
      </c>
      <c r="M43" s="191" t="b">
        <f>'Fixed inputs'!M122</f>
        <v>0</v>
      </c>
      <c r="N43" s="191" t="b">
        <f>'Fixed inputs'!N122</f>
        <v>0</v>
      </c>
      <c r="O43" s="191" t="b">
        <f>'Fixed inputs'!O122</f>
        <v>0</v>
      </c>
      <c r="P43" s="191" t="b">
        <f>'Fixed inputs'!P122</f>
        <v>0</v>
      </c>
      <c r="Q43" s="191" t="b">
        <f>'Fixed inputs'!Q122</f>
        <v>0</v>
      </c>
      <c r="R43" s="191" t="b">
        <f>'Fixed inputs'!R122</f>
        <v>1</v>
      </c>
      <c r="S43" s="191" t="b">
        <f>'Fixed inputs'!S122</f>
        <v>1</v>
      </c>
      <c r="T43" s="191" t="b">
        <f>'Fixed inputs'!T122</f>
        <v>1</v>
      </c>
      <c r="U43" s="191" t="b">
        <f>'Fixed inputs'!U122</f>
        <v>1</v>
      </c>
      <c r="V43" s="191" t="b">
        <f>'Fixed inputs'!V122</f>
        <v>1</v>
      </c>
      <c r="W43" s="191" t="b">
        <f>'Fixed inputs'!W122</f>
        <v>1</v>
      </c>
      <c r="X43" s="191" t="b">
        <f>'Fixed inputs'!X122</f>
        <v>1</v>
      </c>
      <c r="Y43" s="191" t="b">
        <f>'Fixed inputs'!Y122</f>
        <v>1</v>
      </c>
      <c r="AQ43" s="3"/>
    </row>
    <row r="44" spans="4:43" x14ac:dyDescent="0.25">
      <c r="D44" s="75"/>
      <c r="AQ44" s="3"/>
    </row>
    <row r="45" spans="4:43" x14ac:dyDescent="0.25">
      <c r="F45" s="94" t="s">
        <v>395</v>
      </c>
      <c r="G45" s="94" t="s">
        <v>165</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25">
      <c r="F46" s="94" t="s">
        <v>396</v>
      </c>
      <c r="G46" s="94" t="s">
        <v>165</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25">
      <c r="F47" s="94" t="s">
        <v>397</v>
      </c>
      <c r="G47" s="94" t="s">
        <v>165</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25">
      <c r="F48" s="94" t="s">
        <v>398</v>
      </c>
      <c r="G48" s="94" t="s">
        <v>165</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25">
      <c r="F49" s="94" t="s">
        <v>399</v>
      </c>
      <c r="G49" s="94" t="s">
        <v>165</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25">
      <c r="C50" s="75"/>
      <c r="AQ50" s="3"/>
    </row>
    <row r="51" spans="2:43" x14ac:dyDescent="0.25">
      <c r="B51" s="85" t="s">
        <v>400</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25">
      <c r="C52" s="75"/>
      <c r="AQ52" s="3"/>
    </row>
    <row r="53" spans="2:43" x14ac:dyDescent="0.2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25">
      <c r="C54" s="86"/>
      <c r="AQ54" s="3"/>
    </row>
    <row r="55" spans="2:43" x14ac:dyDescent="0.25">
      <c r="C55" s="86"/>
      <c r="D55" s="86" t="s">
        <v>905</v>
      </c>
      <c r="AQ55" s="3"/>
    </row>
    <row r="56" spans="2:43" x14ac:dyDescent="0.25">
      <c r="C56" s="86"/>
      <c r="AQ56" s="3"/>
    </row>
    <row r="57" spans="2:43" x14ac:dyDescent="0.25">
      <c r="C57" s="86"/>
      <c r="E57" s="75" t="s">
        <v>856</v>
      </c>
      <c r="G57" s="61"/>
      <c r="I57" t="s">
        <v>152</v>
      </c>
      <c r="AQ57" s="3"/>
    </row>
    <row r="58" spans="2:43" x14ac:dyDescent="0.25">
      <c r="C58" s="86"/>
      <c r="E58" s="75"/>
      <c r="F58" s="116" t="s">
        <v>245</v>
      </c>
      <c r="G58" s="116" t="s">
        <v>205</v>
      </c>
      <c r="H58" s="95"/>
      <c r="I58" s="95"/>
      <c r="J58" s="117"/>
      <c r="K58" s="170">
        <f>'Inputs by customer type'!K23</f>
        <v>715.06892412151399</v>
      </c>
      <c r="L58" s="170">
        <f>'Inputs by customer type'!L23</f>
        <v>7.696930981475953</v>
      </c>
      <c r="M58" s="170">
        <f>'Inputs by customer type'!M23</f>
        <v>198.0273246193633</v>
      </c>
      <c r="N58" s="170">
        <f>'Inputs by customer type'!N23</f>
        <v>13.447644288179097</v>
      </c>
      <c r="O58" s="170">
        <f>'Inputs by customer type'!O23</f>
        <v>2.5664192228811378</v>
      </c>
      <c r="P58" s="170">
        <f>'Inputs by customer type'!P23</f>
        <v>242.40888698105309</v>
      </c>
      <c r="Q58" s="117"/>
      <c r="R58" s="170">
        <f>'Inputs by customer type'!R23</f>
        <v>6599.1284284156445</v>
      </c>
      <c r="S58" s="170">
        <f>'Inputs by customer type'!S23</f>
        <v>0</v>
      </c>
      <c r="T58" s="170">
        <f>'Inputs by customer type'!T23</f>
        <v>4225.230599999999</v>
      </c>
      <c r="U58" s="170">
        <f>'Inputs by customer type'!U23</f>
        <v>0</v>
      </c>
      <c r="V58" s="170">
        <f>'Inputs by customer type'!V23</f>
        <v>235.35749999999996</v>
      </c>
      <c r="W58" s="170">
        <f>'Inputs by customer type'!W23</f>
        <v>0</v>
      </c>
      <c r="X58" s="170">
        <f>'Inputs by customer type'!X23</f>
        <v>112429.61859999999</v>
      </c>
      <c r="Y58" s="170">
        <f>'Inputs by customer type'!Y23</f>
        <v>0</v>
      </c>
      <c r="AQ58" s="3"/>
    </row>
    <row r="59" spans="2:43" x14ac:dyDescent="0.25">
      <c r="E59" s="75"/>
      <c r="F59" s="118" t="s">
        <v>246</v>
      </c>
      <c r="G59" s="118" t="s">
        <v>205</v>
      </c>
      <c r="J59" s="126"/>
      <c r="K59" s="192">
        <f>'Inputs by customer type'!K24</f>
        <v>4081.6408178065876</v>
      </c>
      <c r="L59" s="192">
        <f>'Inputs by customer type'!L24</f>
        <v>25.332240503208126</v>
      </c>
      <c r="M59" s="192">
        <f>'Inputs by customer type'!M24</f>
        <v>646.70434049451774</v>
      </c>
      <c r="N59" s="192">
        <f>'Inputs by customer type'!N24</f>
        <v>40.520219497595626</v>
      </c>
      <c r="O59" s="192">
        <f>'Inputs by customer type'!O24</f>
        <v>11.002529471759216</v>
      </c>
      <c r="P59" s="192">
        <f>'Inputs by customer type'!P24</f>
        <v>1161.2830145445171</v>
      </c>
      <c r="Q59" s="126"/>
      <c r="R59" s="192">
        <f>'Inputs by customer type'!R24</f>
        <v>28720.756111830458</v>
      </c>
      <c r="S59" s="192">
        <f>'Inputs by customer type'!S24</f>
        <v>0</v>
      </c>
      <c r="T59" s="192">
        <f>'Inputs by customer type'!T24</f>
        <v>14462.468000000003</v>
      </c>
      <c r="U59" s="192">
        <f>'Inputs by customer type'!U24</f>
        <v>0</v>
      </c>
      <c r="V59" s="192">
        <f>'Inputs by customer type'!V24</f>
        <v>947.41909999999996</v>
      </c>
      <c r="W59" s="192">
        <f>'Inputs by customer type'!W24</f>
        <v>0</v>
      </c>
      <c r="X59" s="192">
        <f>'Inputs by customer type'!X24</f>
        <v>305558.88569999998</v>
      </c>
      <c r="Y59" s="192">
        <f>'Inputs by customer type'!Y24</f>
        <v>0</v>
      </c>
      <c r="AQ59" s="3"/>
    </row>
    <row r="60" spans="2:43" x14ac:dyDescent="0.25">
      <c r="E60" s="75"/>
      <c r="F60" s="118" t="s">
        <v>247</v>
      </c>
      <c r="G60" s="118" t="s">
        <v>205</v>
      </c>
      <c r="J60" s="126"/>
      <c r="K60" s="192">
        <f>'Inputs by customer type'!K25</f>
        <v>17683.252822043934</v>
      </c>
      <c r="L60" s="192">
        <f>'Inputs by customer type'!L25</f>
        <v>39.923331593029232</v>
      </c>
      <c r="M60" s="192">
        <f>'Inputs by customer type'!M25</f>
        <v>3204.1147499679787</v>
      </c>
      <c r="N60" s="192">
        <f>'Inputs by customer type'!N25</f>
        <v>70.471131041730487</v>
      </c>
      <c r="O60" s="192">
        <f>'Inputs by customer type'!O25</f>
        <v>11.361295850310261</v>
      </c>
      <c r="P60" s="192">
        <f>'Inputs by customer type'!P25</f>
        <v>2208.6032563465164</v>
      </c>
      <c r="Q60" s="126"/>
      <c r="R60" s="192">
        <f>'Inputs by customer type'!R25</f>
        <v>17040.400238646263</v>
      </c>
      <c r="S60" s="192">
        <f>'Inputs by customer type'!S25</f>
        <v>0</v>
      </c>
      <c r="T60" s="192">
        <f>'Inputs by customer type'!T25</f>
        <v>21962.315499999997</v>
      </c>
      <c r="U60" s="192">
        <f>'Inputs by customer type'!U25</f>
        <v>0</v>
      </c>
      <c r="V60" s="192">
        <f>'Inputs by customer type'!V25</f>
        <v>1266.3393000000001</v>
      </c>
      <c r="W60" s="192">
        <f>'Inputs by customer type'!W25</f>
        <v>0</v>
      </c>
      <c r="X60" s="192">
        <f>'Inputs by customer type'!X25</f>
        <v>457934.66330000001</v>
      </c>
      <c r="Y60" s="192">
        <f>'Inputs by customer type'!Y25</f>
        <v>0</v>
      </c>
      <c r="AQ60" s="3"/>
    </row>
    <row r="61" spans="2:43" x14ac:dyDescent="0.25">
      <c r="E61" s="75"/>
      <c r="F61" s="118" t="s">
        <v>210</v>
      </c>
      <c r="G61" s="118" t="s">
        <v>210</v>
      </c>
      <c r="J61" s="126"/>
      <c r="K61" s="192">
        <f>'Inputs by customer type'!K26</f>
        <v>7577.1293347193641</v>
      </c>
      <c r="L61" s="192">
        <f>'Inputs by customer type'!L26</f>
        <v>9.9596740630511906</v>
      </c>
      <c r="M61" s="192">
        <f>'Inputs by customer type'!M26</f>
        <v>589.96666666666681</v>
      </c>
      <c r="N61" s="192">
        <f>'Inputs by customer type'!N26</f>
        <v>14.217631648321902</v>
      </c>
      <c r="O61" s="192">
        <f>'Inputs by customer type'!O26</f>
        <v>1.1300558635282172</v>
      </c>
      <c r="P61" s="192">
        <f>'Inputs by customer type'!P26</f>
        <v>79.202625039218034</v>
      </c>
      <c r="Q61" s="126"/>
      <c r="R61" s="192">
        <f>'Inputs by customer type'!R26</f>
        <v>24062.24357489097</v>
      </c>
      <c r="S61" s="192">
        <f>'Inputs by customer type'!S26</f>
        <v>0</v>
      </c>
      <c r="T61" s="192">
        <f>'Inputs by customer type'!T26</f>
        <v>372</v>
      </c>
      <c r="U61" s="192">
        <f>'Inputs by customer type'!U26</f>
        <v>0</v>
      </c>
      <c r="V61" s="192">
        <f>'Inputs by customer type'!V26</f>
        <v>36</v>
      </c>
      <c r="W61" s="192">
        <f>'Inputs by customer type'!W26</f>
        <v>0</v>
      </c>
      <c r="X61" s="192">
        <f>'Inputs by customer type'!X26</f>
        <v>176</v>
      </c>
      <c r="Y61" s="192">
        <f>'Inputs by customer type'!Y26</f>
        <v>0</v>
      </c>
      <c r="AQ61" s="3"/>
    </row>
    <row r="62" spans="2:43" x14ac:dyDescent="0.25">
      <c r="E62" s="75"/>
      <c r="F62" s="118" t="s">
        <v>248</v>
      </c>
      <c r="G62" s="118" t="s">
        <v>249</v>
      </c>
      <c r="J62" s="126"/>
      <c r="K62" s="192">
        <f>'Inputs by customer type'!K27</f>
        <v>0</v>
      </c>
      <c r="L62" s="192">
        <f>'Inputs by customer type'!L27</f>
        <v>0</v>
      </c>
      <c r="M62" s="192">
        <f>'Inputs by customer type'!M27</f>
        <v>0</v>
      </c>
      <c r="N62" s="192">
        <f>'Inputs by customer type'!N27</f>
        <v>843</v>
      </c>
      <c r="O62" s="192">
        <f>'Inputs by customer type'!O27</f>
        <v>40</v>
      </c>
      <c r="P62" s="192">
        <f>'Inputs by customer type'!P27</f>
        <v>18295</v>
      </c>
      <c r="Q62" s="126"/>
      <c r="R62" s="192">
        <f>'Inputs by customer type'!R27</f>
        <v>0</v>
      </c>
      <c r="S62" s="192">
        <f>'Inputs by customer type'!S27</f>
        <v>0</v>
      </c>
      <c r="T62" s="192">
        <f>'Inputs by customer type'!T27</f>
        <v>0</v>
      </c>
      <c r="U62" s="192">
        <f>'Inputs by customer type'!U27</f>
        <v>0</v>
      </c>
      <c r="V62" s="192">
        <f>'Inputs by customer type'!V27</f>
        <v>0</v>
      </c>
      <c r="W62" s="192">
        <f>'Inputs by customer type'!W27</f>
        <v>0</v>
      </c>
      <c r="X62" s="192">
        <f>'Inputs by customer type'!X27</f>
        <v>0</v>
      </c>
      <c r="Y62" s="192">
        <f>'Inputs by customer type'!Y27</f>
        <v>0</v>
      </c>
      <c r="AQ62" s="3"/>
    </row>
    <row r="63" spans="2:43" x14ac:dyDescent="0.25">
      <c r="E63" s="75"/>
      <c r="F63" s="118" t="s">
        <v>250</v>
      </c>
      <c r="G63" s="118" t="s">
        <v>249</v>
      </c>
      <c r="J63" s="126"/>
      <c r="K63" s="192">
        <f>'Inputs by customer type'!K28</f>
        <v>0</v>
      </c>
      <c r="L63" s="192">
        <f>'Inputs by customer type'!L28</f>
        <v>0</v>
      </c>
      <c r="M63" s="192">
        <f>'Inputs by customer type'!M28</f>
        <v>0</v>
      </c>
      <c r="N63" s="192">
        <f>'Inputs by customer type'!N28</f>
        <v>94.747945205479454</v>
      </c>
      <c r="O63" s="192">
        <f>'Inputs by customer type'!O28</f>
        <v>0</v>
      </c>
      <c r="P63" s="192">
        <f>'Inputs by customer type'!P28</f>
        <v>1900.6575342465753</v>
      </c>
      <c r="Q63" s="126"/>
      <c r="R63" s="192">
        <f>'Inputs by customer type'!R28</f>
        <v>0</v>
      </c>
      <c r="S63" s="192">
        <f>'Inputs by customer type'!S28</f>
        <v>0</v>
      </c>
      <c r="T63" s="192">
        <f>'Inputs by customer type'!T28</f>
        <v>0</v>
      </c>
      <c r="U63" s="192">
        <f>'Inputs by customer type'!U28</f>
        <v>0</v>
      </c>
      <c r="V63" s="192">
        <f>'Inputs by customer type'!V28</f>
        <v>0</v>
      </c>
      <c r="W63" s="192">
        <f>'Inputs by customer type'!W28</f>
        <v>0</v>
      </c>
      <c r="X63" s="192">
        <f>'Inputs by customer type'!X28</f>
        <v>0</v>
      </c>
      <c r="Y63" s="192">
        <f>'Inputs by customer type'!Y28</f>
        <v>0</v>
      </c>
      <c r="AQ63" s="3"/>
    </row>
    <row r="64" spans="2:43" x14ac:dyDescent="0.25">
      <c r="E64" s="75"/>
      <c r="F64" s="120" t="s">
        <v>251</v>
      </c>
      <c r="G64" s="120" t="s">
        <v>252</v>
      </c>
      <c r="H64" s="96"/>
      <c r="I64" s="96"/>
      <c r="J64" s="121"/>
      <c r="K64" s="171">
        <f>'Inputs by customer type'!K29</f>
        <v>0</v>
      </c>
      <c r="L64" s="171">
        <f>'Inputs by customer type'!L29</f>
        <v>0</v>
      </c>
      <c r="M64" s="171">
        <f>'Inputs by customer type'!M29</f>
        <v>0</v>
      </c>
      <c r="N64" s="171">
        <f>'Inputs by customer type'!N29</f>
        <v>81.983999999999995</v>
      </c>
      <c r="O64" s="171">
        <f>'Inputs by customer type'!O29</f>
        <v>0.121</v>
      </c>
      <c r="P64" s="171">
        <f>'Inputs by customer type'!P29</f>
        <v>2734.0590000000002</v>
      </c>
      <c r="Q64" s="121"/>
      <c r="R64" s="171">
        <f>'Inputs by customer type'!R29</f>
        <v>0</v>
      </c>
      <c r="S64" s="171">
        <f>'Inputs by customer type'!S29</f>
        <v>0</v>
      </c>
      <c r="T64" s="171">
        <f>'Inputs by customer type'!T29</f>
        <v>2476.223</v>
      </c>
      <c r="U64" s="171">
        <f>'Inputs by customer type'!U29</f>
        <v>0</v>
      </c>
      <c r="V64" s="171">
        <f>'Inputs by customer type'!V29</f>
        <v>449.26600000000002</v>
      </c>
      <c r="W64" s="171">
        <f>'Inputs by customer type'!W29</f>
        <v>0</v>
      </c>
      <c r="X64" s="171">
        <f>'Inputs by customer type'!X29</f>
        <v>19742.777000000002</v>
      </c>
      <c r="Y64" s="171">
        <f>'Inputs by customer type'!Y29</f>
        <v>0</v>
      </c>
      <c r="AQ64" s="3"/>
    </row>
    <row r="65" spans="3:43" x14ac:dyDescent="0.25">
      <c r="C65" s="86"/>
      <c r="AQ65" s="3"/>
    </row>
    <row r="66" spans="3:43" x14ac:dyDescent="0.25">
      <c r="C66" s="86"/>
      <c r="E66" s="75" t="s">
        <v>890</v>
      </c>
      <c r="G66" s="61"/>
      <c r="I66" t="s">
        <v>152</v>
      </c>
      <c r="AQ66" s="3"/>
    </row>
    <row r="67" spans="3:43" x14ac:dyDescent="0.25">
      <c r="C67" s="86"/>
      <c r="E67" s="75"/>
      <c r="F67" s="116" t="s">
        <v>245</v>
      </c>
      <c r="G67" s="116" t="s">
        <v>205</v>
      </c>
      <c r="H67" s="95"/>
      <c r="I67" s="95"/>
      <c r="J67" s="170">
        <f>'Inputs by customer type'!J32</f>
        <v>579883.72027765436</v>
      </c>
      <c r="K67" s="117"/>
      <c r="L67" s="170">
        <f>'Inputs by customer type'!L32</f>
        <v>12258.078266776743</v>
      </c>
      <c r="M67" s="117"/>
      <c r="N67" s="170">
        <f>'Inputs by customer type'!N32</f>
        <v>52135.324507523284</v>
      </c>
      <c r="O67" s="170">
        <f>'Inputs by customer type'!O32</f>
        <v>202.99214242792689</v>
      </c>
      <c r="P67" s="170">
        <f>'Inputs by customer type'!P32</f>
        <v>12777.289122671493</v>
      </c>
      <c r="Q67" s="170">
        <f>'Inputs by customer type'!Q32</f>
        <v>5937.4754569442684</v>
      </c>
      <c r="R67" s="117"/>
      <c r="S67" s="117"/>
      <c r="T67" s="117"/>
      <c r="U67" s="117"/>
      <c r="V67" s="117"/>
      <c r="W67" s="117"/>
      <c r="X67" s="117"/>
      <c r="Y67" s="117"/>
      <c r="AQ67" s="3"/>
    </row>
    <row r="68" spans="3:43" x14ac:dyDescent="0.25">
      <c r="E68" s="75"/>
      <c r="F68" s="118" t="s">
        <v>246</v>
      </c>
      <c r="G68" s="118" t="s">
        <v>205</v>
      </c>
      <c r="J68" s="192">
        <f>'Inputs by customer type'!J33</f>
        <v>1430655.1045502957</v>
      </c>
      <c r="K68" s="126"/>
      <c r="L68" s="192">
        <f>'Inputs by customer type'!L33</f>
        <v>45535.31819338545</v>
      </c>
      <c r="M68" s="126"/>
      <c r="N68" s="192">
        <f>'Inputs by customer type'!N33</f>
        <v>183989.97677608862</v>
      </c>
      <c r="O68" s="192">
        <f>'Inputs by customer type'!O33</f>
        <v>650.71252434400071</v>
      </c>
      <c r="P68" s="192">
        <f>'Inputs by customer type'!P33</f>
        <v>45197.951800702001</v>
      </c>
      <c r="Q68" s="192">
        <f>'Inputs by customer type'!Q33</f>
        <v>24507.063165733918</v>
      </c>
      <c r="R68" s="126"/>
      <c r="S68" s="126"/>
      <c r="T68" s="126"/>
      <c r="U68" s="126"/>
      <c r="V68" s="126"/>
      <c r="W68" s="126"/>
      <c r="X68" s="126"/>
      <c r="Y68" s="126"/>
      <c r="AQ68" s="3"/>
    </row>
    <row r="69" spans="3:43" x14ac:dyDescent="0.25">
      <c r="E69" s="75"/>
      <c r="F69" s="118" t="s">
        <v>247</v>
      </c>
      <c r="G69" s="118" t="s">
        <v>205</v>
      </c>
      <c r="J69" s="192">
        <f>'Inputs by customer type'!J34</f>
        <v>2144526.879086318</v>
      </c>
      <c r="K69" s="126"/>
      <c r="L69" s="192">
        <f>'Inputs by customer type'!L34</f>
        <v>47280.034446671227</v>
      </c>
      <c r="M69" s="126"/>
      <c r="N69" s="192">
        <f>'Inputs by customer type'!N34</f>
        <v>207554.39368217392</v>
      </c>
      <c r="O69" s="192">
        <f>'Inputs by customer type'!O34</f>
        <v>969.79862163028963</v>
      </c>
      <c r="P69" s="192">
        <f>'Inputs by customer type'!P34</f>
        <v>59499.165019762986</v>
      </c>
      <c r="Q69" s="192">
        <f>'Inputs by customer type'!Q34</f>
        <v>73996.161970165136</v>
      </c>
      <c r="R69" s="126"/>
      <c r="S69" s="126"/>
      <c r="T69" s="126"/>
      <c r="U69" s="126"/>
      <c r="V69" s="126"/>
      <c r="W69" s="126"/>
      <c r="X69" s="126"/>
      <c r="Y69" s="126"/>
      <c r="AQ69" s="3"/>
    </row>
    <row r="70" spans="3:43" x14ac:dyDescent="0.25">
      <c r="E70" s="75"/>
      <c r="F70" s="118" t="s">
        <v>210</v>
      </c>
      <c r="G70" s="118" t="s">
        <v>210</v>
      </c>
      <c r="J70" s="192">
        <f>'Inputs by customer type'!J35</f>
        <v>1493778.5153092039</v>
      </c>
      <c r="K70" s="126"/>
      <c r="L70" s="192">
        <f>'Inputs by customer type'!L35</f>
        <v>37167.77725980278</v>
      </c>
      <c r="M70" s="126"/>
      <c r="N70" s="192">
        <f>'Inputs by customer type'!N35</f>
        <v>5811.9647088104448</v>
      </c>
      <c r="O70" s="192">
        <f>'Inputs by customer type'!O35</f>
        <v>10.170502771753956</v>
      </c>
      <c r="P70" s="192">
        <f>'Inputs by customer type'!P35</f>
        <v>218.31492799271635</v>
      </c>
      <c r="Q70" s="192">
        <f>'Inputs by customer type'!Q35</f>
        <v>915.3</v>
      </c>
      <c r="R70" s="126"/>
      <c r="S70" s="126"/>
      <c r="T70" s="126"/>
      <c r="U70" s="126"/>
      <c r="V70" s="126"/>
      <c r="W70" s="126"/>
      <c r="X70" s="126"/>
      <c r="Y70" s="126"/>
      <c r="AQ70" s="3"/>
    </row>
    <row r="71" spans="3:43" x14ac:dyDescent="0.25">
      <c r="E71" s="75"/>
      <c r="F71" s="118" t="s">
        <v>248</v>
      </c>
      <c r="G71" s="118" t="s">
        <v>249</v>
      </c>
      <c r="J71" s="192">
        <f>'Inputs by customer type'!J36</f>
        <v>0</v>
      </c>
      <c r="K71" s="126"/>
      <c r="L71" s="192">
        <f>'Inputs by customer type'!L36</f>
        <v>0</v>
      </c>
      <c r="M71" s="126"/>
      <c r="N71" s="192">
        <f>'Inputs by customer type'!N36</f>
        <v>254239</v>
      </c>
      <c r="O71" s="192">
        <f>'Inputs by customer type'!O36</f>
        <v>465</v>
      </c>
      <c r="P71" s="192">
        <f>'Inputs by customer type'!P36</f>
        <v>57982</v>
      </c>
      <c r="Q71" s="192">
        <f>'Inputs by customer type'!Q36</f>
        <v>0</v>
      </c>
      <c r="R71" s="126"/>
      <c r="S71" s="126"/>
      <c r="T71" s="126"/>
      <c r="U71" s="126"/>
      <c r="V71" s="126"/>
      <c r="W71" s="126"/>
      <c r="X71" s="126"/>
      <c r="Y71" s="126"/>
      <c r="AQ71" s="3"/>
    </row>
    <row r="72" spans="3:43" x14ac:dyDescent="0.25">
      <c r="E72" s="75"/>
      <c r="F72" s="118" t="s">
        <v>250</v>
      </c>
      <c r="G72" s="118" t="s">
        <v>249</v>
      </c>
      <c r="J72" s="192">
        <f>'Inputs by customer type'!J37</f>
        <v>0</v>
      </c>
      <c r="K72" s="126"/>
      <c r="L72" s="192">
        <f>'Inputs by customer type'!L37</f>
        <v>0</v>
      </c>
      <c r="M72" s="126"/>
      <c r="N72" s="192">
        <f>'Inputs by customer type'!N37</f>
        <v>15271.972602739726</v>
      </c>
      <c r="O72" s="192">
        <f>'Inputs by customer type'!O37</f>
        <v>104.53150684931506</v>
      </c>
      <c r="P72" s="192">
        <f>'Inputs by customer type'!P37</f>
        <v>2483.0904109589042</v>
      </c>
      <c r="Q72" s="192">
        <f>'Inputs by customer type'!Q37</f>
        <v>0</v>
      </c>
      <c r="R72" s="126"/>
      <c r="S72" s="126"/>
      <c r="T72" s="126"/>
      <c r="U72" s="126"/>
      <c r="V72" s="126"/>
      <c r="W72" s="126"/>
      <c r="X72" s="126"/>
      <c r="Y72" s="126"/>
      <c r="AQ72" s="3"/>
    </row>
    <row r="73" spans="3:43" x14ac:dyDescent="0.25">
      <c r="E73" s="75"/>
      <c r="F73" s="120" t="s">
        <v>251</v>
      </c>
      <c r="G73" s="120" t="s">
        <v>252</v>
      </c>
      <c r="H73" s="96"/>
      <c r="I73" s="96"/>
      <c r="J73" s="171">
        <f>'Inputs by customer type'!J38</f>
        <v>0</v>
      </c>
      <c r="K73" s="121"/>
      <c r="L73" s="171">
        <f>'Inputs by customer type'!L38</f>
        <v>0</v>
      </c>
      <c r="M73" s="121"/>
      <c r="N73" s="171">
        <f>'Inputs by customer type'!N38</f>
        <v>30892.314999999999</v>
      </c>
      <c r="O73" s="171">
        <f>'Inputs by customer type'!O38</f>
        <v>114.407</v>
      </c>
      <c r="P73" s="171">
        <f>'Inputs by customer type'!P38</f>
        <v>10425.413</v>
      </c>
      <c r="Q73" s="171">
        <f>'Inputs by customer type'!Q38</f>
        <v>0</v>
      </c>
      <c r="R73" s="121"/>
      <c r="S73" s="121"/>
      <c r="T73" s="121"/>
      <c r="U73" s="121"/>
      <c r="V73" s="121"/>
      <c r="W73" s="121"/>
      <c r="X73" s="121"/>
      <c r="Y73" s="121"/>
      <c r="AQ73" s="3"/>
    </row>
    <row r="74" spans="3:43" x14ac:dyDescent="0.25">
      <c r="AQ74" s="3"/>
    </row>
    <row r="75" spans="3:43" x14ac:dyDescent="0.25">
      <c r="C75" s="86"/>
      <c r="E75" s="75" t="s">
        <v>891</v>
      </c>
      <c r="G75" s="61"/>
      <c r="I75" t="s">
        <v>152</v>
      </c>
      <c r="AQ75" s="3"/>
    </row>
    <row r="76" spans="3:43" x14ac:dyDescent="0.25">
      <c r="C76" s="86"/>
      <c r="E76" s="75"/>
      <c r="F76" s="116" t="s">
        <v>245</v>
      </c>
      <c r="G76" s="116" t="s">
        <v>205</v>
      </c>
      <c r="H76" s="95"/>
      <c r="I76" s="95"/>
      <c r="J76" s="117"/>
      <c r="K76" s="117"/>
      <c r="L76" s="170">
        <f>'Inputs by customer type'!L41</f>
        <v>29158.406938515887</v>
      </c>
      <c r="M76" s="117"/>
      <c r="N76" s="170">
        <f>'Inputs by customer type'!N41</f>
        <v>60095.545827618633</v>
      </c>
      <c r="O76" s="170">
        <f>'Inputs by customer type'!O41</f>
        <v>1236.3318759829881</v>
      </c>
      <c r="P76" s="170">
        <f>'Inputs by customer type'!P41</f>
        <v>46010.796816080023</v>
      </c>
      <c r="Q76" s="117"/>
      <c r="R76" s="117"/>
      <c r="S76" s="117"/>
      <c r="T76" s="117"/>
      <c r="U76" s="117"/>
      <c r="V76" s="117"/>
      <c r="W76" s="117"/>
      <c r="X76" s="117"/>
      <c r="Y76" s="117"/>
      <c r="AQ76" s="3"/>
    </row>
    <row r="77" spans="3:43" x14ac:dyDescent="0.25">
      <c r="E77" s="75"/>
      <c r="F77" s="118" t="s">
        <v>246</v>
      </c>
      <c r="G77" s="118" t="s">
        <v>205</v>
      </c>
      <c r="J77" s="126"/>
      <c r="K77" s="126"/>
      <c r="L77" s="192">
        <f>'Inputs by customer type'!L42</f>
        <v>108813.75209876517</v>
      </c>
      <c r="M77" s="126"/>
      <c r="N77" s="192">
        <f>'Inputs by customer type'!N42</f>
        <v>200290.54233089768</v>
      </c>
      <c r="O77" s="192">
        <f>'Inputs by customer type'!O42</f>
        <v>3959.9119770152979</v>
      </c>
      <c r="P77" s="192">
        <f>'Inputs by customer type'!P42</f>
        <v>152757.53879532445</v>
      </c>
      <c r="Q77" s="126"/>
      <c r="R77" s="126"/>
      <c r="S77" s="126"/>
      <c r="T77" s="126"/>
      <c r="U77" s="126"/>
      <c r="V77" s="126"/>
      <c r="W77" s="126"/>
      <c r="X77" s="126"/>
      <c r="Y77" s="126"/>
      <c r="AQ77" s="3"/>
    </row>
    <row r="78" spans="3:43" x14ac:dyDescent="0.25">
      <c r="E78" s="75"/>
      <c r="F78" s="118" t="s">
        <v>247</v>
      </c>
      <c r="G78" s="118" t="s">
        <v>205</v>
      </c>
      <c r="J78" s="126"/>
      <c r="K78" s="126"/>
      <c r="L78" s="192">
        <f>'Inputs by customer type'!L43</f>
        <v>112611.67120953253</v>
      </c>
      <c r="M78" s="126"/>
      <c r="N78" s="192">
        <f>'Inputs by customer type'!N43</f>
        <v>234321.50176221589</v>
      </c>
      <c r="O78" s="192">
        <f>'Inputs by customer type'!O43</f>
        <v>5536.7329464132736</v>
      </c>
      <c r="P78" s="192">
        <f>'Inputs by customer type'!P43</f>
        <v>209436.08229326349</v>
      </c>
      <c r="Q78" s="126"/>
      <c r="R78" s="126"/>
      <c r="S78" s="126"/>
      <c r="T78" s="126"/>
      <c r="U78" s="126"/>
      <c r="V78" s="126"/>
      <c r="W78" s="126"/>
      <c r="X78" s="126"/>
      <c r="Y78" s="126"/>
      <c r="AQ78" s="3"/>
    </row>
    <row r="79" spans="3:43" x14ac:dyDescent="0.25">
      <c r="E79" s="75"/>
      <c r="F79" s="118" t="s">
        <v>210</v>
      </c>
      <c r="G79" s="118" t="s">
        <v>210</v>
      </c>
      <c r="J79" s="126"/>
      <c r="K79" s="126"/>
      <c r="L79" s="192">
        <f>'Inputs by customer type'!L44</f>
        <v>31815.382020491983</v>
      </c>
      <c r="M79" s="126"/>
      <c r="N79" s="192">
        <f>'Inputs by customer type'!N44</f>
        <v>2997.8891875604468</v>
      </c>
      <c r="O79" s="192">
        <f>'Inputs by customer type'!O44</f>
        <v>33.90167590584651</v>
      </c>
      <c r="P79" s="192">
        <f>'Inputs by customer type'!P44</f>
        <v>282.28627898593101</v>
      </c>
      <c r="Q79" s="126"/>
      <c r="R79" s="126"/>
      <c r="S79" s="126"/>
      <c r="T79" s="126"/>
      <c r="U79" s="126"/>
      <c r="V79" s="126"/>
      <c r="W79" s="126"/>
      <c r="X79" s="126"/>
      <c r="Y79" s="126"/>
      <c r="AQ79" s="3"/>
    </row>
    <row r="80" spans="3:43" x14ac:dyDescent="0.25">
      <c r="E80" s="75"/>
      <c r="F80" s="118" t="s">
        <v>248</v>
      </c>
      <c r="G80" s="118" t="s">
        <v>249</v>
      </c>
      <c r="J80" s="126"/>
      <c r="K80" s="126"/>
      <c r="L80" s="192">
        <f>'Inputs by customer type'!L45</f>
        <v>0</v>
      </c>
      <c r="M80" s="126"/>
      <c r="N80" s="192">
        <f>'Inputs by customer type'!N45</f>
        <v>338005</v>
      </c>
      <c r="O80" s="192">
        <f>'Inputs by customer type'!O45</f>
        <v>4520</v>
      </c>
      <c r="P80" s="192">
        <f>'Inputs by customer type'!P45</f>
        <v>196857</v>
      </c>
      <c r="Q80" s="126"/>
      <c r="R80" s="126"/>
      <c r="S80" s="126"/>
      <c r="T80" s="126"/>
      <c r="U80" s="126"/>
      <c r="V80" s="126"/>
      <c r="W80" s="126"/>
      <c r="X80" s="126"/>
      <c r="Y80" s="126"/>
      <c r="AQ80" s="3"/>
    </row>
    <row r="81" spans="3:43" x14ac:dyDescent="0.25">
      <c r="E81" s="75"/>
      <c r="F81" s="118" t="s">
        <v>250</v>
      </c>
      <c r="G81" s="118" t="s">
        <v>249</v>
      </c>
      <c r="J81" s="126"/>
      <c r="K81" s="126"/>
      <c r="L81" s="192">
        <f>'Inputs by customer type'!L46</f>
        <v>0</v>
      </c>
      <c r="M81" s="126"/>
      <c r="N81" s="192">
        <f>'Inputs by customer type'!N46</f>
        <v>3904.3616438356166</v>
      </c>
      <c r="O81" s="192">
        <f>'Inputs by customer type'!O46</f>
        <v>66.739726027397253</v>
      </c>
      <c r="P81" s="192">
        <f>'Inputs by customer type'!P46</f>
        <v>2999.0904109589042</v>
      </c>
      <c r="Q81" s="126"/>
      <c r="R81" s="126"/>
      <c r="S81" s="126"/>
      <c r="T81" s="126"/>
      <c r="U81" s="126"/>
      <c r="V81" s="126"/>
      <c r="W81" s="126"/>
      <c r="X81" s="126"/>
      <c r="Y81" s="126"/>
      <c r="AQ81" s="3"/>
    </row>
    <row r="82" spans="3:43" x14ac:dyDescent="0.25">
      <c r="E82" s="75"/>
      <c r="F82" s="120" t="s">
        <v>251</v>
      </c>
      <c r="G82" s="120" t="s">
        <v>252</v>
      </c>
      <c r="H82" s="96"/>
      <c r="I82" s="96"/>
      <c r="J82" s="121"/>
      <c r="K82" s="121"/>
      <c r="L82" s="171">
        <f>'Inputs by customer type'!L47</f>
        <v>0</v>
      </c>
      <c r="M82" s="121"/>
      <c r="N82" s="171">
        <f>'Inputs by customer type'!N47</f>
        <v>37540.389000000003</v>
      </c>
      <c r="O82" s="171">
        <f>'Inputs by customer type'!O47</f>
        <v>856.41800000000001</v>
      </c>
      <c r="P82" s="171">
        <f>'Inputs by customer type'!P47</f>
        <v>29969.406999999999</v>
      </c>
      <c r="Q82" s="121"/>
      <c r="R82" s="121"/>
      <c r="S82" s="121"/>
      <c r="T82" s="121"/>
      <c r="U82" s="121"/>
      <c r="V82" s="121"/>
      <c r="W82" s="121"/>
      <c r="X82" s="121"/>
      <c r="Y82" s="121"/>
      <c r="AQ82" s="3"/>
    </row>
    <row r="83" spans="3:43" x14ac:dyDescent="0.25">
      <c r="AQ83" s="3"/>
    </row>
    <row r="84" spans="3:43" x14ac:dyDescent="0.25">
      <c r="C84" s="86"/>
      <c r="E84" s="75" t="s">
        <v>892</v>
      </c>
      <c r="G84" s="61"/>
      <c r="I84" t="s">
        <v>152</v>
      </c>
      <c r="AQ84" s="3"/>
    </row>
    <row r="85" spans="3:43" x14ac:dyDescent="0.25">
      <c r="C85" s="86"/>
      <c r="E85" s="75"/>
      <c r="F85" s="116" t="s">
        <v>245</v>
      </c>
      <c r="G85" s="116" t="s">
        <v>205</v>
      </c>
      <c r="H85" s="95"/>
      <c r="I85" s="95"/>
      <c r="J85" s="117"/>
      <c r="K85" s="117"/>
      <c r="L85" s="170">
        <f>'Inputs by customer type'!L50</f>
        <v>28526.128746387698</v>
      </c>
      <c r="M85" s="117"/>
      <c r="N85" s="170">
        <f>'Inputs by customer type'!N50</f>
        <v>36828.972836163521</v>
      </c>
      <c r="O85" s="170">
        <f>'Inputs by customer type'!O50</f>
        <v>3823.8592014583974</v>
      </c>
      <c r="P85" s="170">
        <f>'Inputs by customer type'!P50</f>
        <v>41091.386751278791</v>
      </c>
      <c r="Q85" s="117"/>
      <c r="R85" s="117"/>
      <c r="S85" s="117"/>
      <c r="T85" s="117"/>
      <c r="U85" s="117"/>
      <c r="V85" s="117"/>
      <c r="W85" s="117"/>
      <c r="X85" s="117"/>
      <c r="Y85" s="117"/>
      <c r="AQ85" s="3"/>
    </row>
    <row r="86" spans="3:43" x14ac:dyDescent="0.25">
      <c r="E86" s="75"/>
      <c r="F86" s="118" t="s">
        <v>246</v>
      </c>
      <c r="G86" s="118" t="s">
        <v>205</v>
      </c>
      <c r="J86" s="126"/>
      <c r="K86" s="126"/>
      <c r="L86" s="192">
        <f>'Inputs by customer type'!L51</f>
        <v>105525.67882863466</v>
      </c>
      <c r="M86" s="126"/>
      <c r="N86" s="192">
        <f>'Inputs by customer type'!N51</f>
        <v>127169.13986490383</v>
      </c>
      <c r="O86" s="192">
        <f>'Inputs by customer type'!O51</f>
        <v>12247.597024042267</v>
      </c>
      <c r="P86" s="192">
        <f>'Inputs by customer type'!P51</f>
        <v>134647.25017921132</v>
      </c>
      <c r="Q86" s="126"/>
      <c r="R86" s="126"/>
      <c r="S86" s="126"/>
      <c r="T86" s="126"/>
      <c r="U86" s="126"/>
      <c r="V86" s="126"/>
      <c r="W86" s="126"/>
      <c r="X86" s="126"/>
      <c r="Y86" s="126"/>
      <c r="AQ86" s="3"/>
    </row>
    <row r="87" spans="3:43" x14ac:dyDescent="0.25">
      <c r="E87" s="75"/>
      <c r="F87" s="118" t="s">
        <v>247</v>
      </c>
      <c r="G87" s="118" t="s">
        <v>205</v>
      </c>
      <c r="J87" s="126"/>
      <c r="K87" s="126"/>
      <c r="L87" s="192">
        <f>'Inputs by customer type'!L52</f>
        <v>114192.44307093632</v>
      </c>
      <c r="M87" s="126"/>
      <c r="N87" s="192">
        <f>'Inputs by customer type'!N52</f>
        <v>149128.24605172256</v>
      </c>
      <c r="O87" s="192">
        <f>'Inputs by customer type'!O52</f>
        <v>17663.053036980134</v>
      </c>
      <c r="P87" s="192">
        <f>'Inputs by customer type'!P52</f>
        <v>178323.48614948278</v>
      </c>
      <c r="Q87" s="126"/>
      <c r="R87" s="126"/>
      <c r="S87" s="126"/>
      <c r="T87" s="126"/>
      <c r="U87" s="126"/>
      <c r="V87" s="126"/>
      <c r="W87" s="126"/>
      <c r="X87" s="126"/>
      <c r="Y87" s="126"/>
      <c r="AQ87" s="3"/>
    </row>
    <row r="88" spans="3:43" x14ac:dyDescent="0.25">
      <c r="E88" s="75"/>
      <c r="F88" s="118" t="s">
        <v>210</v>
      </c>
      <c r="G88" s="118" t="s">
        <v>210</v>
      </c>
      <c r="J88" s="126"/>
      <c r="K88" s="126"/>
      <c r="L88" s="192">
        <f>'Inputs by customer type'!L53</f>
        <v>14625.283377887516</v>
      </c>
      <c r="M88" s="126"/>
      <c r="N88" s="192">
        <f>'Inputs by customer type'!N53</f>
        <v>1261.3070362297005</v>
      </c>
      <c r="O88" s="192">
        <f>'Inputs by customer type'!O53</f>
        <v>64.413184221108395</v>
      </c>
      <c r="P88" s="192">
        <f>'Inputs by customer type'!P53</f>
        <v>136.06604814429764</v>
      </c>
      <c r="Q88" s="126"/>
      <c r="R88" s="126"/>
      <c r="S88" s="126"/>
      <c r="T88" s="126"/>
      <c r="U88" s="126"/>
      <c r="V88" s="126"/>
      <c r="W88" s="126"/>
      <c r="X88" s="126"/>
      <c r="Y88" s="126"/>
      <c r="AQ88" s="3"/>
    </row>
    <row r="89" spans="3:43" x14ac:dyDescent="0.25">
      <c r="E89" s="75"/>
      <c r="F89" s="118" t="s">
        <v>248</v>
      </c>
      <c r="G89" s="118" t="s">
        <v>249</v>
      </c>
      <c r="J89" s="126"/>
      <c r="K89" s="126"/>
      <c r="L89" s="192">
        <f>'Inputs by customer type'!L54</f>
        <v>0</v>
      </c>
      <c r="M89" s="126"/>
      <c r="N89" s="192">
        <f>'Inputs by customer type'!N54</f>
        <v>231229</v>
      </c>
      <c r="O89" s="192">
        <f>'Inputs by customer type'!O54</f>
        <v>11840</v>
      </c>
      <c r="P89" s="192">
        <f>'Inputs by customer type'!P54</f>
        <v>188257</v>
      </c>
      <c r="Q89" s="126"/>
      <c r="R89" s="126"/>
      <c r="S89" s="126"/>
      <c r="T89" s="126"/>
      <c r="U89" s="126"/>
      <c r="V89" s="126"/>
      <c r="W89" s="126"/>
      <c r="X89" s="126"/>
      <c r="Y89" s="126"/>
      <c r="AQ89" s="3"/>
    </row>
    <row r="90" spans="3:43" x14ac:dyDescent="0.25">
      <c r="E90" s="75"/>
      <c r="F90" s="118" t="s">
        <v>250</v>
      </c>
      <c r="G90" s="118" t="s">
        <v>249</v>
      </c>
      <c r="J90" s="126"/>
      <c r="K90" s="126"/>
      <c r="L90" s="192">
        <f>'Inputs by customer type'!L55</f>
        <v>0</v>
      </c>
      <c r="M90" s="126"/>
      <c r="N90" s="192">
        <f>'Inputs by customer type'!N55</f>
        <v>1581.5972602739726</v>
      </c>
      <c r="O90" s="192">
        <f>'Inputs by customer type'!O55</f>
        <v>129.77534246575343</v>
      </c>
      <c r="P90" s="192">
        <f>'Inputs by customer type'!P55</f>
        <v>1930.1698630136987</v>
      </c>
      <c r="Q90" s="126"/>
      <c r="R90" s="126"/>
      <c r="S90" s="126"/>
      <c r="T90" s="126"/>
      <c r="U90" s="126"/>
      <c r="V90" s="126"/>
      <c r="W90" s="126"/>
      <c r="X90" s="126"/>
      <c r="Y90" s="126"/>
      <c r="AQ90" s="3"/>
    </row>
    <row r="91" spans="3:43" x14ac:dyDescent="0.25">
      <c r="E91" s="75"/>
      <c r="F91" s="120" t="s">
        <v>251</v>
      </c>
      <c r="G91" s="120" t="s">
        <v>252</v>
      </c>
      <c r="H91" s="96"/>
      <c r="I91" s="96"/>
      <c r="J91" s="121"/>
      <c r="K91" s="121"/>
      <c r="L91" s="171">
        <f>'Inputs by customer type'!L56</f>
        <v>0</v>
      </c>
      <c r="M91" s="121"/>
      <c r="N91" s="171">
        <f>'Inputs by customer type'!N56</f>
        <v>21900.852999999999</v>
      </c>
      <c r="O91" s="171">
        <f>'Inputs by customer type'!O56</f>
        <v>2245.5549999999998</v>
      </c>
      <c r="P91" s="171">
        <f>'Inputs by customer type'!P56</f>
        <v>23654.614000000001</v>
      </c>
      <c r="Q91" s="121"/>
      <c r="R91" s="121"/>
      <c r="S91" s="121"/>
      <c r="T91" s="121"/>
      <c r="U91" s="121"/>
      <c r="V91" s="121"/>
      <c r="W91" s="121"/>
      <c r="X91" s="121"/>
      <c r="Y91" s="121"/>
      <c r="AQ91" s="3"/>
    </row>
    <row r="92" spans="3:43" x14ac:dyDescent="0.25">
      <c r="AQ92" s="3"/>
    </row>
    <row r="93" spans="3:43" x14ac:dyDescent="0.25">
      <c r="C93" s="86"/>
      <c r="E93" s="75" t="s">
        <v>893</v>
      </c>
      <c r="G93" s="61"/>
      <c r="I93" t="s">
        <v>152</v>
      </c>
      <c r="AQ93" s="3"/>
    </row>
    <row r="94" spans="3:43" x14ac:dyDescent="0.25">
      <c r="C94" s="86"/>
      <c r="E94" s="75"/>
      <c r="F94" s="116" t="s">
        <v>245</v>
      </c>
      <c r="G94" s="116" t="s">
        <v>205</v>
      </c>
      <c r="H94" s="95"/>
      <c r="I94" s="95"/>
      <c r="J94" s="117"/>
      <c r="K94" s="117"/>
      <c r="L94" s="170">
        <f>'Inputs by customer type'!L59</f>
        <v>88426.692759469719</v>
      </c>
      <c r="M94" s="117"/>
      <c r="N94" s="170">
        <f>'Inputs by customer type'!N59</f>
        <v>62348.29685655464</v>
      </c>
      <c r="O94" s="170">
        <f>'Inputs by customer type'!O59</f>
        <v>68009.827254132833</v>
      </c>
      <c r="P94" s="170">
        <f>'Inputs by customer type'!P59</f>
        <v>153851.35500201487</v>
      </c>
      <c r="Q94" s="117"/>
      <c r="R94" s="117"/>
      <c r="S94" s="117"/>
      <c r="T94" s="117"/>
      <c r="U94" s="117"/>
      <c r="V94" s="117"/>
      <c r="W94" s="117"/>
      <c r="X94" s="117"/>
      <c r="Y94" s="117"/>
      <c r="AQ94" s="3"/>
    </row>
    <row r="95" spans="3:43" x14ac:dyDescent="0.25">
      <c r="E95" s="75"/>
      <c r="F95" s="118" t="s">
        <v>246</v>
      </c>
      <c r="G95" s="118" t="s">
        <v>205</v>
      </c>
      <c r="J95" s="126"/>
      <c r="K95" s="126"/>
      <c r="L95" s="192">
        <f>'Inputs by customer type'!L60</f>
        <v>312806.23371116089</v>
      </c>
      <c r="M95" s="126"/>
      <c r="N95" s="192">
        <f>'Inputs by customer type'!N60</f>
        <v>224807.17886229389</v>
      </c>
      <c r="O95" s="192">
        <f>'Inputs by customer type'!O60</f>
        <v>224289.01380512866</v>
      </c>
      <c r="P95" s="192">
        <f>'Inputs by customer type'!P60</f>
        <v>487503.85702717229</v>
      </c>
      <c r="Q95" s="126"/>
      <c r="R95" s="126"/>
      <c r="S95" s="126"/>
      <c r="T95" s="126"/>
      <c r="U95" s="126"/>
      <c r="V95" s="126"/>
      <c r="W95" s="126"/>
      <c r="X95" s="126"/>
      <c r="Y95" s="126"/>
      <c r="AQ95" s="3"/>
    </row>
    <row r="96" spans="3:43" x14ac:dyDescent="0.25">
      <c r="E96" s="75"/>
      <c r="F96" s="118" t="s">
        <v>247</v>
      </c>
      <c r="G96" s="118" t="s">
        <v>205</v>
      </c>
      <c r="J96" s="126"/>
      <c r="K96" s="126"/>
      <c r="L96" s="192">
        <f>'Inputs by customer type'!L61</f>
        <v>356653.55904973327</v>
      </c>
      <c r="M96" s="126"/>
      <c r="N96" s="192">
        <f>'Inputs by customer type'!N61</f>
        <v>257080.66833231715</v>
      </c>
      <c r="O96" s="192">
        <f>'Inputs by customer type'!O61</f>
        <v>307183.24702094012</v>
      </c>
      <c r="P96" s="192">
        <f>'Inputs by customer type'!P61</f>
        <v>723222.40697721124</v>
      </c>
      <c r="Q96" s="126"/>
      <c r="R96" s="126"/>
      <c r="S96" s="126"/>
      <c r="T96" s="126"/>
      <c r="U96" s="126"/>
      <c r="V96" s="126"/>
      <c r="W96" s="126"/>
      <c r="X96" s="126"/>
      <c r="Y96" s="126"/>
      <c r="AQ96" s="3"/>
    </row>
    <row r="97" spans="3:43" x14ac:dyDescent="0.25">
      <c r="E97" s="75"/>
      <c r="F97" s="118" t="s">
        <v>210</v>
      </c>
      <c r="G97" s="118" t="s">
        <v>210</v>
      </c>
      <c r="J97" s="126"/>
      <c r="K97" s="126"/>
      <c r="L97" s="192">
        <f>'Inputs by customer type'!L62</f>
        <v>16549.260014474206</v>
      </c>
      <c r="M97" s="126"/>
      <c r="N97" s="192">
        <f>'Inputs by customer type'!N62</f>
        <v>1046.0114712693974</v>
      </c>
      <c r="O97" s="192">
        <f>'Inputs by customer type'!O62</f>
        <v>620.40066907699111</v>
      </c>
      <c r="P97" s="192">
        <f>'Inputs by customer type'!P62</f>
        <v>193.94488951911072</v>
      </c>
      <c r="Q97" s="126"/>
      <c r="R97" s="126"/>
      <c r="S97" s="126"/>
      <c r="T97" s="126"/>
      <c r="U97" s="126"/>
      <c r="V97" s="126"/>
      <c r="W97" s="126"/>
      <c r="X97" s="126"/>
      <c r="Y97" s="126"/>
      <c r="AQ97" s="3"/>
    </row>
    <row r="98" spans="3:43" x14ac:dyDescent="0.25">
      <c r="E98" s="75"/>
      <c r="F98" s="118" t="s">
        <v>248</v>
      </c>
      <c r="G98" s="118" t="s">
        <v>249</v>
      </c>
      <c r="J98" s="126"/>
      <c r="K98" s="126"/>
      <c r="L98" s="192">
        <f>'Inputs by customer type'!L63</f>
        <v>0</v>
      </c>
      <c r="M98" s="126"/>
      <c r="N98" s="192">
        <f>'Inputs by customer type'!N63</f>
        <v>396537</v>
      </c>
      <c r="O98" s="192">
        <f>'Inputs by customer type'!O63</f>
        <v>308442</v>
      </c>
      <c r="P98" s="192">
        <f>'Inputs by customer type'!P63</f>
        <v>718872</v>
      </c>
      <c r="Q98" s="126"/>
      <c r="R98" s="126"/>
      <c r="S98" s="126"/>
      <c r="T98" s="126"/>
      <c r="U98" s="126"/>
      <c r="V98" s="126"/>
      <c r="W98" s="126"/>
      <c r="X98" s="126"/>
      <c r="Y98" s="126"/>
      <c r="AQ98" s="3"/>
    </row>
    <row r="99" spans="3:43" x14ac:dyDescent="0.25">
      <c r="E99" s="75"/>
      <c r="F99" s="118" t="s">
        <v>250</v>
      </c>
      <c r="G99" s="118" t="s">
        <v>249</v>
      </c>
      <c r="J99" s="126"/>
      <c r="K99" s="126"/>
      <c r="L99" s="192">
        <f>'Inputs by customer type'!L64</f>
        <v>0</v>
      </c>
      <c r="M99" s="126"/>
      <c r="N99" s="192">
        <f>'Inputs by customer type'!N64</f>
        <v>1918.6273972602739</v>
      </c>
      <c r="O99" s="192">
        <f>'Inputs by customer type'!O64</f>
        <v>1205.8054794520549</v>
      </c>
      <c r="P99" s="192">
        <f>'Inputs by customer type'!P64</f>
        <v>3922.6410958904112</v>
      </c>
      <c r="Q99" s="126"/>
      <c r="R99" s="126"/>
      <c r="S99" s="126"/>
      <c r="T99" s="126"/>
      <c r="U99" s="126"/>
      <c r="V99" s="126"/>
      <c r="W99" s="126"/>
      <c r="X99" s="126"/>
      <c r="Y99" s="126"/>
      <c r="AQ99" s="3"/>
    </row>
    <row r="100" spans="3:43" x14ac:dyDescent="0.25">
      <c r="E100" s="75"/>
      <c r="F100" s="120" t="s">
        <v>251</v>
      </c>
      <c r="G100" s="120" t="s">
        <v>252</v>
      </c>
      <c r="H100" s="96"/>
      <c r="I100" s="96"/>
      <c r="J100" s="121"/>
      <c r="K100" s="121"/>
      <c r="L100" s="171">
        <f>'Inputs by customer type'!L65</f>
        <v>0</v>
      </c>
      <c r="M100" s="121"/>
      <c r="N100" s="171">
        <f>'Inputs by customer type'!N65</f>
        <v>48141.654000000002</v>
      </c>
      <c r="O100" s="171">
        <f>'Inputs by customer type'!O65</f>
        <v>41099.591999999997</v>
      </c>
      <c r="P100" s="171">
        <f>'Inputs by customer type'!P65</f>
        <v>167436.514</v>
      </c>
      <c r="Q100" s="121"/>
      <c r="R100" s="121"/>
      <c r="S100" s="121"/>
      <c r="T100" s="121"/>
      <c r="U100" s="121"/>
      <c r="V100" s="121"/>
      <c r="W100" s="121"/>
      <c r="X100" s="121"/>
      <c r="Y100" s="121"/>
      <c r="AQ100" s="3"/>
    </row>
    <row r="101" spans="3:43" x14ac:dyDescent="0.25">
      <c r="AQ101" s="3"/>
    </row>
    <row r="102" spans="3:43" x14ac:dyDescent="0.25">
      <c r="C102" s="86"/>
      <c r="D102" s="86" t="s">
        <v>906</v>
      </c>
      <c r="AQ102" s="3"/>
    </row>
    <row r="103" spans="3:43" x14ac:dyDescent="0.25">
      <c r="AQ103" s="3"/>
    </row>
    <row r="104" spans="3:43" x14ac:dyDescent="0.25">
      <c r="E104" s="75" t="s">
        <v>857</v>
      </c>
      <c r="G104" s="61"/>
      <c r="I104" t="s">
        <v>152</v>
      </c>
      <c r="AQ104" s="3"/>
    </row>
    <row r="105" spans="3:43" x14ac:dyDescent="0.25">
      <c r="E105" s="75"/>
      <c r="F105" s="116" t="s">
        <v>245</v>
      </c>
      <c r="G105" s="116" t="s">
        <v>205</v>
      </c>
      <c r="H105" s="95"/>
      <c r="I105" s="95"/>
      <c r="J105" s="117"/>
      <c r="K105" s="170">
        <f>'Inputs by customer type'!K70</f>
        <v>0</v>
      </c>
      <c r="L105" s="170">
        <f>'Inputs by customer type'!L70</f>
        <v>0</v>
      </c>
      <c r="M105" s="170">
        <f>'Inputs by customer type'!M70</f>
        <v>0</v>
      </c>
      <c r="N105" s="170">
        <f>'Inputs by customer type'!N70</f>
        <v>0</v>
      </c>
      <c r="O105" s="170">
        <f>'Inputs by customer type'!O70</f>
        <v>0</v>
      </c>
      <c r="P105" s="170">
        <f>'Inputs by customer type'!P70</f>
        <v>0</v>
      </c>
      <c r="Q105" s="117"/>
      <c r="R105" s="170">
        <f>'Inputs by customer type'!R70</f>
        <v>159.863</v>
      </c>
      <c r="S105" s="117"/>
      <c r="T105" s="170">
        <f>'Inputs by customer type'!T70</f>
        <v>0</v>
      </c>
      <c r="U105" s="117"/>
      <c r="V105" s="117"/>
      <c r="W105" s="117"/>
      <c r="X105" s="117"/>
      <c r="Y105" s="117"/>
      <c r="AQ105" s="3"/>
    </row>
    <row r="106" spans="3:43" x14ac:dyDescent="0.25">
      <c r="E106" s="75"/>
      <c r="F106" s="118" t="s">
        <v>246</v>
      </c>
      <c r="G106" s="118" t="s">
        <v>205</v>
      </c>
      <c r="J106" s="126"/>
      <c r="K106" s="192">
        <f>'Inputs by customer type'!K71</f>
        <v>0</v>
      </c>
      <c r="L106" s="192">
        <f>'Inputs by customer type'!L71</f>
        <v>0</v>
      </c>
      <c r="M106" s="192">
        <f>'Inputs by customer type'!M71</f>
        <v>0</v>
      </c>
      <c r="N106" s="192">
        <f>'Inputs by customer type'!N71</f>
        <v>0</v>
      </c>
      <c r="O106" s="192">
        <f>'Inputs by customer type'!O71</f>
        <v>0</v>
      </c>
      <c r="P106" s="192">
        <f>'Inputs by customer type'!P71</f>
        <v>0</v>
      </c>
      <c r="Q106" s="126"/>
      <c r="R106" s="192">
        <f>'Inputs by customer type'!R71</f>
        <v>706.57100000000003</v>
      </c>
      <c r="S106" s="126"/>
      <c r="T106" s="192">
        <f>'Inputs by customer type'!T71</f>
        <v>0</v>
      </c>
      <c r="U106" s="126"/>
      <c r="V106" s="126"/>
      <c r="W106" s="126"/>
      <c r="X106" s="126"/>
      <c r="Y106" s="126"/>
      <c r="AQ106" s="3"/>
    </row>
    <row r="107" spans="3:43" x14ac:dyDescent="0.25">
      <c r="E107" s="75"/>
      <c r="F107" s="118" t="s">
        <v>247</v>
      </c>
      <c r="G107" s="118" t="s">
        <v>205</v>
      </c>
      <c r="J107" s="126"/>
      <c r="K107" s="192">
        <f>'Inputs by customer type'!K72</f>
        <v>0</v>
      </c>
      <c r="L107" s="192">
        <f>'Inputs by customer type'!L72</f>
        <v>0</v>
      </c>
      <c r="M107" s="192">
        <f>'Inputs by customer type'!M72</f>
        <v>0</v>
      </c>
      <c r="N107" s="192">
        <f>'Inputs by customer type'!N72</f>
        <v>0</v>
      </c>
      <c r="O107" s="192">
        <f>'Inputs by customer type'!O72</f>
        <v>0</v>
      </c>
      <c r="P107" s="192">
        <f>'Inputs by customer type'!P72</f>
        <v>0</v>
      </c>
      <c r="Q107" s="126"/>
      <c r="R107" s="192">
        <f>'Inputs by customer type'!R72</f>
        <v>409.77800000000002</v>
      </c>
      <c r="S107" s="126"/>
      <c r="T107" s="192">
        <f>'Inputs by customer type'!T72</f>
        <v>0</v>
      </c>
      <c r="U107" s="126"/>
      <c r="V107" s="126"/>
      <c r="W107" s="126"/>
      <c r="X107" s="126"/>
      <c r="Y107" s="126"/>
      <c r="AQ107" s="3"/>
    </row>
    <row r="108" spans="3:43" x14ac:dyDescent="0.25">
      <c r="E108" s="75"/>
      <c r="F108" s="118" t="s">
        <v>210</v>
      </c>
      <c r="G108" s="118" t="s">
        <v>210</v>
      </c>
      <c r="J108" s="126"/>
      <c r="K108" s="192">
        <f>'Inputs by customer type'!K73</f>
        <v>0</v>
      </c>
      <c r="L108" s="192">
        <f>'Inputs by customer type'!L73</f>
        <v>0</v>
      </c>
      <c r="M108" s="192">
        <f>'Inputs by customer type'!M73</f>
        <v>0</v>
      </c>
      <c r="N108" s="192">
        <f>'Inputs by customer type'!N73</f>
        <v>0</v>
      </c>
      <c r="O108" s="192">
        <f>'Inputs by customer type'!O73</f>
        <v>0</v>
      </c>
      <c r="P108" s="192">
        <f>'Inputs by customer type'!P73</f>
        <v>0</v>
      </c>
      <c r="Q108" s="126"/>
      <c r="R108" s="192">
        <f>'Inputs by customer type'!R73</f>
        <v>395.6</v>
      </c>
      <c r="S108" s="126"/>
      <c r="T108" s="192">
        <f>'Inputs by customer type'!T73</f>
        <v>0</v>
      </c>
      <c r="U108" s="126"/>
      <c r="V108" s="126"/>
      <c r="W108" s="126"/>
      <c r="X108" s="126"/>
      <c r="Y108" s="126"/>
      <c r="AQ108" s="3"/>
    </row>
    <row r="109" spans="3:43" x14ac:dyDescent="0.25">
      <c r="E109" s="75"/>
      <c r="F109" s="118" t="s">
        <v>248</v>
      </c>
      <c r="G109" s="118" t="s">
        <v>249</v>
      </c>
      <c r="J109" s="126"/>
      <c r="K109" s="192">
        <f>'Inputs by customer type'!K74</f>
        <v>0</v>
      </c>
      <c r="L109" s="192">
        <f>'Inputs by customer type'!L74</f>
        <v>0</v>
      </c>
      <c r="M109" s="192">
        <f>'Inputs by customer type'!M74</f>
        <v>0</v>
      </c>
      <c r="N109" s="192">
        <f>'Inputs by customer type'!N74</f>
        <v>0</v>
      </c>
      <c r="O109" s="192">
        <f>'Inputs by customer type'!O74</f>
        <v>0</v>
      </c>
      <c r="P109" s="192">
        <f>'Inputs by customer type'!P74</f>
        <v>0</v>
      </c>
      <c r="Q109" s="126"/>
      <c r="R109" s="192">
        <f>'Inputs by customer type'!R74</f>
        <v>0</v>
      </c>
      <c r="S109" s="126"/>
      <c r="T109" s="192">
        <f>'Inputs by customer type'!T74</f>
        <v>0</v>
      </c>
      <c r="U109" s="126"/>
      <c r="V109" s="126"/>
      <c r="W109" s="126"/>
      <c r="X109" s="126"/>
      <c r="Y109" s="126"/>
      <c r="AQ109" s="3"/>
    </row>
    <row r="110" spans="3:43" x14ac:dyDescent="0.25">
      <c r="E110" s="75"/>
      <c r="F110" s="118" t="s">
        <v>250</v>
      </c>
      <c r="G110" s="118" t="s">
        <v>249</v>
      </c>
      <c r="J110" s="126"/>
      <c r="K110" s="192">
        <f>'Inputs by customer type'!K75</f>
        <v>0</v>
      </c>
      <c r="L110" s="192">
        <f>'Inputs by customer type'!L75</f>
        <v>0</v>
      </c>
      <c r="M110" s="192">
        <f>'Inputs by customer type'!M75</f>
        <v>0</v>
      </c>
      <c r="N110" s="192">
        <f>'Inputs by customer type'!N75</f>
        <v>0</v>
      </c>
      <c r="O110" s="192">
        <f>'Inputs by customer type'!O75</f>
        <v>0</v>
      </c>
      <c r="P110" s="192">
        <f>'Inputs by customer type'!P75</f>
        <v>0</v>
      </c>
      <c r="Q110" s="126"/>
      <c r="R110" s="192">
        <f>'Inputs by customer type'!R75</f>
        <v>0</v>
      </c>
      <c r="S110" s="126"/>
      <c r="T110" s="192">
        <f>'Inputs by customer type'!T75</f>
        <v>0</v>
      </c>
      <c r="U110" s="126"/>
      <c r="V110" s="126"/>
      <c r="W110" s="126"/>
      <c r="X110" s="126"/>
      <c r="Y110" s="126"/>
      <c r="AQ110" s="3"/>
    </row>
    <row r="111" spans="3:43" x14ac:dyDescent="0.25">
      <c r="E111" s="75"/>
      <c r="F111" s="120" t="s">
        <v>251</v>
      </c>
      <c r="G111" s="120" t="s">
        <v>252</v>
      </c>
      <c r="H111" s="96"/>
      <c r="I111" s="96"/>
      <c r="J111" s="121"/>
      <c r="K111" s="171">
        <f>'Inputs by customer type'!K76</f>
        <v>0</v>
      </c>
      <c r="L111" s="171">
        <f>'Inputs by customer type'!L76</f>
        <v>0</v>
      </c>
      <c r="M111" s="171">
        <f>'Inputs by customer type'!M76</f>
        <v>0</v>
      </c>
      <c r="N111" s="171">
        <f>'Inputs by customer type'!N76</f>
        <v>0</v>
      </c>
      <c r="O111" s="171">
        <f>'Inputs by customer type'!O76</f>
        <v>0</v>
      </c>
      <c r="P111" s="171">
        <f>'Inputs by customer type'!P76</f>
        <v>0</v>
      </c>
      <c r="Q111" s="121"/>
      <c r="R111" s="171">
        <f>'Inputs by customer type'!R76</f>
        <v>0</v>
      </c>
      <c r="S111" s="121"/>
      <c r="T111" s="171">
        <f>'Inputs by customer type'!T76</f>
        <v>0</v>
      </c>
      <c r="U111" s="121"/>
      <c r="V111" s="121"/>
      <c r="W111" s="121"/>
      <c r="X111" s="121"/>
      <c r="Y111" s="121"/>
      <c r="AQ111" s="3"/>
    </row>
    <row r="112" spans="3:43" x14ac:dyDescent="0.25">
      <c r="C112" s="86"/>
      <c r="AQ112" s="3"/>
    </row>
    <row r="113" spans="5:43" x14ac:dyDescent="0.25">
      <c r="E113" s="75" t="s">
        <v>894</v>
      </c>
      <c r="G113" s="61"/>
      <c r="I113" t="s">
        <v>152</v>
      </c>
      <c r="AQ113" s="3"/>
    </row>
    <row r="114" spans="5:43" x14ac:dyDescent="0.25">
      <c r="E114" s="75"/>
      <c r="F114" s="116" t="s">
        <v>245</v>
      </c>
      <c r="G114" s="116" t="s">
        <v>205</v>
      </c>
      <c r="H114" s="95"/>
      <c r="I114" s="95"/>
      <c r="J114" s="170">
        <f>'Inputs by customer type'!J79</f>
        <v>16127.506661950501</v>
      </c>
      <c r="K114" s="117"/>
      <c r="L114" s="170">
        <f>'Inputs by customer type'!L79</f>
        <v>329.07846552302044</v>
      </c>
      <c r="M114" s="117"/>
      <c r="N114" s="170">
        <f>'Inputs by customer type'!N79</f>
        <v>69.139060154742793</v>
      </c>
      <c r="O114" s="170">
        <f>'Inputs by customer type'!O79</f>
        <v>0</v>
      </c>
      <c r="P114" s="170">
        <f>'Inputs by customer type'!P79</f>
        <v>0</v>
      </c>
      <c r="Q114" s="170">
        <f>'Inputs by customer type'!Q79</f>
        <v>14.024757151810981</v>
      </c>
      <c r="R114" s="117"/>
      <c r="S114" s="117"/>
      <c r="T114" s="117"/>
      <c r="U114" s="117"/>
      <c r="V114" s="117"/>
      <c r="W114" s="117"/>
      <c r="X114" s="117"/>
      <c r="Y114" s="117"/>
      <c r="AQ114" s="3"/>
    </row>
    <row r="115" spans="5:43" x14ac:dyDescent="0.25">
      <c r="E115" s="75"/>
      <c r="F115" s="118" t="s">
        <v>246</v>
      </c>
      <c r="G115" s="118" t="s">
        <v>205</v>
      </c>
      <c r="J115" s="192">
        <f>'Inputs by customer type'!J80</f>
        <v>39606.222663234104</v>
      </c>
      <c r="K115" s="126"/>
      <c r="L115" s="192">
        <f>'Inputs by customer type'!L80</f>
        <v>1235.1438249573946</v>
      </c>
      <c r="M115" s="126"/>
      <c r="N115" s="192">
        <f>'Inputs by customer type'!N80</f>
        <v>224.9158936646063</v>
      </c>
      <c r="O115" s="192">
        <f>'Inputs by customer type'!O80</f>
        <v>0</v>
      </c>
      <c r="P115" s="192">
        <f>'Inputs by customer type'!P80</f>
        <v>0</v>
      </c>
      <c r="Q115" s="192">
        <f>'Inputs by customer type'!Q80</f>
        <v>121.69638635406008</v>
      </c>
      <c r="R115" s="126"/>
      <c r="S115" s="126"/>
      <c r="T115" s="126"/>
      <c r="U115" s="126"/>
      <c r="V115" s="126"/>
      <c r="W115" s="126"/>
      <c r="X115" s="126"/>
      <c r="Y115" s="126"/>
      <c r="AQ115" s="3"/>
    </row>
    <row r="116" spans="5:43" x14ac:dyDescent="0.25">
      <c r="E116" s="75"/>
      <c r="F116" s="118" t="s">
        <v>247</v>
      </c>
      <c r="G116" s="118" t="s">
        <v>205</v>
      </c>
      <c r="J116" s="192">
        <f>'Inputs by customer type'!J81</f>
        <v>56456.583827742812</v>
      </c>
      <c r="K116" s="126"/>
      <c r="L116" s="192">
        <f>'Inputs by customer type'!L81</f>
        <v>1213.8972596975429</v>
      </c>
      <c r="M116" s="126"/>
      <c r="N116" s="192">
        <f>'Inputs by customer type'!N81</f>
        <v>324.38540708140818</v>
      </c>
      <c r="O116" s="192">
        <f>'Inputs by customer type'!O81</f>
        <v>0</v>
      </c>
      <c r="P116" s="192">
        <f>'Inputs by customer type'!P81</f>
        <v>0</v>
      </c>
      <c r="Q116" s="192">
        <f>'Inputs by customer type'!Q81</f>
        <v>188.91722132605392</v>
      </c>
      <c r="R116" s="126"/>
      <c r="S116" s="126"/>
      <c r="T116" s="126"/>
      <c r="U116" s="126"/>
      <c r="V116" s="126"/>
      <c r="W116" s="126"/>
      <c r="X116" s="126"/>
      <c r="Y116" s="126"/>
      <c r="AQ116" s="3"/>
    </row>
    <row r="117" spans="5:43" x14ac:dyDescent="0.25">
      <c r="E117" s="75"/>
      <c r="F117" s="118" t="s">
        <v>210</v>
      </c>
      <c r="G117" s="118" t="s">
        <v>210</v>
      </c>
      <c r="J117" s="192">
        <f>'Inputs by customer type'!J82</f>
        <v>40123.208470178259</v>
      </c>
      <c r="K117" s="126"/>
      <c r="L117" s="192">
        <f>'Inputs by customer type'!L82</f>
        <v>325.88785128898581</v>
      </c>
      <c r="M117" s="126"/>
      <c r="N117" s="192">
        <f>'Inputs by customer type'!N82</f>
        <v>16.587870269212281</v>
      </c>
      <c r="O117" s="192">
        <f>'Inputs by customer type'!O82</f>
        <v>0</v>
      </c>
      <c r="P117" s="192">
        <f>'Inputs by customer type'!P82</f>
        <v>0</v>
      </c>
      <c r="Q117" s="192">
        <f>'Inputs by customer type'!Q82</f>
        <v>168.09041872801774</v>
      </c>
      <c r="R117" s="126"/>
      <c r="S117" s="126"/>
      <c r="T117" s="126"/>
      <c r="U117" s="126"/>
      <c r="V117" s="126"/>
      <c r="W117" s="126"/>
      <c r="X117" s="126"/>
      <c r="Y117" s="126"/>
      <c r="AQ117" s="3"/>
    </row>
    <row r="118" spans="5:43" x14ac:dyDescent="0.25">
      <c r="E118" s="75"/>
      <c r="F118" s="118" t="s">
        <v>248</v>
      </c>
      <c r="G118" s="118" t="s">
        <v>249</v>
      </c>
      <c r="J118" s="192">
        <f>'Inputs by customer type'!J83</f>
        <v>0</v>
      </c>
      <c r="K118" s="126"/>
      <c r="L118" s="192">
        <f>'Inputs by customer type'!L83</f>
        <v>0</v>
      </c>
      <c r="M118" s="126"/>
      <c r="N118" s="192">
        <f>'Inputs by customer type'!N83</f>
        <v>746</v>
      </c>
      <c r="O118" s="192">
        <f>'Inputs by customer type'!O83</f>
        <v>0</v>
      </c>
      <c r="P118" s="192">
        <f>'Inputs by customer type'!P83</f>
        <v>0</v>
      </c>
      <c r="Q118" s="192">
        <f>'Inputs by customer type'!Q83</f>
        <v>0</v>
      </c>
      <c r="R118" s="126"/>
      <c r="S118" s="126"/>
      <c r="T118" s="126"/>
      <c r="U118" s="126"/>
      <c r="V118" s="126"/>
      <c r="W118" s="126"/>
      <c r="X118" s="126"/>
      <c r="Y118" s="126"/>
      <c r="AQ118" s="3"/>
    </row>
    <row r="119" spans="5:43" x14ac:dyDescent="0.25">
      <c r="E119" s="75"/>
      <c r="F119" s="118" t="s">
        <v>250</v>
      </c>
      <c r="G119" s="118" t="s">
        <v>249</v>
      </c>
      <c r="J119" s="192">
        <f>'Inputs by customer type'!J84</f>
        <v>0</v>
      </c>
      <c r="K119" s="126"/>
      <c r="L119" s="192">
        <f>'Inputs by customer type'!L84</f>
        <v>0</v>
      </c>
      <c r="M119" s="126"/>
      <c r="N119" s="192">
        <f>'Inputs by customer type'!N84</f>
        <v>16.265753424657536</v>
      </c>
      <c r="O119" s="192">
        <f>'Inputs by customer type'!O84</f>
        <v>0</v>
      </c>
      <c r="P119" s="192">
        <f>'Inputs by customer type'!P84</f>
        <v>0</v>
      </c>
      <c r="Q119" s="192">
        <f>'Inputs by customer type'!Q84</f>
        <v>0</v>
      </c>
      <c r="R119" s="126"/>
      <c r="S119" s="126"/>
      <c r="T119" s="126"/>
      <c r="U119" s="126"/>
      <c r="V119" s="126"/>
      <c r="W119" s="126"/>
      <c r="X119" s="126"/>
      <c r="Y119" s="126"/>
      <c r="AQ119" s="3"/>
    </row>
    <row r="120" spans="5:43" x14ac:dyDescent="0.25">
      <c r="E120" s="75"/>
      <c r="F120" s="120" t="s">
        <v>251</v>
      </c>
      <c r="G120" s="120" t="s">
        <v>252</v>
      </c>
      <c r="H120" s="96"/>
      <c r="I120" s="96"/>
      <c r="J120" s="171">
        <f>'Inputs by customer type'!J85</f>
        <v>0</v>
      </c>
      <c r="K120" s="121"/>
      <c r="L120" s="171">
        <f>'Inputs by customer type'!L85</f>
        <v>0</v>
      </c>
      <c r="M120" s="121"/>
      <c r="N120" s="171">
        <f>'Inputs by customer type'!N85</f>
        <v>10.371</v>
      </c>
      <c r="O120" s="171">
        <f>'Inputs by customer type'!O85</f>
        <v>0</v>
      </c>
      <c r="P120" s="171">
        <f>'Inputs by customer type'!P85</f>
        <v>0</v>
      </c>
      <c r="Q120" s="171">
        <f>'Inputs by customer type'!Q85</f>
        <v>0</v>
      </c>
      <c r="R120" s="121"/>
      <c r="S120" s="121"/>
      <c r="T120" s="121"/>
      <c r="U120" s="121"/>
      <c r="V120" s="121"/>
      <c r="W120" s="121"/>
      <c r="X120" s="121"/>
      <c r="Y120" s="121"/>
      <c r="AQ120" s="3"/>
    </row>
    <row r="121" spans="5:43" x14ac:dyDescent="0.25">
      <c r="AQ121" s="3"/>
    </row>
    <row r="122" spans="5:43" x14ac:dyDescent="0.25">
      <c r="E122" s="75" t="s">
        <v>895</v>
      </c>
      <c r="G122" s="61"/>
      <c r="I122" t="s">
        <v>152</v>
      </c>
      <c r="AQ122" s="3"/>
    </row>
    <row r="123" spans="5:43" x14ac:dyDescent="0.25">
      <c r="E123" s="75"/>
      <c r="F123" s="116" t="s">
        <v>245</v>
      </c>
      <c r="G123" s="116" t="s">
        <v>205</v>
      </c>
      <c r="H123" s="95"/>
      <c r="I123" s="95"/>
      <c r="J123" s="117"/>
      <c r="K123" s="117"/>
      <c r="L123" s="170">
        <f>'Inputs by customer type'!L88</f>
        <v>93.827394510249619</v>
      </c>
      <c r="M123" s="117"/>
      <c r="N123" s="170">
        <f>'Inputs by customer type'!N88</f>
        <v>720.85360039384284</v>
      </c>
      <c r="O123" s="170">
        <f>'Inputs by customer type'!O88</f>
        <v>0</v>
      </c>
      <c r="P123" s="170">
        <f>'Inputs by customer type'!P88</f>
        <v>0</v>
      </c>
      <c r="Q123" s="117"/>
      <c r="R123" s="117"/>
      <c r="S123" s="117"/>
      <c r="T123" s="117"/>
      <c r="U123" s="117"/>
      <c r="V123" s="117"/>
      <c r="W123" s="117"/>
      <c r="X123" s="117"/>
      <c r="Y123" s="117"/>
      <c r="AQ123" s="3"/>
    </row>
    <row r="124" spans="5:43" x14ac:dyDescent="0.25">
      <c r="E124" s="75"/>
      <c r="F124" s="118" t="s">
        <v>246</v>
      </c>
      <c r="G124" s="118" t="s">
        <v>205</v>
      </c>
      <c r="J124" s="126"/>
      <c r="K124" s="126"/>
      <c r="L124" s="192">
        <f>'Inputs by customer type'!L89</f>
        <v>350.01259872653554</v>
      </c>
      <c r="M124" s="126"/>
      <c r="N124" s="192">
        <f>'Inputs by customer type'!N89</f>
        <v>1902.5677891009304</v>
      </c>
      <c r="O124" s="192">
        <f>'Inputs by customer type'!O89</f>
        <v>0</v>
      </c>
      <c r="P124" s="192">
        <f>'Inputs by customer type'!P89</f>
        <v>0</v>
      </c>
      <c r="Q124" s="126"/>
      <c r="R124" s="126"/>
      <c r="S124" s="126"/>
      <c r="T124" s="126"/>
      <c r="U124" s="126"/>
      <c r="V124" s="126"/>
      <c r="W124" s="126"/>
      <c r="X124" s="126"/>
      <c r="Y124" s="126"/>
      <c r="AQ124" s="3"/>
    </row>
    <row r="125" spans="5:43" x14ac:dyDescent="0.25">
      <c r="E125" s="75"/>
      <c r="F125" s="118" t="s">
        <v>247</v>
      </c>
      <c r="G125" s="118" t="s">
        <v>205</v>
      </c>
      <c r="J125" s="126"/>
      <c r="K125" s="126"/>
      <c r="L125" s="192">
        <f>'Inputs by customer type'!L90</f>
        <v>347.81386389483004</v>
      </c>
      <c r="M125" s="126"/>
      <c r="N125" s="192">
        <f>'Inputs by customer type'!N90</f>
        <v>2391.6379085410845</v>
      </c>
      <c r="O125" s="192">
        <f>'Inputs by customer type'!O90</f>
        <v>0</v>
      </c>
      <c r="P125" s="192">
        <f>'Inputs by customer type'!P90</f>
        <v>0</v>
      </c>
      <c r="Q125" s="126"/>
      <c r="R125" s="126"/>
      <c r="S125" s="126"/>
      <c r="T125" s="126"/>
      <c r="U125" s="126"/>
      <c r="V125" s="126"/>
      <c r="W125" s="126"/>
      <c r="X125" s="126"/>
      <c r="Y125" s="126"/>
      <c r="AQ125" s="3"/>
    </row>
    <row r="126" spans="5:43" x14ac:dyDescent="0.25">
      <c r="E126" s="75"/>
      <c r="F126" s="118" t="s">
        <v>210</v>
      </c>
      <c r="G126" s="118" t="s">
        <v>210</v>
      </c>
      <c r="J126" s="126"/>
      <c r="K126" s="126"/>
      <c r="L126" s="192">
        <f>'Inputs by customer type'!L91</f>
        <v>74.815548214216406</v>
      </c>
      <c r="M126" s="126"/>
      <c r="N126" s="192">
        <f>'Inputs by customer type'!N91</f>
        <v>68.903461118266407</v>
      </c>
      <c r="O126" s="192">
        <f>'Inputs by customer type'!O91</f>
        <v>0</v>
      </c>
      <c r="P126" s="192">
        <f>'Inputs by customer type'!P91</f>
        <v>0</v>
      </c>
      <c r="Q126" s="126"/>
      <c r="R126" s="126"/>
      <c r="S126" s="126"/>
      <c r="T126" s="126"/>
      <c r="U126" s="126"/>
      <c r="V126" s="126"/>
      <c r="W126" s="126"/>
      <c r="X126" s="126"/>
      <c r="Y126" s="126"/>
      <c r="AQ126" s="3"/>
    </row>
    <row r="127" spans="5:43" x14ac:dyDescent="0.25">
      <c r="E127" s="75"/>
      <c r="F127" s="118" t="s">
        <v>248</v>
      </c>
      <c r="G127" s="118" t="s">
        <v>249</v>
      </c>
      <c r="J127" s="126"/>
      <c r="K127" s="126"/>
      <c r="L127" s="192">
        <f>'Inputs by customer type'!L92</f>
        <v>0</v>
      </c>
      <c r="M127" s="126"/>
      <c r="N127" s="192">
        <f>'Inputs by customer type'!N92</f>
        <v>5999</v>
      </c>
      <c r="O127" s="192">
        <f>'Inputs by customer type'!O92</f>
        <v>0</v>
      </c>
      <c r="P127" s="192">
        <f>'Inputs by customer type'!P92</f>
        <v>0</v>
      </c>
      <c r="Q127" s="126"/>
      <c r="R127" s="126"/>
      <c r="S127" s="126"/>
      <c r="T127" s="126"/>
      <c r="U127" s="126"/>
      <c r="V127" s="126"/>
      <c r="W127" s="126"/>
      <c r="X127" s="126"/>
      <c r="Y127" s="126"/>
      <c r="AQ127" s="3"/>
    </row>
    <row r="128" spans="5:43" x14ac:dyDescent="0.25">
      <c r="E128" s="75"/>
      <c r="F128" s="118" t="s">
        <v>250</v>
      </c>
      <c r="G128" s="118" t="s">
        <v>249</v>
      </c>
      <c r="J128" s="126"/>
      <c r="K128" s="126"/>
      <c r="L128" s="192">
        <f>'Inputs by customer type'!L93</f>
        <v>0</v>
      </c>
      <c r="M128" s="126"/>
      <c r="N128" s="192">
        <f>'Inputs by customer type'!N93</f>
        <v>0</v>
      </c>
      <c r="O128" s="192">
        <f>'Inputs by customer type'!O93</f>
        <v>0</v>
      </c>
      <c r="P128" s="192">
        <f>'Inputs by customer type'!P93</f>
        <v>0</v>
      </c>
      <c r="Q128" s="126"/>
      <c r="R128" s="126"/>
      <c r="S128" s="126"/>
      <c r="T128" s="126"/>
      <c r="U128" s="126"/>
      <c r="V128" s="126"/>
      <c r="W128" s="126"/>
      <c r="X128" s="126"/>
      <c r="Y128" s="126"/>
      <c r="AQ128" s="3"/>
    </row>
    <row r="129" spans="5:43" x14ac:dyDescent="0.25">
      <c r="E129" s="75"/>
      <c r="F129" s="120" t="s">
        <v>251</v>
      </c>
      <c r="G129" s="120" t="s">
        <v>252</v>
      </c>
      <c r="H129" s="96"/>
      <c r="I129" s="96"/>
      <c r="J129" s="121"/>
      <c r="K129" s="121"/>
      <c r="L129" s="171">
        <f>'Inputs by customer type'!L94</f>
        <v>0</v>
      </c>
      <c r="M129" s="121"/>
      <c r="N129" s="171">
        <f>'Inputs by customer type'!N94</f>
        <v>381.089</v>
      </c>
      <c r="O129" s="171">
        <f>'Inputs by customer type'!O94</f>
        <v>0</v>
      </c>
      <c r="P129" s="171">
        <f>'Inputs by customer type'!P94</f>
        <v>0</v>
      </c>
      <c r="Q129" s="121"/>
      <c r="R129" s="121"/>
      <c r="S129" s="121"/>
      <c r="T129" s="121"/>
      <c r="U129" s="121"/>
      <c r="V129" s="121"/>
      <c r="W129" s="121"/>
      <c r="X129" s="121"/>
      <c r="Y129" s="121"/>
      <c r="AQ129" s="3"/>
    </row>
    <row r="130" spans="5:43" x14ac:dyDescent="0.25">
      <c r="AQ130" s="3"/>
    </row>
    <row r="131" spans="5:43" x14ac:dyDescent="0.25">
      <c r="E131" s="75" t="s">
        <v>896</v>
      </c>
      <c r="G131" s="61"/>
      <c r="I131" t="s">
        <v>152</v>
      </c>
      <c r="AQ131" s="3"/>
    </row>
    <row r="132" spans="5:43" x14ac:dyDescent="0.25">
      <c r="E132" s="75"/>
      <c r="F132" s="116" t="s">
        <v>245</v>
      </c>
      <c r="G132" s="116" t="s">
        <v>205</v>
      </c>
      <c r="H132" s="95"/>
      <c r="I132" s="95"/>
      <c r="J132" s="117"/>
      <c r="K132" s="117"/>
      <c r="L132" s="170">
        <f>'Inputs by customer type'!L97</f>
        <v>118.17195849188202</v>
      </c>
      <c r="M132" s="117"/>
      <c r="N132" s="170">
        <f>'Inputs by customer type'!N97</f>
        <v>1229.971444169684</v>
      </c>
      <c r="O132" s="170">
        <f>'Inputs by customer type'!O97</f>
        <v>0</v>
      </c>
      <c r="P132" s="170">
        <f>'Inputs by customer type'!P97</f>
        <v>0</v>
      </c>
      <c r="Q132" s="117"/>
      <c r="R132" s="117"/>
      <c r="S132" s="117"/>
      <c r="T132" s="117"/>
      <c r="U132" s="117"/>
      <c r="V132" s="117"/>
      <c r="W132" s="117"/>
      <c r="X132" s="117"/>
      <c r="Y132" s="117"/>
      <c r="AQ132" s="3"/>
    </row>
    <row r="133" spans="5:43" x14ac:dyDescent="0.25">
      <c r="E133" s="75"/>
      <c r="F133" s="118" t="s">
        <v>246</v>
      </c>
      <c r="G133" s="118" t="s">
        <v>205</v>
      </c>
      <c r="J133" s="126"/>
      <c r="K133" s="126"/>
      <c r="L133" s="192">
        <f>'Inputs by customer type'!L98</f>
        <v>439.04272692967311</v>
      </c>
      <c r="M133" s="126"/>
      <c r="N133" s="192">
        <f>'Inputs by customer type'!N98</f>
        <v>3649.5449112820097</v>
      </c>
      <c r="O133" s="192">
        <f>'Inputs by customer type'!O98</f>
        <v>0</v>
      </c>
      <c r="P133" s="192">
        <f>'Inputs by customer type'!P98</f>
        <v>0</v>
      </c>
      <c r="Q133" s="126"/>
      <c r="R133" s="126"/>
      <c r="S133" s="126"/>
      <c r="T133" s="126"/>
      <c r="U133" s="126"/>
      <c r="V133" s="126"/>
      <c r="W133" s="126"/>
      <c r="X133" s="126"/>
      <c r="Y133" s="126"/>
      <c r="AQ133" s="3"/>
    </row>
    <row r="134" spans="5:43" x14ac:dyDescent="0.25">
      <c r="E134" s="75"/>
      <c r="F134" s="118" t="s">
        <v>247</v>
      </c>
      <c r="G134" s="118" t="s">
        <v>205</v>
      </c>
      <c r="J134" s="126"/>
      <c r="K134" s="126"/>
      <c r="L134" s="192">
        <f>'Inputs by customer type'!L99</f>
        <v>449.68866278313999</v>
      </c>
      <c r="M134" s="126"/>
      <c r="N134" s="192">
        <f>'Inputs by customer type'!N99</f>
        <v>4431.4649009080076</v>
      </c>
      <c r="O134" s="192">
        <f>'Inputs by customer type'!O99</f>
        <v>0</v>
      </c>
      <c r="P134" s="192">
        <f>'Inputs by customer type'!P99</f>
        <v>0</v>
      </c>
      <c r="Q134" s="126"/>
      <c r="R134" s="126"/>
      <c r="S134" s="126"/>
      <c r="T134" s="126"/>
      <c r="U134" s="126"/>
      <c r="V134" s="126"/>
      <c r="W134" s="126"/>
      <c r="X134" s="126"/>
      <c r="Y134" s="126"/>
      <c r="AQ134" s="3"/>
    </row>
    <row r="135" spans="5:43" x14ac:dyDescent="0.25">
      <c r="E135" s="75"/>
      <c r="F135" s="118" t="s">
        <v>210</v>
      </c>
      <c r="G135" s="118" t="s">
        <v>210</v>
      </c>
      <c r="J135" s="126"/>
      <c r="K135" s="126"/>
      <c r="L135" s="192">
        <f>'Inputs by customer type'!L100</f>
        <v>95.699251553147761</v>
      </c>
      <c r="M135" s="126"/>
      <c r="N135" s="192">
        <f>'Inputs by customer type'!N100</f>
        <v>63.799501035431824</v>
      </c>
      <c r="O135" s="192">
        <f>'Inputs by customer type'!O100</f>
        <v>0</v>
      </c>
      <c r="P135" s="192">
        <f>'Inputs by customer type'!P100</f>
        <v>0</v>
      </c>
      <c r="Q135" s="126"/>
      <c r="R135" s="126"/>
      <c r="S135" s="126"/>
      <c r="T135" s="126"/>
      <c r="U135" s="126"/>
      <c r="V135" s="126"/>
      <c r="W135" s="126"/>
      <c r="X135" s="126"/>
      <c r="Y135" s="126"/>
      <c r="AQ135" s="3"/>
    </row>
    <row r="136" spans="5:43" x14ac:dyDescent="0.25">
      <c r="E136" s="75"/>
      <c r="F136" s="118" t="s">
        <v>248</v>
      </c>
      <c r="G136" s="118" t="s">
        <v>249</v>
      </c>
      <c r="J136" s="126"/>
      <c r="K136" s="126"/>
      <c r="L136" s="192">
        <f>'Inputs by customer type'!L101</f>
        <v>0</v>
      </c>
      <c r="M136" s="126"/>
      <c r="N136" s="192">
        <f>'Inputs by customer type'!N101</f>
        <v>8922</v>
      </c>
      <c r="O136" s="192">
        <f>'Inputs by customer type'!O101</f>
        <v>0</v>
      </c>
      <c r="P136" s="192">
        <f>'Inputs by customer type'!P101</f>
        <v>0</v>
      </c>
      <c r="Q136" s="126"/>
      <c r="R136" s="126"/>
      <c r="S136" s="126"/>
      <c r="T136" s="126"/>
      <c r="U136" s="126"/>
      <c r="V136" s="126"/>
      <c r="W136" s="126"/>
      <c r="X136" s="126"/>
      <c r="Y136" s="126"/>
      <c r="AQ136" s="3"/>
    </row>
    <row r="137" spans="5:43" x14ac:dyDescent="0.25">
      <c r="E137" s="75"/>
      <c r="F137" s="118" t="s">
        <v>250</v>
      </c>
      <c r="G137" s="118" t="s">
        <v>249</v>
      </c>
      <c r="J137" s="126"/>
      <c r="K137" s="126"/>
      <c r="L137" s="192">
        <f>'Inputs by customer type'!L102</f>
        <v>0</v>
      </c>
      <c r="M137" s="126"/>
      <c r="N137" s="192">
        <f>'Inputs by customer type'!N102</f>
        <v>3.5671232876712327</v>
      </c>
      <c r="O137" s="192">
        <f>'Inputs by customer type'!O102</f>
        <v>0</v>
      </c>
      <c r="P137" s="192">
        <f>'Inputs by customer type'!P102</f>
        <v>0</v>
      </c>
      <c r="Q137" s="126"/>
      <c r="R137" s="126"/>
      <c r="S137" s="126"/>
      <c r="T137" s="126"/>
      <c r="U137" s="126"/>
      <c r="V137" s="126"/>
      <c r="W137" s="126"/>
      <c r="X137" s="126"/>
      <c r="Y137" s="126"/>
      <c r="AQ137" s="3"/>
    </row>
    <row r="138" spans="5:43" x14ac:dyDescent="0.25">
      <c r="E138" s="75"/>
      <c r="F138" s="120" t="s">
        <v>251</v>
      </c>
      <c r="G138" s="120" t="s">
        <v>252</v>
      </c>
      <c r="H138" s="96"/>
      <c r="I138" s="96"/>
      <c r="J138" s="121"/>
      <c r="K138" s="121"/>
      <c r="L138" s="171">
        <f>'Inputs by customer type'!L103</f>
        <v>0</v>
      </c>
      <c r="M138" s="121"/>
      <c r="N138" s="171">
        <f>'Inputs by customer type'!N103</f>
        <v>516.75760000000002</v>
      </c>
      <c r="O138" s="171">
        <f>'Inputs by customer type'!O103</f>
        <v>0</v>
      </c>
      <c r="P138" s="171">
        <f>'Inputs by customer type'!P103</f>
        <v>0</v>
      </c>
      <c r="Q138" s="121"/>
      <c r="R138" s="121"/>
      <c r="S138" s="121"/>
      <c r="T138" s="121"/>
      <c r="U138" s="121"/>
      <c r="V138" s="121"/>
      <c r="W138" s="121"/>
      <c r="X138" s="121"/>
      <c r="Y138" s="121"/>
      <c r="AQ138" s="3"/>
    </row>
    <row r="139" spans="5:43" x14ac:dyDescent="0.25">
      <c r="AQ139" s="3"/>
    </row>
    <row r="140" spans="5:43" x14ac:dyDescent="0.25">
      <c r="E140" s="75" t="s">
        <v>897</v>
      </c>
      <c r="G140" s="61"/>
      <c r="I140" t="s">
        <v>152</v>
      </c>
      <c r="AQ140" s="3"/>
    </row>
    <row r="141" spans="5:43" x14ac:dyDescent="0.25">
      <c r="E141" s="75"/>
      <c r="F141" s="116" t="s">
        <v>245</v>
      </c>
      <c r="G141" s="116" t="s">
        <v>205</v>
      </c>
      <c r="H141" s="95"/>
      <c r="I141" s="95"/>
      <c r="J141" s="117"/>
      <c r="K141" s="117"/>
      <c r="L141" s="170">
        <f>'Inputs by customer type'!L106</f>
        <v>61.470355801425313</v>
      </c>
      <c r="M141" s="117"/>
      <c r="N141" s="170">
        <f>'Inputs by customer type'!N106</f>
        <v>651.8457421548685</v>
      </c>
      <c r="O141" s="170">
        <f>'Inputs by customer type'!O106</f>
        <v>0</v>
      </c>
      <c r="P141" s="170">
        <f>'Inputs by customer type'!P106</f>
        <v>0</v>
      </c>
      <c r="Q141" s="117"/>
      <c r="R141" s="117"/>
      <c r="S141" s="117"/>
      <c r="T141" s="117"/>
      <c r="U141" s="117"/>
      <c r="V141" s="117"/>
      <c r="W141" s="117"/>
      <c r="X141" s="117"/>
      <c r="Y141" s="117"/>
      <c r="AQ141" s="3"/>
    </row>
    <row r="142" spans="5:43" x14ac:dyDescent="0.25">
      <c r="E142" s="75"/>
      <c r="F142" s="118" t="s">
        <v>246</v>
      </c>
      <c r="G142" s="118" t="s">
        <v>205</v>
      </c>
      <c r="J142" s="126"/>
      <c r="K142" s="126"/>
      <c r="L142" s="192">
        <f>'Inputs by customer type'!L107</f>
        <v>224.5665870758485</v>
      </c>
      <c r="M142" s="126"/>
      <c r="N142" s="192">
        <f>'Inputs by customer type'!N107</f>
        <v>2358.5634723120479</v>
      </c>
      <c r="O142" s="192">
        <f>'Inputs by customer type'!O107</f>
        <v>0</v>
      </c>
      <c r="P142" s="192">
        <f>'Inputs by customer type'!P107</f>
        <v>0</v>
      </c>
      <c r="Q142" s="126"/>
      <c r="R142" s="126"/>
      <c r="S142" s="126"/>
      <c r="T142" s="126"/>
      <c r="U142" s="126"/>
      <c r="V142" s="126"/>
      <c r="W142" s="126"/>
      <c r="X142" s="126"/>
      <c r="Y142" s="126"/>
      <c r="AQ142" s="3"/>
    </row>
    <row r="143" spans="5:43" x14ac:dyDescent="0.25">
      <c r="E143" s="75"/>
      <c r="F143" s="118" t="s">
        <v>247</v>
      </c>
      <c r="G143" s="118" t="s">
        <v>205</v>
      </c>
      <c r="J143" s="126"/>
      <c r="K143" s="126"/>
      <c r="L143" s="192">
        <f>'Inputs by customer type'!L108</f>
        <v>230.16194603042726</v>
      </c>
      <c r="M143" s="126"/>
      <c r="N143" s="192">
        <f>'Inputs by customer type'!N108</f>
        <v>2717.5809132152681</v>
      </c>
      <c r="O143" s="192">
        <f>'Inputs by customer type'!O108</f>
        <v>0</v>
      </c>
      <c r="P143" s="192">
        <f>'Inputs by customer type'!P108</f>
        <v>0</v>
      </c>
      <c r="Q143" s="126"/>
      <c r="R143" s="126"/>
      <c r="S143" s="126"/>
      <c r="T143" s="126"/>
      <c r="U143" s="126"/>
      <c r="V143" s="126"/>
      <c r="W143" s="126"/>
      <c r="X143" s="126"/>
      <c r="Y143" s="126"/>
      <c r="AQ143" s="3"/>
    </row>
    <row r="144" spans="5:43" x14ac:dyDescent="0.25">
      <c r="E144" s="75"/>
      <c r="F144" s="118" t="s">
        <v>210</v>
      </c>
      <c r="G144" s="118" t="s">
        <v>210</v>
      </c>
      <c r="J144" s="126"/>
      <c r="K144" s="126"/>
      <c r="L144" s="192">
        <f>'Inputs by customer type'!L109</f>
        <v>51.16719983041633</v>
      </c>
      <c r="M144" s="126"/>
      <c r="N144" s="192">
        <f>'Inputs by customer type'!N109</f>
        <v>22.967820372755462</v>
      </c>
      <c r="O144" s="192">
        <f>'Inputs by customer type'!O109</f>
        <v>0</v>
      </c>
      <c r="P144" s="192">
        <f>'Inputs by customer type'!P109</f>
        <v>0</v>
      </c>
      <c r="Q144" s="126"/>
      <c r="R144" s="126"/>
      <c r="S144" s="126"/>
      <c r="T144" s="126"/>
      <c r="U144" s="126"/>
      <c r="V144" s="126"/>
      <c r="W144" s="126"/>
      <c r="X144" s="126"/>
      <c r="Y144" s="126"/>
      <c r="AQ144" s="3"/>
    </row>
    <row r="145" spans="3:43" x14ac:dyDescent="0.25">
      <c r="E145" s="75"/>
      <c r="F145" s="118" t="s">
        <v>248</v>
      </c>
      <c r="G145" s="118" t="s">
        <v>249</v>
      </c>
      <c r="J145" s="126"/>
      <c r="K145" s="126"/>
      <c r="L145" s="192">
        <f>'Inputs by customer type'!L110</f>
        <v>0</v>
      </c>
      <c r="M145" s="126"/>
      <c r="N145" s="192">
        <f>'Inputs by customer type'!N110</f>
        <v>6146</v>
      </c>
      <c r="O145" s="192">
        <f>'Inputs by customer type'!O110</f>
        <v>0</v>
      </c>
      <c r="P145" s="192">
        <f>'Inputs by customer type'!P110</f>
        <v>0</v>
      </c>
      <c r="Q145" s="126"/>
      <c r="R145" s="126"/>
      <c r="S145" s="126"/>
      <c r="T145" s="126"/>
      <c r="U145" s="126"/>
      <c r="V145" s="126"/>
      <c r="W145" s="126"/>
      <c r="X145" s="126"/>
      <c r="Y145" s="126"/>
      <c r="AQ145" s="3"/>
    </row>
    <row r="146" spans="3:43" x14ac:dyDescent="0.25">
      <c r="E146" s="75"/>
      <c r="F146" s="118" t="s">
        <v>250</v>
      </c>
      <c r="G146" s="118" t="s">
        <v>249</v>
      </c>
      <c r="J146" s="126"/>
      <c r="K146" s="126"/>
      <c r="L146" s="192">
        <f>'Inputs by customer type'!L111</f>
        <v>0</v>
      </c>
      <c r="M146" s="126"/>
      <c r="N146" s="192">
        <f>'Inputs by customer type'!N111</f>
        <v>0</v>
      </c>
      <c r="O146" s="192">
        <f>'Inputs by customer type'!O111</f>
        <v>0</v>
      </c>
      <c r="P146" s="192">
        <f>'Inputs by customer type'!P111</f>
        <v>0</v>
      </c>
      <c r="Q146" s="126"/>
      <c r="R146" s="126"/>
      <c r="S146" s="126"/>
      <c r="T146" s="126"/>
      <c r="U146" s="126"/>
      <c r="V146" s="126"/>
      <c r="W146" s="126"/>
      <c r="X146" s="126"/>
      <c r="Y146" s="126"/>
      <c r="AQ146" s="3"/>
    </row>
    <row r="147" spans="3:43" x14ac:dyDescent="0.25">
      <c r="E147" s="75"/>
      <c r="F147" s="120" t="s">
        <v>251</v>
      </c>
      <c r="G147" s="120" t="s">
        <v>252</v>
      </c>
      <c r="H147" s="96"/>
      <c r="I147" s="96"/>
      <c r="J147" s="121"/>
      <c r="K147" s="121"/>
      <c r="L147" s="171">
        <f>'Inputs by customer type'!L112</f>
        <v>0</v>
      </c>
      <c r="M147" s="121"/>
      <c r="N147" s="171">
        <f>'Inputs by customer type'!N112</f>
        <v>359.30200000000002</v>
      </c>
      <c r="O147" s="171">
        <f>'Inputs by customer type'!O112</f>
        <v>0</v>
      </c>
      <c r="P147" s="171">
        <f>'Inputs by customer type'!P112</f>
        <v>0</v>
      </c>
      <c r="Q147" s="121"/>
      <c r="R147" s="121"/>
      <c r="S147" s="121"/>
      <c r="T147" s="121"/>
      <c r="U147" s="121"/>
      <c r="V147" s="121"/>
      <c r="W147" s="121"/>
      <c r="X147" s="121"/>
      <c r="Y147" s="121"/>
      <c r="AQ147" s="3"/>
    </row>
    <row r="148" spans="3:43" x14ac:dyDescent="0.25">
      <c r="AQ148" s="3"/>
    </row>
    <row r="149" spans="3:43" x14ac:dyDescent="0.25">
      <c r="C149" s="86"/>
      <c r="D149" s="86" t="s">
        <v>907</v>
      </c>
      <c r="AQ149" s="3"/>
    </row>
    <row r="150" spans="3:43" x14ac:dyDescent="0.25">
      <c r="AQ150" s="3"/>
    </row>
    <row r="151" spans="3:43" x14ac:dyDescent="0.25">
      <c r="E151" s="75" t="s">
        <v>858</v>
      </c>
      <c r="G151" s="61"/>
      <c r="I151" t="s">
        <v>152</v>
      </c>
      <c r="AQ151" s="3"/>
    </row>
    <row r="152" spans="3:43" x14ac:dyDescent="0.25">
      <c r="E152" s="75"/>
      <c r="F152" s="116" t="s">
        <v>245</v>
      </c>
      <c r="G152" s="116" t="s">
        <v>205</v>
      </c>
      <c r="H152" s="95"/>
      <c r="I152" s="95"/>
      <c r="J152" s="117"/>
      <c r="K152" s="170">
        <f>'Inputs by customer type'!K117</f>
        <v>0</v>
      </c>
      <c r="L152" s="170">
        <f>'Inputs by customer type'!L117</f>
        <v>0</v>
      </c>
      <c r="M152" s="170">
        <f>'Inputs by customer type'!M117</f>
        <v>0</v>
      </c>
      <c r="N152" s="170">
        <f>'Inputs by customer type'!N117</f>
        <v>0</v>
      </c>
      <c r="O152" s="170">
        <f>'Inputs by customer type'!O117</f>
        <v>0</v>
      </c>
      <c r="P152" s="170">
        <f>'Inputs by customer type'!P117</f>
        <v>0</v>
      </c>
      <c r="Q152" s="117"/>
      <c r="R152" s="170">
        <f>'Inputs by customer type'!R117</f>
        <v>230.125</v>
      </c>
      <c r="S152" s="170">
        <f>'Inputs by customer type'!S117</f>
        <v>0</v>
      </c>
      <c r="T152" s="170">
        <f>'Inputs by customer type'!T117</f>
        <v>84.814999999999998</v>
      </c>
      <c r="U152" s="170">
        <f>'Inputs by customer type'!U117</f>
        <v>0</v>
      </c>
      <c r="V152" s="170">
        <f>'Inputs by customer type'!V117</f>
        <v>0.17</v>
      </c>
      <c r="W152" s="170">
        <f>'Inputs by customer type'!W117</f>
        <v>0</v>
      </c>
      <c r="X152" s="170">
        <f>'Inputs by customer type'!X117</f>
        <v>0</v>
      </c>
      <c r="Y152" s="170">
        <f>'Inputs by customer type'!Y117</f>
        <v>0</v>
      </c>
      <c r="AQ152" s="3"/>
    </row>
    <row r="153" spans="3:43" x14ac:dyDescent="0.25">
      <c r="E153" s="75"/>
      <c r="F153" s="118" t="s">
        <v>246</v>
      </c>
      <c r="G153" s="118" t="s">
        <v>205</v>
      </c>
      <c r="J153" s="126"/>
      <c r="K153" s="192">
        <f>'Inputs by customer type'!K118</f>
        <v>0</v>
      </c>
      <c r="L153" s="192">
        <f>'Inputs by customer type'!L118</f>
        <v>0</v>
      </c>
      <c r="M153" s="192">
        <f>'Inputs by customer type'!M118</f>
        <v>0</v>
      </c>
      <c r="N153" s="192">
        <f>'Inputs by customer type'!N118</f>
        <v>0</v>
      </c>
      <c r="O153" s="192">
        <f>'Inputs by customer type'!O118</f>
        <v>0</v>
      </c>
      <c r="P153" s="192">
        <f>'Inputs by customer type'!P118</f>
        <v>0</v>
      </c>
      <c r="Q153" s="126"/>
      <c r="R153" s="192">
        <f>'Inputs by customer type'!R118</f>
        <v>984.601</v>
      </c>
      <c r="S153" s="192">
        <f>'Inputs by customer type'!S118</f>
        <v>0</v>
      </c>
      <c r="T153" s="192">
        <f>'Inputs by customer type'!T118</f>
        <v>251.92699999999999</v>
      </c>
      <c r="U153" s="192">
        <f>'Inputs by customer type'!U118</f>
        <v>0</v>
      </c>
      <c r="V153" s="192">
        <f>'Inputs by customer type'!V118</f>
        <v>1.5920000000000001</v>
      </c>
      <c r="W153" s="192">
        <f>'Inputs by customer type'!W118</f>
        <v>0</v>
      </c>
      <c r="X153" s="192">
        <f>'Inputs by customer type'!X118</f>
        <v>0</v>
      </c>
      <c r="Y153" s="192">
        <f>'Inputs by customer type'!Y118</f>
        <v>0</v>
      </c>
      <c r="AQ153" s="3"/>
    </row>
    <row r="154" spans="3:43" x14ac:dyDescent="0.25">
      <c r="E154" s="75"/>
      <c r="F154" s="118" t="s">
        <v>247</v>
      </c>
      <c r="G154" s="118" t="s">
        <v>205</v>
      </c>
      <c r="J154" s="126"/>
      <c r="K154" s="192">
        <f>'Inputs by customer type'!K119</f>
        <v>0</v>
      </c>
      <c r="L154" s="192">
        <f>'Inputs by customer type'!L119</f>
        <v>0</v>
      </c>
      <c r="M154" s="192">
        <f>'Inputs by customer type'!M119</f>
        <v>0</v>
      </c>
      <c r="N154" s="192">
        <f>'Inputs by customer type'!N119</f>
        <v>0</v>
      </c>
      <c r="O154" s="192">
        <f>'Inputs by customer type'!O119</f>
        <v>0</v>
      </c>
      <c r="P154" s="192">
        <f>'Inputs by customer type'!P119</f>
        <v>0</v>
      </c>
      <c r="Q154" s="126"/>
      <c r="R154" s="192">
        <f>'Inputs by customer type'!R119</f>
        <v>580.29999999999995</v>
      </c>
      <c r="S154" s="192">
        <f>'Inputs by customer type'!S119</f>
        <v>0</v>
      </c>
      <c r="T154" s="192">
        <f>'Inputs by customer type'!T119</f>
        <v>504.68799999999999</v>
      </c>
      <c r="U154" s="192">
        <f>'Inputs by customer type'!U119</f>
        <v>0</v>
      </c>
      <c r="V154" s="192">
        <f>'Inputs by customer type'!V119</f>
        <v>1.3879999999999999</v>
      </c>
      <c r="W154" s="192">
        <f>'Inputs by customer type'!W119</f>
        <v>0</v>
      </c>
      <c r="X154" s="192">
        <f>'Inputs by customer type'!X119</f>
        <v>0</v>
      </c>
      <c r="Y154" s="192">
        <f>'Inputs by customer type'!Y119</f>
        <v>0</v>
      </c>
      <c r="AQ154" s="3"/>
    </row>
    <row r="155" spans="3:43" x14ac:dyDescent="0.25">
      <c r="E155" s="75"/>
      <c r="F155" s="118" t="s">
        <v>210</v>
      </c>
      <c r="G155" s="118" t="s">
        <v>210</v>
      </c>
      <c r="J155" s="126"/>
      <c r="K155" s="192">
        <f>'Inputs by customer type'!K120</f>
        <v>0</v>
      </c>
      <c r="L155" s="192">
        <f>'Inputs by customer type'!L120</f>
        <v>0</v>
      </c>
      <c r="M155" s="192">
        <f>'Inputs by customer type'!M120</f>
        <v>0</v>
      </c>
      <c r="N155" s="192">
        <f>'Inputs by customer type'!N120</f>
        <v>0</v>
      </c>
      <c r="O155" s="192">
        <f>'Inputs by customer type'!O120</f>
        <v>0</v>
      </c>
      <c r="P155" s="192">
        <f>'Inputs by customer type'!P120</f>
        <v>0</v>
      </c>
      <c r="Q155" s="126"/>
      <c r="R155" s="192">
        <f>'Inputs by customer type'!R120</f>
        <v>673.7</v>
      </c>
      <c r="S155" s="192">
        <f>'Inputs by customer type'!S120</f>
        <v>0</v>
      </c>
      <c r="T155" s="192">
        <f>'Inputs by customer type'!T120</f>
        <v>11</v>
      </c>
      <c r="U155" s="192">
        <f>'Inputs by customer type'!U120</f>
        <v>0</v>
      </c>
      <c r="V155" s="192">
        <f>'Inputs by customer type'!V120</f>
        <v>1</v>
      </c>
      <c r="W155" s="192">
        <f>'Inputs by customer type'!W120</f>
        <v>0</v>
      </c>
      <c r="X155" s="192">
        <f>'Inputs by customer type'!X120</f>
        <v>0</v>
      </c>
      <c r="Y155" s="192">
        <f>'Inputs by customer type'!Y120</f>
        <v>0</v>
      </c>
      <c r="AQ155" s="3"/>
    </row>
    <row r="156" spans="3:43" x14ac:dyDescent="0.25">
      <c r="E156" s="75"/>
      <c r="F156" s="118" t="s">
        <v>248</v>
      </c>
      <c r="G156" s="118" t="s">
        <v>249</v>
      </c>
      <c r="J156" s="126"/>
      <c r="K156" s="192">
        <f>'Inputs by customer type'!K121</f>
        <v>0</v>
      </c>
      <c r="L156" s="192">
        <f>'Inputs by customer type'!L121</f>
        <v>0</v>
      </c>
      <c r="M156" s="192">
        <f>'Inputs by customer type'!M121</f>
        <v>0</v>
      </c>
      <c r="N156" s="192">
        <f>'Inputs by customer type'!N121</f>
        <v>0</v>
      </c>
      <c r="O156" s="192">
        <f>'Inputs by customer type'!O121</f>
        <v>0</v>
      </c>
      <c r="P156" s="192">
        <f>'Inputs by customer type'!P121</f>
        <v>0</v>
      </c>
      <c r="Q156" s="126"/>
      <c r="R156" s="192">
        <f>'Inputs by customer type'!R121</f>
        <v>0</v>
      </c>
      <c r="S156" s="192">
        <f>'Inputs by customer type'!S121</f>
        <v>0</v>
      </c>
      <c r="T156" s="192">
        <f>'Inputs by customer type'!T121</f>
        <v>0</v>
      </c>
      <c r="U156" s="192">
        <f>'Inputs by customer type'!U121</f>
        <v>0</v>
      </c>
      <c r="V156" s="192">
        <f>'Inputs by customer type'!V121</f>
        <v>0</v>
      </c>
      <c r="W156" s="192">
        <f>'Inputs by customer type'!W121</f>
        <v>0</v>
      </c>
      <c r="X156" s="192">
        <f>'Inputs by customer type'!X121</f>
        <v>0</v>
      </c>
      <c r="Y156" s="192">
        <f>'Inputs by customer type'!Y121</f>
        <v>0</v>
      </c>
      <c r="AQ156" s="3"/>
    </row>
    <row r="157" spans="3:43" x14ac:dyDescent="0.25">
      <c r="E157" s="75"/>
      <c r="F157" s="118" t="s">
        <v>250</v>
      </c>
      <c r="G157" s="118" t="s">
        <v>249</v>
      </c>
      <c r="J157" s="126"/>
      <c r="K157" s="192">
        <f>'Inputs by customer type'!K122</f>
        <v>0</v>
      </c>
      <c r="L157" s="192">
        <f>'Inputs by customer type'!L122</f>
        <v>0</v>
      </c>
      <c r="M157" s="192">
        <f>'Inputs by customer type'!M122</f>
        <v>0</v>
      </c>
      <c r="N157" s="192">
        <f>'Inputs by customer type'!N122</f>
        <v>0</v>
      </c>
      <c r="O157" s="192">
        <f>'Inputs by customer type'!O122</f>
        <v>0</v>
      </c>
      <c r="P157" s="192">
        <f>'Inputs by customer type'!P122</f>
        <v>0</v>
      </c>
      <c r="Q157" s="126"/>
      <c r="R157" s="192">
        <f>'Inputs by customer type'!R122</f>
        <v>0</v>
      </c>
      <c r="S157" s="192">
        <f>'Inputs by customer type'!S122</f>
        <v>0</v>
      </c>
      <c r="T157" s="192">
        <f>'Inputs by customer type'!T122</f>
        <v>0</v>
      </c>
      <c r="U157" s="192">
        <f>'Inputs by customer type'!U122</f>
        <v>0</v>
      </c>
      <c r="V157" s="192">
        <f>'Inputs by customer type'!V122</f>
        <v>0</v>
      </c>
      <c r="W157" s="192">
        <f>'Inputs by customer type'!W122</f>
        <v>0</v>
      </c>
      <c r="X157" s="192">
        <f>'Inputs by customer type'!X122</f>
        <v>0</v>
      </c>
      <c r="Y157" s="192">
        <f>'Inputs by customer type'!Y122</f>
        <v>0</v>
      </c>
      <c r="AQ157" s="3"/>
    </row>
    <row r="158" spans="3:43" x14ac:dyDescent="0.25">
      <c r="E158" s="75"/>
      <c r="F158" s="120" t="s">
        <v>251</v>
      </c>
      <c r="G158" s="120" t="s">
        <v>252</v>
      </c>
      <c r="H158" s="96"/>
      <c r="I158" s="96"/>
      <c r="J158" s="121"/>
      <c r="K158" s="171">
        <f>'Inputs by customer type'!K123</f>
        <v>0</v>
      </c>
      <c r="L158" s="171">
        <f>'Inputs by customer type'!L123</f>
        <v>0</v>
      </c>
      <c r="M158" s="171">
        <f>'Inputs by customer type'!M123</f>
        <v>0</v>
      </c>
      <c r="N158" s="171">
        <f>'Inputs by customer type'!N123</f>
        <v>0</v>
      </c>
      <c r="O158" s="171">
        <f>'Inputs by customer type'!O123</f>
        <v>0</v>
      </c>
      <c r="P158" s="171">
        <f>'Inputs by customer type'!P123</f>
        <v>0</v>
      </c>
      <c r="Q158" s="121"/>
      <c r="R158" s="171">
        <f>'Inputs by customer type'!R123</f>
        <v>0</v>
      </c>
      <c r="S158" s="171">
        <f>'Inputs by customer type'!S123</f>
        <v>0</v>
      </c>
      <c r="T158" s="171">
        <f>'Inputs by customer type'!T123</f>
        <v>646.82399999999996</v>
      </c>
      <c r="U158" s="171">
        <f>'Inputs by customer type'!U123</f>
        <v>0</v>
      </c>
      <c r="V158" s="171">
        <f>'Inputs by customer type'!V123</f>
        <v>1.1100000000000001</v>
      </c>
      <c r="W158" s="171">
        <f>'Inputs by customer type'!W123</f>
        <v>0</v>
      </c>
      <c r="X158" s="171">
        <f>'Inputs by customer type'!X123</f>
        <v>0</v>
      </c>
      <c r="Y158" s="171">
        <f>'Inputs by customer type'!Y123</f>
        <v>0</v>
      </c>
      <c r="AQ158" s="3"/>
    </row>
    <row r="159" spans="3:43" x14ac:dyDescent="0.25">
      <c r="AQ159" s="3"/>
    </row>
    <row r="160" spans="3:43" x14ac:dyDescent="0.25">
      <c r="E160" s="75" t="s">
        <v>898</v>
      </c>
      <c r="G160" s="61"/>
      <c r="I160" t="s">
        <v>152</v>
      </c>
      <c r="AQ160" s="3"/>
    </row>
    <row r="161" spans="5:43" x14ac:dyDescent="0.25">
      <c r="E161" s="75"/>
      <c r="F161" s="116" t="s">
        <v>245</v>
      </c>
      <c r="G161" s="116" t="s">
        <v>205</v>
      </c>
      <c r="H161" s="95"/>
      <c r="I161" s="95"/>
      <c r="J161" s="170">
        <f>'Inputs by customer type'!J126</f>
        <v>31829.037375021369</v>
      </c>
      <c r="K161" s="117"/>
      <c r="L161" s="170">
        <f>'Inputs by customer type'!L126</f>
        <v>643.82002526439703</v>
      </c>
      <c r="M161" s="117"/>
      <c r="N161" s="170">
        <f>'Inputs by customer type'!N126</f>
        <v>355.27523191957931</v>
      </c>
      <c r="O161" s="170">
        <f>'Inputs by customer type'!O126</f>
        <v>21.920595632617061</v>
      </c>
      <c r="P161" s="170">
        <f>'Inputs by customer type'!P126</f>
        <v>70.258122065776249</v>
      </c>
      <c r="Q161" s="170">
        <f>'Inputs by customer type'!Q126</f>
        <v>40.707850525482606</v>
      </c>
      <c r="R161" s="117"/>
      <c r="S161" s="117"/>
      <c r="T161" s="117"/>
      <c r="U161" s="117"/>
      <c r="V161" s="117"/>
      <c r="W161" s="117"/>
      <c r="X161" s="117"/>
      <c r="Y161" s="117"/>
      <c r="AQ161" s="3"/>
    </row>
    <row r="162" spans="5:43" x14ac:dyDescent="0.25">
      <c r="E162" s="75"/>
      <c r="F162" s="118" t="s">
        <v>246</v>
      </c>
      <c r="G162" s="118" t="s">
        <v>205</v>
      </c>
      <c r="J162" s="192">
        <f>'Inputs by customer type'!J127</f>
        <v>79080.430414891482</v>
      </c>
      <c r="K162" s="126"/>
      <c r="L162" s="192">
        <f>'Inputs by customer type'!L127</f>
        <v>2405.0519923834713</v>
      </c>
      <c r="M162" s="126"/>
      <c r="N162" s="192">
        <f>'Inputs by customer type'!N127</f>
        <v>1195.1781652446687</v>
      </c>
      <c r="O162" s="192">
        <f>'Inputs by customer type'!O127</f>
        <v>79.699102276418756</v>
      </c>
      <c r="P162" s="192">
        <f>'Inputs by customer type'!P127</f>
        <v>209.75268025935443</v>
      </c>
      <c r="Q162" s="192">
        <f>'Inputs by customer type'!Q127</f>
        <v>377.84831934996407</v>
      </c>
      <c r="R162" s="126"/>
      <c r="S162" s="126"/>
      <c r="T162" s="126"/>
      <c r="U162" s="126"/>
      <c r="V162" s="126"/>
      <c r="W162" s="126"/>
      <c r="X162" s="126"/>
      <c r="Y162" s="126"/>
      <c r="AQ162" s="3"/>
    </row>
    <row r="163" spans="5:43" x14ac:dyDescent="0.25">
      <c r="E163" s="75"/>
      <c r="F163" s="118" t="s">
        <v>247</v>
      </c>
      <c r="G163" s="118" t="s">
        <v>205</v>
      </c>
      <c r="J163" s="192">
        <f>'Inputs by customer type'!J128</f>
        <v>118157.8057162469</v>
      </c>
      <c r="K163" s="126"/>
      <c r="L163" s="192">
        <f>'Inputs by customer type'!L128</f>
        <v>2463.3335185133765</v>
      </c>
      <c r="M163" s="126"/>
      <c r="N163" s="192">
        <f>'Inputs by customer type'!N128</f>
        <v>1500.0113393091394</v>
      </c>
      <c r="O163" s="192">
        <f>'Inputs by customer type'!O128</f>
        <v>80.365104526443531</v>
      </c>
      <c r="P163" s="192">
        <f>'Inputs by customer type'!P128</f>
        <v>176.04767660096385</v>
      </c>
      <c r="Q163" s="192">
        <f>'Inputs by customer type'!Q128</f>
        <v>604.00730285321674</v>
      </c>
      <c r="R163" s="126"/>
      <c r="S163" s="126"/>
      <c r="T163" s="126"/>
      <c r="U163" s="126"/>
      <c r="V163" s="126"/>
      <c r="W163" s="126"/>
      <c r="X163" s="126"/>
      <c r="Y163" s="126"/>
      <c r="AQ163" s="3"/>
    </row>
    <row r="164" spans="5:43" x14ac:dyDescent="0.25">
      <c r="E164" s="75"/>
      <c r="F164" s="118" t="s">
        <v>210</v>
      </c>
      <c r="G164" s="118" t="s">
        <v>210</v>
      </c>
      <c r="J164" s="192">
        <f>'Inputs by customer type'!J129</f>
        <v>76462.255868941589</v>
      </c>
      <c r="K164" s="126"/>
      <c r="L164" s="192">
        <f>'Inputs by customer type'!L129</f>
        <v>553.94980099030954</v>
      </c>
      <c r="M164" s="126"/>
      <c r="N164" s="192">
        <f>'Inputs by customer type'!N129</f>
        <v>57.419550931888651</v>
      </c>
      <c r="O164" s="192">
        <f>'Inputs by customer type'!O129</f>
        <v>1</v>
      </c>
      <c r="P164" s="192">
        <f>'Inputs by customer type'!P129</f>
        <v>7.6559401242518197</v>
      </c>
      <c r="Q164" s="192">
        <f>'Inputs by customer type'!Q129</f>
        <v>290.92572472156917</v>
      </c>
      <c r="R164" s="126"/>
      <c r="S164" s="126"/>
      <c r="T164" s="126"/>
      <c r="U164" s="126"/>
      <c r="V164" s="126"/>
      <c r="W164" s="126"/>
      <c r="X164" s="126"/>
      <c r="Y164" s="126"/>
      <c r="AQ164" s="3"/>
    </row>
    <row r="165" spans="5:43" x14ac:dyDescent="0.25">
      <c r="E165" s="75"/>
      <c r="F165" s="118" t="s">
        <v>248</v>
      </c>
      <c r="G165" s="118" t="s">
        <v>249</v>
      </c>
      <c r="J165" s="192">
        <f>'Inputs by customer type'!J130</f>
        <v>0</v>
      </c>
      <c r="K165" s="126"/>
      <c r="L165" s="192">
        <f>'Inputs by customer type'!L130</f>
        <v>0</v>
      </c>
      <c r="M165" s="126"/>
      <c r="N165" s="192">
        <f>'Inputs by customer type'!N130</f>
        <v>5717</v>
      </c>
      <c r="O165" s="192">
        <f>'Inputs by customer type'!O130</f>
        <v>0</v>
      </c>
      <c r="P165" s="192">
        <f>'Inputs by customer type'!P130</f>
        <v>1515</v>
      </c>
      <c r="Q165" s="192">
        <f>'Inputs by customer type'!Q130</f>
        <v>0</v>
      </c>
      <c r="R165" s="126"/>
      <c r="S165" s="126"/>
      <c r="T165" s="126"/>
      <c r="U165" s="126"/>
      <c r="V165" s="126"/>
      <c r="W165" s="126"/>
      <c r="X165" s="126"/>
      <c r="Y165" s="126"/>
      <c r="AQ165" s="3"/>
    </row>
    <row r="166" spans="5:43" x14ac:dyDescent="0.25">
      <c r="E166" s="75"/>
      <c r="F166" s="118" t="s">
        <v>250</v>
      </c>
      <c r="G166" s="118" t="s">
        <v>249</v>
      </c>
      <c r="J166" s="192">
        <f>'Inputs by customer type'!J131</f>
        <v>0</v>
      </c>
      <c r="K166" s="126"/>
      <c r="L166" s="192">
        <f>'Inputs by customer type'!L131</f>
        <v>0</v>
      </c>
      <c r="M166" s="126"/>
      <c r="N166" s="192">
        <f>'Inputs by customer type'!N131</f>
        <v>6.117808219178082</v>
      </c>
      <c r="O166" s="192">
        <f>'Inputs by customer type'!O131</f>
        <v>0</v>
      </c>
      <c r="P166" s="192">
        <f>'Inputs by customer type'!P131</f>
        <v>0</v>
      </c>
      <c r="Q166" s="192">
        <f>'Inputs by customer type'!Q131</f>
        <v>0</v>
      </c>
      <c r="R166" s="126"/>
      <c r="S166" s="126"/>
      <c r="T166" s="126"/>
      <c r="U166" s="126"/>
      <c r="V166" s="126"/>
      <c r="W166" s="126"/>
      <c r="X166" s="126"/>
      <c r="Y166" s="126"/>
      <c r="AQ166" s="3"/>
    </row>
    <row r="167" spans="5:43" x14ac:dyDescent="0.25">
      <c r="E167" s="75"/>
      <c r="F167" s="120" t="s">
        <v>251</v>
      </c>
      <c r="G167" s="120" t="s">
        <v>252</v>
      </c>
      <c r="H167" s="96"/>
      <c r="I167" s="96"/>
      <c r="J167" s="171">
        <f>'Inputs by customer type'!J132</f>
        <v>0</v>
      </c>
      <c r="K167" s="121"/>
      <c r="L167" s="171">
        <f>'Inputs by customer type'!L132</f>
        <v>0</v>
      </c>
      <c r="M167" s="121"/>
      <c r="N167" s="171">
        <f>'Inputs by customer type'!N132</f>
        <v>135.124</v>
      </c>
      <c r="O167" s="171">
        <f>'Inputs by customer type'!O132</f>
        <v>22.466000000000001</v>
      </c>
      <c r="P167" s="171">
        <f>'Inputs by customer type'!P132</f>
        <v>5.1639999999999997</v>
      </c>
      <c r="Q167" s="171">
        <f>'Inputs by customer type'!Q132</f>
        <v>0</v>
      </c>
      <c r="R167" s="121"/>
      <c r="S167" s="121"/>
      <c r="T167" s="121"/>
      <c r="U167" s="121"/>
      <c r="V167" s="121"/>
      <c r="W167" s="121"/>
      <c r="X167" s="121"/>
      <c r="Y167" s="121"/>
      <c r="AQ167" s="3"/>
    </row>
    <row r="168" spans="5:43" x14ac:dyDescent="0.25">
      <c r="AQ168" s="3"/>
    </row>
    <row r="169" spans="5:43" x14ac:dyDescent="0.25">
      <c r="E169" s="75" t="s">
        <v>899</v>
      </c>
      <c r="G169" s="61"/>
      <c r="I169" t="s">
        <v>152</v>
      </c>
      <c r="AQ169" s="3"/>
    </row>
    <row r="170" spans="5:43" x14ac:dyDescent="0.25">
      <c r="E170" s="75"/>
      <c r="F170" s="116" t="s">
        <v>245</v>
      </c>
      <c r="G170" s="116" t="s">
        <v>205</v>
      </c>
      <c r="H170" s="95"/>
      <c r="I170" s="95"/>
      <c r="J170" s="117"/>
      <c r="K170" s="117"/>
      <c r="L170" s="170">
        <f>'Inputs by customer type'!L135</f>
        <v>63.777721905310862</v>
      </c>
      <c r="M170" s="117"/>
      <c r="N170" s="170">
        <f>'Inputs by customer type'!N135</f>
        <v>2001.739870641889</v>
      </c>
      <c r="O170" s="170">
        <f>'Inputs by customer type'!O135</f>
        <v>23.099592989369587</v>
      </c>
      <c r="P170" s="170">
        <f>'Inputs by customer type'!P135</f>
        <v>746.83356114339722</v>
      </c>
      <c r="Q170" s="117"/>
      <c r="R170" s="117"/>
      <c r="S170" s="117"/>
      <c r="T170" s="117"/>
      <c r="U170" s="117"/>
      <c r="V170" s="117"/>
      <c r="W170" s="117"/>
      <c r="X170" s="117"/>
      <c r="Y170" s="117"/>
      <c r="AQ170" s="3"/>
    </row>
    <row r="171" spans="5:43" x14ac:dyDescent="0.25">
      <c r="E171" s="75"/>
      <c r="F171" s="118" t="s">
        <v>246</v>
      </c>
      <c r="G171" s="118" t="s">
        <v>205</v>
      </c>
      <c r="J171" s="126"/>
      <c r="K171" s="126"/>
      <c r="L171" s="192">
        <f>'Inputs by customer type'!L136</f>
        <v>233.59451056002302</v>
      </c>
      <c r="M171" s="126"/>
      <c r="N171" s="192">
        <f>'Inputs by customer type'!N136</f>
        <v>5895.9240720745174</v>
      </c>
      <c r="O171" s="192">
        <f>'Inputs by customer type'!O136</f>
        <v>59.259669945692295</v>
      </c>
      <c r="P171" s="192">
        <f>'Inputs by customer type'!P136</f>
        <v>2001.0417419758055</v>
      </c>
      <c r="Q171" s="126"/>
      <c r="R171" s="126"/>
      <c r="S171" s="126"/>
      <c r="T171" s="126"/>
      <c r="U171" s="126"/>
      <c r="V171" s="126"/>
      <c r="W171" s="126"/>
      <c r="X171" s="126"/>
      <c r="Y171" s="126"/>
      <c r="AQ171" s="3"/>
    </row>
    <row r="172" spans="5:43" x14ac:dyDescent="0.25">
      <c r="E172" s="75"/>
      <c r="F172" s="118" t="s">
        <v>247</v>
      </c>
      <c r="G172" s="118" t="s">
        <v>205</v>
      </c>
      <c r="J172" s="126"/>
      <c r="K172" s="126"/>
      <c r="L172" s="192">
        <f>'Inputs by customer type'!L137</f>
        <v>229.96841444690912</v>
      </c>
      <c r="M172" s="126"/>
      <c r="N172" s="192">
        <f>'Inputs by customer type'!N137</f>
        <v>6309.7310700949438</v>
      </c>
      <c r="O172" s="192">
        <f>'Inputs by customer type'!O137</f>
        <v>102.85449916564507</v>
      </c>
      <c r="P172" s="192">
        <f>'Inputs by customer type'!P137</f>
        <v>3212.5747073624748</v>
      </c>
      <c r="Q172" s="126"/>
      <c r="R172" s="126"/>
      <c r="S172" s="126"/>
      <c r="T172" s="126"/>
      <c r="U172" s="126"/>
      <c r="V172" s="126"/>
      <c r="W172" s="126"/>
      <c r="X172" s="126"/>
      <c r="Y172" s="126"/>
      <c r="AQ172" s="3"/>
    </row>
    <row r="173" spans="5:43" x14ac:dyDescent="0.25">
      <c r="E173" s="75"/>
      <c r="F173" s="118" t="s">
        <v>210</v>
      </c>
      <c r="G173" s="118" t="s">
        <v>210</v>
      </c>
      <c r="J173" s="126"/>
      <c r="K173" s="126"/>
      <c r="L173" s="192">
        <f>'Inputs by customer type'!L138</f>
        <v>62.523511014723212</v>
      </c>
      <c r="M173" s="126"/>
      <c r="N173" s="192">
        <f>'Inputs by customer type'!N138</f>
        <v>119.94306194661185</v>
      </c>
      <c r="O173" s="192">
        <f>'Inputs by customer type'!O138</f>
        <v>1.2759900207086368</v>
      </c>
      <c r="P173" s="192">
        <f>'Inputs by customer type'!P138</f>
        <v>6.3799501035431829</v>
      </c>
      <c r="Q173" s="126"/>
      <c r="R173" s="126"/>
      <c r="S173" s="126"/>
      <c r="T173" s="126"/>
      <c r="U173" s="126"/>
      <c r="V173" s="126"/>
      <c r="W173" s="126"/>
      <c r="X173" s="126"/>
      <c r="Y173" s="126"/>
      <c r="AQ173" s="3"/>
    </row>
    <row r="174" spans="5:43" x14ac:dyDescent="0.25">
      <c r="E174" s="75"/>
      <c r="F174" s="118" t="s">
        <v>248</v>
      </c>
      <c r="G174" s="118" t="s">
        <v>249</v>
      </c>
      <c r="J174" s="126"/>
      <c r="K174" s="126"/>
      <c r="L174" s="192">
        <f>'Inputs by customer type'!L139</f>
        <v>0</v>
      </c>
      <c r="M174" s="126"/>
      <c r="N174" s="192">
        <f>'Inputs by customer type'!N139</f>
        <v>13264</v>
      </c>
      <c r="O174" s="192">
        <f>'Inputs by customer type'!O139</f>
        <v>150</v>
      </c>
      <c r="P174" s="192">
        <f>'Inputs by customer type'!P139</f>
        <v>3806</v>
      </c>
      <c r="Q174" s="126"/>
      <c r="R174" s="126"/>
      <c r="S174" s="126"/>
      <c r="T174" s="126"/>
      <c r="U174" s="126"/>
      <c r="V174" s="126"/>
      <c r="W174" s="126"/>
      <c r="X174" s="126"/>
      <c r="Y174" s="126"/>
      <c r="AQ174" s="3"/>
    </row>
    <row r="175" spans="5:43" x14ac:dyDescent="0.25">
      <c r="E175" s="75"/>
      <c r="F175" s="118" t="s">
        <v>250</v>
      </c>
      <c r="G175" s="118" t="s">
        <v>249</v>
      </c>
      <c r="J175" s="126"/>
      <c r="K175" s="126"/>
      <c r="L175" s="192">
        <f>'Inputs by customer type'!L140</f>
        <v>0</v>
      </c>
      <c r="M175" s="126"/>
      <c r="N175" s="192">
        <f>'Inputs by customer type'!N140</f>
        <v>0.33972602739726027</v>
      </c>
      <c r="O175" s="192">
        <f>'Inputs by customer type'!O140</f>
        <v>0</v>
      </c>
      <c r="P175" s="192">
        <f>'Inputs by customer type'!P140</f>
        <v>0</v>
      </c>
      <c r="Q175" s="126"/>
      <c r="R175" s="126"/>
      <c r="S175" s="126"/>
      <c r="T175" s="126"/>
      <c r="U175" s="126"/>
      <c r="V175" s="126"/>
      <c r="W175" s="126"/>
      <c r="X175" s="126"/>
      <c r="Y175" s="126"/>
      <c r="AQ175" s="3"/>
    </row>
    <row r="176" spans="5:43" x14ac:dyDescent="0.25">
      <c r="E176" s="75"/>
      <c r="F176" s="120" t="s">
        <v>251</v>
      </c>
      <c r="G176" s="120" t="s">
        <v>252</v>
      </c>
      <c r="H176" s="96"/>
      <c r="I176" s="96"/>
      <c r="J176" s="121"/>
      <c r="K176" s="121"/>
      <c r="L176" s="171">
        <f>'Inputs by customer type'!L141</f>
        <v>0</v>
      </c>
      <c r="M176" s="121"/>
      <c r="N176" s="171">
        <f>'Inputs by customer type'!N141</f>
        <v>362.83800000000002</v>
      </c>
      <c r="O176" s="171">
        <f>'Inputs by customer type'!O141</f>
        <v>4.8659999999999997</v>
      </c>
      <c r="P176" s="171">
        <f>'Inputs by customer type'!P141</f>
        <v>20.867000000000001</v>
      </c>
      <c r="Q176" s="121"/>
      <c r="R176" s="121"/>
      <c r="S176" s="121"/>
      <c r="T176" s="121"/>
      <c r="U176" s="121"/>
      <c r="V176" s="121"/>
      <c r="W176" s="121"/>
      <c r="X176" s="121"/>
      <c r="Y176" s="121"/>
      <c r="AQ176" s="3"/>
    </row>
    <row r="177" spans="5:43" x14ac:dyDescent="0.25">
      <c r="AQ177" s="3"/>
    </row>
    <row r="178" spans="5:43" x14ac:dyDescent="0.25">
      <c r="E178" s="75" t="s">
        <v>900</v>
      </c>
      <c r="G178" s="61"/>
      <c r="I178" t="s">
        <v>152</v>
      </c>
      <c r="AQ178" s="3"/>
    </row>
    <row r="179" spans="5:43" x14ac:dyDescent="0.25">
      <c r="E179" s="75"/>
      <c r="F179" s="116" t="s">
        <v>245</v>
      </c>
      <c r="G179" s="116" t="s">
        <v>205</v>
      </c>
      <c r="H179" s="95"/>
      <c r="I179" s="95"/>
      <c r="J179" s="117"/>
      <c r="K179" s="117"/>
      <c r="L179" s="170">
        <f>'Inputs by customer type'!L144</f>
        <v>25.242002373418064</v>
      </c>
      <c r="M179" s="117"/>
      <c r="N179" s="170">
        <f>'Inputs by customer type'!N144</f>
        <v>2413.4032334363415</v>
      </c>
      <c r="O179" s="170">
        <f>'Inputs by customer type'!O144</f>
        <v>340.2666582654191</v>
      </c>
      <c r="P179" s="170">
        <f>'Inputs by customer type'!P144</f>
        <v>917.22498545853773</v>
      </c>
      <c r="Q179" s="117"/>
      <c r="R179" s="117"/>
      <c r="S179" s="117"/>
      <c r="T179" s="117"/>
      <c r="U179" s="117"/>
      <c r="V179" s="117"/>
      <c r="W179" s="117"/>
      <c r="X179" s="117"/>
      <c r="Y179" s="117"/>
      <c r="AQ179" s="3"/>
    </row>
    <row r="180" spans="5:43" x14ac:dyDescent="0.25">
      <c r="E180" s="75"/>
      <c r="F180" s="118" t="s">
        <v>246</v>
      </c>
      <c r="G180" s="118" t="s">
        <v>205</v>
      </c>
      <c r="J180" s="126"/>
      <c r="K180" s="126"/>
      <c r="L180" s="192">
        <f>'Inputs by customer type'!L145</f>
        <v>94.278144601704184</v>
      </c>
      <c r="M180" s="126"/>
      <c r="N180" s="192">
        <f>'Inputs by customer type'!N145</f>
        <v>6919.4852937500391</v>
      </c>
      <c r="O180" s="192">
        <f>'Inputs by customer type'!O145</f>
        <v>977.42062749509728</v>
      </c>
      <c r="P180" s="192">
        <f>'Inputs by customer type'!P145</f>
        <v>2868.2140479588438</v>
      </c>
      <c r="Q180" s="126"/>
      <c r="R180" s="126"/>
      <c r="S180" s="126"/>
      <c r="T180" s="126"/>
      <c r="U180" s="126"/>
      <c r="V180" s="126"/>
      <c r="W180" s="126"/>
      <c r="X180" s="126"/>
      <c r="Y180" s="126"/>
      <c r="AQ180" s="3"/>
    </row>
    <row r="181" spans="5:43" x14ac:dyDescent="0.25">
      <c r="E181" s="75"/>
      <c r="F181" s="118" t="s">
        <v>247</v>
      </c>
      <c r="G181" s="118" t="s">
        <v>205</v>
      </c>
      <c r="J181" s="126"/>
      <c r="K181" s="126"/>
      <c r="L181" s="192">
        <f>'Inputs by customer type'!L146</f>
        <v>99.215814288248879</v>
      </c>
      <c r="M181" s="126"/>
      <c r="N181" s="192">
        <f>'Inputs by customer type'!N146</f>
        <v>9202.1264358624467</v>
      </c>
      <c r="O181" s="192">
        <f>'Inputs by customer type'!O146</f>
        <v>1236.5020422378602</v>
      </c>
      <c r="P181" s="192">
        <f>'Inputs by customer type'!P146</f>
        <v>3658.760540971949</v>
      </c>
      <c r="Q181" s="126"/>
      <c r="R181" s="126"/>
      <c r="S181" s="126"/>
      <c r="T181" s="126"/>
      <c r="U181" s="126"/>
      <c r="V181" s="126"/>
      <c r="W181" s="126"/>
      <c r="X181" s="126"/>
      <c r="Y181" s="126"/>
      <c r="AQ181" s="3"/>
    </row>
    <row r="182" spans="5:43" x14ac:dyDescent="0.25">
      <c r="E182" s="75"/>
      <c r="F182" s="118" t="s">
        <v>210</v>
      </c>
      <c r="G182" s="118" t="s">
        <v>210</v>
      </c>
      <c r="J182" s="126"/>
      <c r="K182" s="126"/>
      <c r="L182" s="192">
        <f>'Inputs by customer type'!L147</f>
        <v>10.207920165669094</v>
      </c>
      <c r="M182" s="126"/>
      <c r="N182" s="192">
        <f>'Inputs by customer type'!N147</f>
        <v>80.387371304644105</v>
      </c>
      <c r="O182" s="192">
        <f>'Inputs by customer type'!O147</f>
        <v>8.9319301449604591</v>
      </c>
      <c r="P182" s="192">
        <f>'Inputs by customer type'!P147</f>
        <v>5.1039600828345471</v>
      </c>
      <c r="Q182" s="126"/>
      <c r="R182" s="126"/>
      <c r="S182" s="126"/>
      <c r="T182" s="126"/>
      <c r="U182" s="126"/>
      <c r="V182" s="126"/>
      <c r="W182" s="126"/>
      <c r="X182" s="126"/>
      <c r="Y182" s="126"/>
      <c r="AQ182" s="3"/>
    </row>
    <row r="183" spans="5:43" x14ac:dyDescent="0.25">
      <c r="E183" s="75"/>
      <c r="F183" s="118" t="s">
        <v>248</v>
      </c>
      <c r="G183" s="118" t="s">
        <v>249</v>
      </c>
      <c r="J183" s="126"/>
      <c r="K183" s="126"/>
      <c r="L183" s="192">
        <f>'Inputs by customer type'!L148</f>
        <v>0</v>
      </c>
      <c r="M183" s="126"/>
      <c r="N183" s="192">
        <f>'Inputs by customer type'!N148</f>
        <v>11561</v>
      </c>
      <c r="O183" s="192">
        <f>'Inputs by customer type'!O148</f>
        <v>1491</v>
      </c>
      <c r="P183" s="192">
        <f>'Inputs by customer type'!P148</f>
        <v>5150</v>
      </c>
      <c r="Q183" s="126"/>
      <c r="R183" s="126"/>
      <c r="S183" s="126"/>
      <c r="T183" s="126"/>
      <c r="U183" s="126"/>
      <c r="V183" s="126"/>
      <c r="W183" s="126"/>
      <c r="X183" s="126"/>
      <c r="Y183" s="126"/>
      <c r="AQ183" s="3"/>
    </row>
    <row r="184" spans="5:43" x14ac:dyDescent="0.25">
      <c r="E184" s="75"/>
      <c r="F184" s="118" t="s">
        <v>250</v>
      </c>
      <c r="G184" s="118" t="s">
        <v>249</v>
      </c>
      <c r="J184" s="126"/>
      <c r="K184" s="126"/>
      <c r="L184" s="192">
        <f>'Inputs by customer type'!L149</f>
        <v>0</v>
      </c>
      <c r="M184" s="126"/>
      <c r="N184" s="192">
        <f>'Inputs by customer type'!N149</f>
        <v>0</v>
      </c>
      <c r="O184" s="192">
        <f>'Inputs by customer type'!O149</f>
        <v>0</v>
      </c>
      <c r="P184" s="192">
        <f>'Inputs by customer type'!P149</f>
        <v>0</v>
      </c>
      <c r="Q184" s="126"/>
      <c r="R184" s="126"/>
      <c r="S184" s="126"/>
      <c r="T184" s="126"/>
      <c r="U184" s="126"/>
      <c r="V184" s="126"/>
      <c r="W184" s="126"/>
      <c r="X184" s="126"/>
      <c r="Y184" s="126"/>
      <c r="AQ184" s="3"/>
    </row>
    <row r="185" spans="5:43" x14ac:dyDescent="0.25">
      <c r="E185" s="75"/>
      <c r="F185" s="120" t="s">
        <v>251</v>
      </c>
      <c r="G185" s="120" t="s">
        <v>252</v>
      </c>
      <c r="H185" s="96"/>
      <c r="I185" s="96"/>
      <c r="J185" s="121"/>
      <c r="K185" s="121"/>
      <c r="L185" s="171">
        <f>'Inputs by customer type'!L150</f>
        <v>0</v>
      </c>
      <c r="M185" s="121"/>
      <c r="N185" s="171">
        <f>'Inputs by customer type'!N150</f>
        <v>445.52199999999999</v>
      </c>
      <c r="O185" s="171">
        <f>'Inputs by customer type'!O150</f>
        <v>18.196999999999999</v>
      </c>
      <c r="P185" s="171">
        <f>'Inputs by customer type'!P150</f>
        <v>1007.367</v>
      </c>
      <c r="Q185" s="121"/>
      <c r="R185" s="121"/>
      <c r="S185" s="121"/>
      <c r="T185" s="121"/>
      <c r="U185" s="121"/>
      <c r="V185" s="121"/>
      <c r="W185" s="121"/>
      <c r="X185" s="121"/>
      <c r="Y185" s="121"/>
      <c r="AQ185" s="3"/>
    </row>
    <row r="186" spans="5:43" x14ac:dyDescent="0.25">
      <c r="AQ186" s="3"/>
    </row>
    <row r="187" spans="5:43" x14ac:dyDescent="0.25">
      <c r="E187" s="75" t="s">
        <v>901</v>
      </c>
      <c r="G187" s="61"/>
      <c r="I187" t="s">
        <v>152</v>
      </c>
      <c r="AQ187" s="3"/>
    </row>
    <row r="188" spans="5:43" x14ac:dyDescent="0.25">
      <c r="E188" s="75"/>
      <c r="F188" s="116" t="s">
        <v>245</v>
      </c>
      <c r="G188" s="116" t="s">
        <v>205</v>
      </c>
      <c r="H188" s="95"/>
      <c r="I188" s="95"/>
      <c r="J188" s="117"/>
      <c r="K188" s="117"/>
      <c r="L188" s="170">
        <f>'Inputs by customer type'!L153</f>
        <v>150.47467025223492</v>
      </c>
      <c r="M188" s="117"/>
      <c r="N188" s="170">
        <f>'Inputs by customer type'!N153</f>
        <v>7748.6955125512804</v>
      </c>
      <c r="O188" s="170">
        <f>'Inputs by customer type'!O153</f>
        <v>3281.5835476877965</v>
      </c>
      <c r="P188" s="170">
        <f>'Inputs by customer type'!P153</f>
        <v>5927.8182270778243</v>
      </c>
      <c r="Q188" s="117"/>
      <c r="R188" s="117"/>
      <c r="S188" s="117"/>
      <c r="T188" s="117"/>
      <c r="U188" s="117"/>
      <c r="V188" s="117"/>
      <c r="W188" s="117"/>
      <c r="X188" s="117"/>
      <c r="Y188" s="117"/>
      <c r="AQ188" s="3"/>
    </row>
    <row r="189" spans="5:43" x14ac:dyDescent="0.25">
      <c r="E189" s="75"/>
      <c r="F189" s="118" t="s">
        <v>246</v>
      </c>
      <c r="G189" s="118" t="s">
        <v>205</v>
      </c>
      <c r="J189" s="126"/>
      <c r="K189" s="126"/>
      <c r="L189" s="192">
        <f>'Inputs by customer type'!L154</f>
        <v>560.72102389980466</v>
      </c>
      <c r="M189" s="126"/>
      <c r="N189" s="192">
        <f>'Inputs by customer type'!N154</f>
        <v>24846.692244107315</v>
      </c>
      <c r="O189" s="192">
        <f>'Inputs by customer type'!O154</f>
        <v>10459.138616231952</v>
      </c>
      <c r="P189" s="192">
        <f>'Inputs by customer type'!P154</f>
        <v>17803.108321774722</v>
      </c>
      <c r="Q189" s="126"/>
      <c r="R189" s="126"/>
      <c r="S189" s="126"/>
      <c r="T189" s="126"/>
      <c r="U189" s="126"/>
      <c r="V189" s="126"/>
      <c r="W189" s="126"/>
      <c r="X189" s="126"/>
      <c r="Y189" s="126"/>
      <c r="AQ189" s="3"/>
    </row>
    <row r="190" spans="5:43" x14ac:dyDescent="0.25">
      <c r="E190" s="75"/>
      <c r="F190" s="118" t="s">
        <v>247</v>
      </c>
      <c r="G190" s="118" t="s">
        <v>205</v>
      </c>
      <c r="J190" s="126"/>
      <c r="K190" s="126"/>
      <c r="L190" s="192">
        <f>'Inputs by customer type'!L155</f>
        <v>579.21794245192518</v>
      </c>
      <c r="M190" s="126"/>
      <c r="N190" s="192">
        <f>'Inputs by customer type'!N155</f>
        <v>31307.872645210697</v>
      </c>
      <c r="O190" s="192">
        <f>'Inputs by customer type'!O155</f>
        <v>10852.495700512316</v>
      </c>
      <c r="P190" s="192">
        <f>'Inputs by customer type'!P155</f>
        <v>28428.944949375062</v>
      </c>
      <c r="Q190" s="126"/>
      <c r="R190" s="126"/>
      <c r="S190" s="126"/>
      <c r="T190" s="126"/>
      <c r="U190" s="126"/>
      <c r="V190" s="126"/>
      <c r="W190" s="126"/>
      <c r="X190" s="126"/>
      <c r="Y190" s="126"/>
      <c r="AQ190" s="3"/>
    </row>
    <row r="191" spans="5:43" x14ac:dyDescent="0.25">
      <c r="E191" s="75"/>
      <c r="F191" s="118" t="s">
        <v>210</v>
      </c>
      <c r="G191" s="118" t="s">
        <v>210</v>
      </c>
      <c r="J191" s="126"/>
      <c r="K191" s="126"/>
      <c r="L191" s="192">
        <f>'Inputs by customer type'!L156</f>
        <v>92.509276501376092</v>
      </c>
      <c r="M191" s="126"/>
      <c r="N191" s="192">
        <f>'Inputs by customer type'!N156</f>
        <v>145.46286236078453</v>
      </c>
      <c r="O191" s="192">
        <f>'Inputs by customer type'!O156</f>
        <v>47.211630766219535</v>
      </c>
      <c r="P191" s="192">
        <f>'Inputs by customer type'!P156</f>
        <v>8.9319301449604591</v>
      </c>
      <c r="Q191" s="126"/>
      <c r="R191" s="126"/>
      <c r="S191" s="126"/>
      <c r="T191" s="126"/>
      <c r="U191" s="126"/>
      <c r="V191" s="126"/>
      <c r="W191" s="126"/>
      <c r="X191" s="126"/>
      <c r="Y191" s="126"/>
      <c r="AQ191" s="3"/>
    </row>
    <row r="192" spans="5:43" x14ac:dyDescent="0.25">
      <c r="E192" s="75"/>
      <c r="F192" s="118" t="s">
        <v>248</v>
      </c>
      <c r="G192" s="118" t="s">
        <v>249</v>
      </c>
      <c r="J192" s="126"/>
      <c r="K192" s="126"/>
      <c r="L192" s="192">
        <f>'Inputs by customer type'!L157</f>
        <v>0</v>
      </c>
      <c r="M192" s="126"/>
      <c r="N192" s="192">
        <f>'Inputs by customer type'!N157</f>
        <v>63486</v>
      </c>
      <c r="O192" s="192">
        <f>'Inputs by customer type'!O157</f>
        <v>24657</v>
      </c>
      <c r="P192" s="192">
        <f>'Inputs by customer type'!P157</f>
        <v>34520</v>
      </c>
      <c r="Q192" s="126"/>
      <c r="R192" s="126"/>
      <c r="S192" s="126"/>
      <c r="T192" s="126"/>
      <c r="U192" s="126"/>
      <c r="V192" s="126"/>
      <c r="W192" s="126"/>
      <c r="X192" s="126"/>
      <c r="Y192" s="126"/>
      <c r="AQ192" s="3"/>
    </row>
    <row r="193" spans="4:43" x14ac:dyDescent="0.25">
      <c r="E193" s="75"/>
      <c r="F193" s="118" t="s">
        <v>250</v>
      </c>
      <c r="G193" s="118" t="s">
        <v>249</v>
      </c>
      <c r="J193" s="126"/>
      <c r="K193" s="126"/>
      <c r="L193" s="192">
        <f>'Inputs by customer type'!L158</f>
        <v>0</v>
      </c>
      <c r="M193" s="126"/>
      <c r="N193" s="192">
        <f>'Inputs by customer type'!N158</f>
        <v>0</v>
      </c>
      <c r="O193" s="192">
        <f>'Inputs by customer type'!O158</f>
        <v>64.717808219178082</v>
      </c>
      <c r="P193" s="192">
        <f>'Inputs by customer type'!P158</f>
        <v>147.01643835616437</v>
      </c>
      <c r="Q193" s="126"/>
      <c r="R193" s="126"/>
      <c r="S193" s="126"/>
      <c r="T193" s="126"/>
      <c r="U193" s="126"/>
      <c r="V193" s="126"/>
      <c r="W193" s="126"/>
      <c r="X193" s="126"/>
      <c r="Y193" s="126"/>
      <c r="AQ193" s="3"/>
    </row>
    <row r="194" spans="4:43" x14ac:dyDescent="0.25">
      <c r="E194" s="75"/>
      <c r="F194" s="120" t="s">
        <v>251</v>
      </c>
      <c r="G194" s="120" t="s">
        <v>252</v>
      </c>
      <c r="H194" s="96"/>
      <c r="I194" s="96"/>
      <c r="J194" s="121"/>
      <c r="K194" s="121"/>
      <c r="L194" s="171">
        <f>'Inputs by customer type'!L159</f>
        <v>0</v>
      </c>
      <c r="M194" s="121"/>
      <c r="N194" s="171">
        <f>'Inputs by customer type'!N159</f>
        <v>6670.91</v>
      </c>
      <c r="O194" s="171">
        <f>'Inputs by customer type'!O159</f>
        <v>764.13300000000004</v>
      </c>
      <c r="P194" s="171">
        <f>'Inputs by customer type'!P159</f>
        <v>443.77100000000002</v>
      </c>
      <c r="Q194" s="121"/>
      <c r="R194" s="121"/>
      <c r="S194" s="121"/>
      <c r="T194" s="121"/>
      <c r="U194" s="121"/>
      <c r="V194" s="121"/>
      <c r="W194" s="121"/>
      <c r="X194" s="121"/>
      <c r="Y194" s="121"/>
      <c r="AQ194" s="3"/>
    </row>
    <row r="195" spans="4:43" x14ac:dyDescent="0.25">
      <c r="AQ195" s="3"/>
    </row>
    <row r="196" spans="4:43" x14ac:dyDescent="0.25">
      <c r="D196" s="86" t="s">
        <v>908</v>
      </c>
      <c r="AQ196" s="3"/>
    </row>
    <row r="197" spans="4:43" x14ac:dyDescent="0.25">
      <c r="AQ197" s="3"/>
    </row>
    <row r="198" spans="4:43" x14ac:dyDescent="0.25">
      <c r="E198" s="75" t="s">
        <v>243</v>
      </c>
      <c r="G198" s="61"/>
      <c r="I198" t="s">
        <v>152</v>
      </c>
      <c r="AA198" t="s">
        <v>244</v>
      </c>
    </row>
    <row r="199" spans="4:43" x14ac:dyDescent="0.25">
      <c r="E199" s="75"/>
      <c r="F199" s="116" t="s">
        <v>245</v>
      </c>
      <c r="G199" s="116" t="s">
        <v>205</v>
      </c>
      <c r="H199" s="95"/>
      <c r="I199" s="95"/>
      <c r="J199" s="147">
        <f t="shared" ref="J199:Y199" si="2">SUM( J67, J76, J85, J94, J58 )</f>
        <v>579883.72027765436</v>
      </c>
      <c r="K199" s="147">
        <f t="shared" si="2"/>
        <v>715.06892412151399</v>
      </c>
      <c r="L199" s="147">
        <f t="shared" si="2"/>
        <v>158377.00364213152</v>
      </c>
      <c r="M199" s="147">
        <f t="shared" si="2"/>
        <v>198.0273246193633</v>
      </c>
      <c r="N199" s="147">
        <f t="shared" si="2"/>
        <v>211421.58767214825</v>
      </c>
      <c r="O199" s="147">
        <f t="shared" si="2"/>
        <v>73275.576893225036</v>
      </c>
      <c r="P199" s="147">
        <f t="shared" si="2"/>
        <v>253973.23657902624</v>
      </c>
      <c r="Q199" s="147">
        <f t="shared" si="2"/>
        <v>5937.4754569442684</v>
      </c>
      <c r="R199" s="147">
        <f t="shared" si="2"/>
        <v>6599.1284284156445</v>
      </c>
      <c r="S199" s="147">
        <f t="shared" si="2"/>
        <v>0</v>
      </c>
      <c r="T199" s="147">
        <f t="shared" si="2"/>
        <v>4225.230599999999</v>
      </c>
      <c r="U199" s="147">
        <f t="shared" si="2"/>
        <v>0</v>
      </c>
      <c r="V199" s="147">
        <f t="shared" si="2"/>
        <v>235.35749999999996</v>
      </c>
      <c r="W199" s="147">
        <f t="shared" si="2"/>
        <v>0</v>
      </c>
      <c r="X199" s="147">
        <f t="shared" si="2"/>
        <v>112429.61859999999</v>
      </c>
      <c r="Y199" s="147">
        <f t="shared" si="2"/>
        <v>0</v>
      </c>
    </row>
    <row r="200" spans="4:43" x14ac:dyDescent="0.25">
      <c r="E200" s="75"/>
      <c r="F200" s="118" t="s">
        <v>246</v>
      </c>
      <c r="G200" s="118" t="s">
        <v>205</v>
      </c>
      <c r="J200" s="193">
        <f t="shared" ref="J200:Y200" si="3">SUM( J68, J77, J86, J95, J59 )</f>
        <v>1430655.1045502957</v>
      </c>
      <c r="K200" s="193">
        <f t="shared" si="3"/>
        <v>4081.6408178065876</v>
      </c>
      <c r="L200" s="193">
        <f t="shared" si="3"/>
        <v>572706.31507244927</v>
      </c>
      <c r="M200" s="193">
        <f t="shared" si="3"/>
        <v>646.70434049451774</v>
      </c>
      <c r="N200" s="193">
        <f t="shared" si="3"/>
        <v>736297.35805368167</v>
      </c>
      <c r="O200" s="193">
        <f t="shared" si="3"/>
        <v>241158.237860002</v>
      </c>
      <c r="P200" s="193">
        <f t="shared" si="3"/>
        <v>821267.88081695465</v>
      </c>
      <c r="Q200" s="194">
        <f t="shared" si="3"/>
        <v>24507.063165733918</v>
      </c>
      <c r="R200" s="194">
        <f t="shared" si="3"/>
        <v>28720.756111830458</v>
      </c>
      <c r="S200" s="194">
        <f t="shared" si="3"/>
        <v>0</v>
      </c>
      <c r="T200" s="193">
        <f t="shared" si="3"/>
        <v>14462.468000000003</v>
      </c>
      <c r="U200" s="193">
        <f t="shared" si="3"/>
        <v>0</v>
      </c>
      <c r="V200" s="193">
        <f t="shared" si="3"/>
        <v>947.41909999999996</v>
      </c>
      <c r="W200" s="193">
        <f t="shared" si="3"/>
        <v>0</v>
      </c>
      <c r="X200" s="193">
        <f t="shared" si="3"/>
        <v>305558.88569999998</v>
      </c>
      <c r="Y200" s="193">
        <f t="shared" si="3"/>
        <v>0</v>
      </c>
    </row>
    <row r="201" spans="4:43" x14ac:dyDescent="0.25">
      <c r="E201" s="75"/>
      <c r="F201" s="118" t="s">
        <v>247</v>
      </c>
      <c r="G201" s="118" t="s">
        <v>205</v>
      </c>
      <c r="J201" s="193">
        <f t="shared" ref="J201:Y201" si="4">SUM( J69, J78, J87, J96, J60 )</f>
        <v>2144526.879086318</v>
      </c>
      <c r="K201" s="193">
        <f t="shared" si="4"/>
        <v>17683.252822043934</v>
      </c>
      <c r="L201" s="193">
        <f t="shared" si="4"/>
        <v>630777.63110846642</v>
      </c>
      <c r="M201" s="193">
        <f t="shared" si="4"/>
        <v>3204.1147499679787</v>
      </c>
      <c r="N201" s="193">
        <f t="shared" si="4"/>
        <v>848155.28095947125</v>
      </c>
      <c r="O201" s="193">
        <f t="shared" si="4"/>
        <v>331364.1929218141</v>
      </c>
      <c r="P201" s="193">
        <f t="shared" si="4"/>
        <v>1172689.7436960668</v>
      </c>
      <c r="Q201" s="194">
        <f t="shared" si="4"/>
        <v>73996.161970165136</v>
      </c>
      <c r="R201" s="194">
        <f t="shared" si="4"/>
        <v>17040.400238646263</v>
      </c>
      <c r="S201" s="194">
        <f t="shared" si="4"/>
        <v>0</v>
      </c>
      <c r="T201" s="193">
        <f t="shared" si="4"/>
        <v>21962.315499999997</v>
      </c>
      <c r="U201" s="193">
        <f t="shared" si="4"/>
        <v>0</v>
      </c>
      <c r="V201" s="193">
        <f t="shared" si="4"/>
        <v>1266.3393000000001</v>
      </c>
      <c r="W201" s="193">
        <f t="shared" si="4"/>
        <v>0</v>
      </c>
      <c r="X201" s="193">
        <f t="shared" si="4"/>
        <v>457934.66330000001</v>
      </c>
      <c r="Y201" s="193">
        <f t="shared" si="4"/>
        <v>0</v>
      </c>
    </row>
    <row r="202" spans="4:43" x14ac:dyDescent="0.25">
      <c r="E202" s="75"/>
      <c r="F202" s="118" t="s">
        <v>210</v>
      </c>
      <c r="G202" s="118" t="s">
        <v>210</v>
      </c>
      <c r="J202" s="193">
        <f t="shared" ref="J202:Y202" si="5">SUM( J70, J79, J88, J97, J61 )</f>
        <v>1493778.5153092039</v>
      </c>
      <c r="K202" s="193">
        <f t="shared" si="5"/>
        <v>7577.1293347193641</v>
      </c>
      <c r="L202" s="193">
        <f t="shared" si="5"/>
        <v>100167.66234671953</v>
      </c>
      <c r="M202" s="193">
        <f t="shared" si="5"/>
        <v>589.96666666666681</v>
      </c>
      <c r="N202" s="193">
        <f t="shared" si="5"/>
        <v>11131.390035518312</v>
      </c>
      <c r="O202" s="193">
        <f t="shared" si="5"/>
        <v>730.01608783922825</v>
      </c>
      <c r="P202" s="193">
        <f t="shared" si="5"/>
        <v>909.81476968127367</v>
      </c>
      <c r="Q202" s="193">
        <f t="shared" si="5"/>
        <v>915.3</v>
      </c>
      <c r="R202" s="193">
        <f t="shared" si="5"/>
        <v>24062.24357489097</v>
      </c>
      <c r="S202" s="193">
        <f t="shared" si="5"/>
        <v>0</v>
      </c>
      <c r="T202" s="193">
        <f t="shared" si="5"/>
        <v>372</v>
      </c>
      <c r="U202" s="193">
        <f t="shared" si="5"/>
        <v>0</v>
      </c>
      <c r="V202" s="193">
        <f t="shared" si="5"/>
        <v>36</v>
      </c>
      <c r="W202" s="193">
        <f t="shared" si="5"/>
        <v>0</v>
      </c>
      <c r="X202" s="193">
        <f t="shared" si="5"/>
        <v>176</v>
      </c>
      <c r="Y202" s="193">
        <f t="shared" si="5"/>
        <v>0</v>
      </c>
    </row>
    <row r="203" spans="4:43" x14ac:dyDescent="0.25">
      <c r="E203" s="75"/>
      <c r="F203" s="118" t="s">
        <v>248</v>
      </c>
      <c r="G203" s="118" t="s">
        <v>249</v>
      </c>
      <c r="J203" s="119"/>
      <c r="K203" s="119"/>
      <c r="L203" s="119"/>
      <c r="M203" s="119"/>
      <c r="N203" s="193">
        <f t="shared" ref="N203:P205" si="6">SUM( N71, N80, N89, N98, N62 )</f>
        <v>1220853</v>
      </c>
      <c r="O203" s="193">
        <f t="shared" si="6"/>
        <v>325307</v>
      </c>
      <c r="P203" s="193">
        <f t="shared" si="6"/>
        <v>1180263</v>
      </c>
      <c r="Q203" s="119"/>
      <c r="R203" s="119"/>
      <c r="S203" s="119"/>
      <c r="T203" s="119"/>
      <c r="U203" s="119"/>
      <c r="V203" s="119"/>
      <c r="W203" s="119"/>
      <c r="X203" s="119"/>
      <c r="Y203" s="119"/>
    </row>
    <row r="204" spans="4:43" x14ac:dyDescent="0.25">
      <c r="E204" s="75"/>
      <c r="F204" s="118" t="s">
        <v>250</v>
      </c>
      <c r="G204" s="118" t="s">
        <v>249</v>
      </c>
      <c r="J204" s="119"/>
      <c r="K204" s="119"/>
      <c r="L204" s="119"/>
      <c r="M204" s="119"/>
      <c r="N204" s="193">
        <f t="shared" si="6"/>
        <v>22771.306849315068</v>
      </c>
      <c r="O204" s="193">
        <f t="shared" si="6"/>
        <v>1506.8520547945207</v>
      </c>
      <c r="P204" s="193">
        <f t="shared" si="6"/>
        <v>13235.649315068493</v>
      </c>
      <c r="Q204" s="119"/>
      <c r="R204" s="119"/>
      <c r="S204" s="119"/>
      <c r="T204" s="119"/>
      <c r="U204" s="119"/>
      <c r="V204" s="119"/>
      <c r="W204" s="119"/>
      <c r="X204" s="119"/>
      <c r="Y204" s="119"/>
    </row>
    <row r="205" spans="4:43" x14ac:dyDescent="0.25">
      <c r="E205" s="75"/>
      <c r="F205" s="120" t="s">
        <v>251</v>
      </c>
      <c r="G205" s="120" t="s">
        <v>252</v>
      </c>
      <c r="H205" s="96"/>
      <c r="I205" s="96"/>
      <c r="J205" s="121"/>
      <c r="K205" s="121"/>
      <c r="L205" s="121"/>
      <c r="M205" s="121"/>
      <c r="N205" s="172">
        <f t="shared" si="6"/>
        <v>138557.19500000001</v>
      </c>
      <c r="O205" s="172">
        <f t="shared" si="6"/>
        <v>44316.092999999993</v>
      </c>
      <c r="P205" s="172">
        <f t="shared" si="6"/>
        <v>234220.00700000001</v>
      </c>
      <c r="Q205" s="121"/>
      <c r="R205" s="121"/>
      <c r="S205" s="121"/>
      <c r="T205" s="172">
        <f>SUM( T73, T82, T91, T100, T64 )</f>
        <v>2476.223</v>
      </c>
      <c r="U205" s="121"/>
      <c r="V205" s="172">
        <f>SUM( V73, V82, V91, V100, V64 )</f>
        <v>449.26600000000002</v>
      </c>
      <c r="W205" s="121"/>
      <c r="X205" s="172">
        <f>SUM( X73, X82, X91, X100, X64 )</f>
        <v>19742.777000000002</v>
      </c>
      <c r="Y205" s="121"/>
    </row>
    <row r="206" spans="4:43" s="14" customFormat="1" x14ac:dyDescent="0.2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25">
      <c r="E207" s="75" t="s">
        <v>253</v>
      </c>
      <c r="G207" s="120"/>
      <c r="H207" s="96"/>
      <c r="I207" t="s">
        <v>152</v>
      </c>
      <c r="J207" s="195"/>
      <c r="K207" s="195"/>
      <c r="L207" s="195"/>
      <c r="M207" s="195"/>
      <c r="N207" s="195"/>
      <c r="O207" s="195"/>
      <c r="P207" s="195"/>
      <c r="Q207" s="195"/>
      <c r="R207" s="195"/>
      <c r="S207" s="195"/>
      <c r="T207" s="195"/>
      <c r="U207" s="195"/>
      <c r="V207" s="195"/>
      <c r="W207" s="195"/>
      <c r="X207" s="195"/>
      <c r="Y207" s="195"/>
      <c r="AA207" t="s">
        <v>244</v>
      </c>
    </row>
    <row r="208" spans="4:43" x14ac:dyDescent="0.25">
      <c r="E208" s="75"/>
      <c r="F208" s="116" t="s">
        <v>245</v>
      </c>
      <c r="G208" s="118" t="s">
        <v>205</v>
      </c>
      <c r="I208" s="95"/>
      <c r="J208" s="147">
        <f t="shared" ref="J208:N211" si="7">SUM( J114, J123, J132, J141, J105 )</f>
        <v>16127.506661950501</v>
      </c>
      <c r="K208" s="147">
        <f t="shared" si="7"/>
        <v>0</v>
      </c>
      <c r="L208" s="147">
        <f t="shared" si="7"/>
        <v>602.5481743265774</v>
      </c>
      <c r="M208" s="147">
        <f t="shared" si="7"/>
        <v>0</v>
      </c>
      <c r="N208" s="147">
        <f t="shared" si="7"/>
        <v>2671.8098468731378</v>
      </c>
      <c r="O208" s="117"/>
      <c r="P208" s="117"/>
      <c r="Q208" s="147">
        <f t="shared" ref="Q208:R211" si="8">SUM( Q114, Q123, Q132, Q141, Q105 )</f>
        <v>14.024757151810981</v>
      </c>
      <c r="R208" s="147">
        <f t="shared" si="8"/>
        <v>159.863</v>
      </c>
      <c r="S208" s="117"/>
      <c r="T208" s="147">
        <f>SUM( T114, T123, T132, T141, T105 )</f>
        <v>0</v>
      </c>
      <c r="U208" s="117"/>
      <c r="V208" s="117"/>
      <c r="W208" s="117"/>
      <c r="X208" s="117"/>
      <c r="Y208" s="117"/>
    </row>
    <row r="209" spans="5:27" x14ac:dyDescent="0.25">
      <c r="E209" s="75"/>
      <c r="F209" s="118" t="s">
        <v>246</v>
      </c>
      <c r="G209" s="118" t="s">
        <v>205</v>
      </c>
      <c r="J209" s="193">
        <f t="shared" si="7"/>
        <v>39606.222663234104</v>
      </c>
      <c r="K209" s="193">
        <f t="shared" si="7"/>
        <v>0</v>
      </c>
      <c r="L209" s="193">
        <f t="shared" si="7"/>
        <v>2248.7657376894517</v>
      </c>
      <c r="M209" s="193">
        <f t="shared" si="7"/>
        <v>0</v>
      </c>
      <c r="N209" s="193">
        <f t="shared" si="7"/>
        <v>8135.5920663595934</v>
      </c>
      <c r="O209" s="119"/>
      <c r="P209" s="119"/>
      <c r="Q209" s="194">
        <f t="shared" si="8"/>
        <v>121.69638635406008</v>
      </c>
      <c r="R209" s="194">
        <f t="shared" si="8"/>
        <v>706.57100000000003</v>
      </c>
      <c r="S209" s="119"/>
      <c r="T209" s="193">
        <f>SUM( T115, T124, T133, T142, T106 )</f>
        <v>0</v>
      </c>
      <c r="U209" s="119"/>
      <c r="V209" s="119"/>
      <c r="W209" s="119"/>
      <c r="X209" s="119"/>
      <c r="Y209" s="119"/>
    </row>
    <row r="210" spans="5:27" x14ac:dyDescent="0.25">
      <c r="E210" s="75"/>
      <c r="F210" s="118" t="s">
        <v>247</v>
      </c>
      <c r="G210" s="118" t="s">
        <v>205</v>
      </c>
      <c r="J210" s="193">
        <f t="shared" si="7"/>
        <v>56456.583827742812</v>
      </c>
      <c r="K210" s="193">
        <f t="shared" si="7"/>
        <v>0</v>
      </c>
      <c r="L210" s="193">
        <f t="shared" si="7"/>
        <v>2241.5617324059403</v>
      </c>
      <c r="M210" s="193">
        <f t="shared" si="7"/>
        <v>0</v>
      </c>
      <c r="N210" s="193">
        <f t="shared" si="7"/>
        <v>9865.0691297457688</v>
      </c>
      <c r="O210" s="119"/>
      <c r="P210" s="119"/>
      <c r="Q210" s="194">
        <f t="shared" si="8"/>
        <v>188.91722132605392</v>
      </c>
      <c r="R210" s="194">
        <f t="shared" si="8"/>
        <v>409.77800000000002</v>
      </c>
      <c r="S210" s="119"/>
      <c r="T210" s="193">
        <f>SUM( T116, T125, T134, T143, T107 )</f>
        <v>0</v>
      </c>
      <c r="U210" s="119"/>
      <c r="V210" s="119"/>
      <c r="W210" s="119"/>
      <c r="X210" s="119"/>
      <c r="Y210" s="119"/>
    </row>
    <row r="211" spans="5:27" x14ac:dyDescent="0.25">
      <c r="E211" s="75"/>
      <c r="F211" s="118" t="s">
        <v>210</v>
      </c>
      <c r="G211" s="118" t="s">
        <v>210</v>
      </c>
      <c r="J211" s="193">
        <f t="shared" si="7"/>
        <v>40123.208470178259</v>
      </c>
      <c r="K211" s="193">
        <f t="shared" si="7"/>
        <v>0</v>
      </c>
      <c r="L211" s="193">
        <f t="shared" si="7"/>
        <v>547.56985088676629</v>
      </c>
      <c r="M211" s="193">
        <f t="shared" si="7"/>
        <v>0</v>
      </c>
      <c r="N211" s="193">
        <f t="shared" si="7"/>
        <v>172.25865279566597</v>
      </c>
      <c r="O211" s="119"/>
      <c r="P211" s="119"/>
      <c r="Q211" s="193">
        <f t="shared" si="8"/>
        <v>168.09041872801774</v>
      </c>
      <c r="R211" s="193">
        <f t="shared" si="8"/>
        <v>395.6</v>
      </c>
      <c r="S211" s="119"/>
      <c r="T211" s="193">
        <f>SUM( T117, T126, T135, T144, T108 )</f>
        <v>0</v>
      </c>
      <c r="U211" s="119"/>
      <c r="V211" s="119"/>
      <c r="W211" s="119"/>
      <c r="X211" s="119"/>
      <c r="Y211" s="119"/>
    </row>
    <row r="212" spans="5:27" x14ac:dyDescent="0.25">
      <c r="E212" s="75"/>
      <c r="F212" s="118" t="s">
        <v>248</v>
      </c>
      <c r="G212" s="118" t="s">
        <v>249</v>
      </c>
      <c r="J212" s="119"/>
      <c r="K212" s="119"/>
      <c r="L212" s="119"/>
      <c r="M212" s="119"/>
      <c r="N212" s="193">
        <f>SUM( N118, N127, N136, N145, N109 )</f>
        <v>21813</v>
      </c>
      <c r="O212" s="119"/>
      <c r="P212" s="119"/>
      <c r="Q212" s="119"/>
      <c r="R212" s="119"/>
      <c r="S212" s="119"/>
      <c r="T212" s="119"/>
      <c r="U212" s="119"/>
      <c r="V212" s="119"/>
      <c r="W212" s="119"/>
      <c r="X212" s="119"/>
      <c r="Y212" s="119"/>
    </row>
    <row r="213" spans="5:27" x14ac:dyDescent="0.25">
      <c r="E213" s="75"/>
      <c r="F213" s="118" t="s">
        <v>250</v>
      </c>
      <c r="G213" s="118" t="s">
        <v>249</v>
      </c>
      <c r="J213" s="119"/>
      <c r="K213" s="119"/>
      <c r="L213" s="119"/>
      <c r="M213" s="119"/>
      <c r="N213" s="193">
        <f>SUM( N119, N128, N137, N146, N110 )</f>
        <v>19.832876712328769</v>
      </c>
      <c r="O213" s="119"/>
      <c r="P213" s="119"/>
      <c r="Q213" s="119"/>
      <c r="R213" s="119"/>
      <c r="S213" s="119"/>
      <c r="T213" s="119"/>
      <c r="U213" s="119"/>
      <c r="V213" s="119"/>
      <c r="W213" s="119"/>
      <c r="X213" s="119"/>
      <c r="Y213" s="119"/>
    </row>
    <row r="214" spans="5:27" x14ac:dyDescent="0.25">
      <c r="E214" s="75"/>
      <c r="F214" s="120" t="s">
        <v>251</v>
      </c>
      <c r="G214" s="120" t="s">
        <v>252</v>
      </c>
      <c r="H214" s="96"/>
      <c r="I214" s="96"/>
      <c r="J214" s="121"/>
      <c r="K214" s="121"/>
      <c r="L214" s="121"/>
      <c r="M214" s="121"/>
      <c r="N214" s="172">
        <f>SUM( N120, N129, N138, N147, N111 )</f>
        <v>1267.5196000000001</v>
      </c>
      <c r="O214" s="121"/>
      <c r="P214" s="121"/>
      <c r="Q214" s="121"/>
      <c r="R214" s="121"/>
      <c r="S214" s="121"/>
      <c r="T214" s="172">
        <f>SUM( T120, T129, T138, T147, T111 )</f>
        <v>0</v>
      </c>
      <c r="U214" s="121"/>
      <c r="V214" s="121"/>
      <c r="W214" s="121"/>
      <c r="X214" s="121"/>
      <c r="Y214" s="121"/>
    </row>
    <row r="215" spans="5:27" s="14" customFormat="1" x14ac:dyDescent="0.2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25">
      <c r="E216" s="75" t="s">
        <v>254</v>
      </c>
      <c r="G216" s="120"/>
      <c r="H216" s="96"/>
      <c r="I216" t="s">
        <v>152</v>
      </c>
      <c r="J216" s="195"/>
      <c r="K216" s="195"/>
      <c r="L216" s="195"/>
      <c r="M216" s="195"/>
      <c r="N216" s="195"/>
      <c r="O216" s="195"/>
      <c r="P216" s="195"/>
      <c r="Q216" s="195"/>
      <c r="R216" s="195"/>
      <c r="S216" s="195"/>
      <c r="T216" s="195"/>
      <c r="U216" s="195"/>
      <c r="V216" s="195"/>
      <c r="W216" s="195"/>
      <c r="X216" s="195"/>
      <c r="Y216" s="195"/>
      <c r="AA216" t="s">
        <v>244</v>
      </c>
    </row>
    <row r="217" spans="5:27" x14ac:dyDescent="0.25">
      <c r="F217" s="116" t="s">
        <v>245</v>
      </c>
      <c r="G217" s="118" t="s">
        <v>205</v>
      </c>
      <c r="I217" s="95"/>
      <c r="J217" s="147">
        <f t="shared" ref="J217:T217" si="9">SUM( J161, J170, J179, J188, J152 )</f>
        <v>31829.037375021369</v>
      </c>
      <c r="K217" s="147">
        <f t="shared" si="9"/>
        <v>0</v>
      </c>
      <c r="L217" s="147">
        <f t="shared" si="9"/>
        <v>883.31441979536078</v>
      </c>
      <c r="M217" s="147">
        <f t="shared" si="9"/>
        <v>0</v>
      </c>
      <c r="N217" s="147">
        <f t="shared" si="9"/>
        <v>12519.11384854909</v>
      </c>
      <c r="O217" s="147">
        <f t="shared" si="9"/>
        <v>3666.8703945752022</v>
      </c>
      <c r="P217" s="147">
        <f t="shared" si="9"/>
        <v>7662.1348957455357</v>
      </c>
      <c r="Q217" s="147">
        <f t="shared" si="9"/>
        <v>40.707850525482606</v>
      </c>
      <c r="R217" s="147">
        <f t="shared" si="9"/>
        <v>230.125</v>
      </c>
      <c r="S217" s="147">
        <f t="shared" si="9"/>
        <v>0</v>
      </c>
      <c r="T217" s="147">
        <f t="shared" si="9"/>
        <v>84.814999999999998</v>
      </c>
      <c r="U217" s="117"/>
      <c r="V217" s="147">
        <f>SUM( V161, V170, V179, V188, V152 )</f>
        <v>0.17</v>
      </c>
      <c r="W217" s="117"/>
      <c r="X217" s="147">
        <f>SUM( X161, X170, X179, X188, X152 )</f>
        <v>0</v>
      </c>
      <c r="Y217" s="117"/>
    </row>
    <row r="218" spans="5:27" x14ac:dyDescent="0.25">
      <c r="F218" s="118" t="s">
        <v>246</v>
      </c>
      <c r="G218" s="118" t="s">
        <v>205</v>
      </c>
      <c r="J218" s="193">
        <f t="shared" ref="J218:T218" si="10">SUM( J162, J171, J180, J189, J153 )</f>
        <v>79080.430414891482</v>
      </c>
      <c r="K218" s="193">
        <f t="shared" si="10"/>
        <v>0</v>
      </c>
      <c r="L218" s="193">
        <f t="shared" si="10"/>
        <v>3293.6456714450032</v>
      </c>
      <c r="M218" s="193">
        <f t="shared" si="10"/>
        <v>0</v>
      </c>
      <c r="N218" s="193">
        <f t="shared" si="10"/>
        <v>38857.279775176539</v>
      </c>
      <c r="O218" s="193">
        <f t="shared" si="10"/>
        <v>11575.518015949161</v>
      </c>
      <c r="P218" s="193">
        <f t="shared" si="10"/>
        <v>22882.116791968725</v>
      </c>
      <c r="Q218" s="194">
        <f t="shared" si="10"/>
        <v>377.84831934996407</v>
      </c>
      <c r="R218" s="194">
        <f t="shared" si="10"/>
        <v>984.601</v>
      </c>
      <c r="S218" s="194">
        <f t="shared" si="10"/>
        <v>0</v>
      </c>
      <c r="T218" s="193">
        <f t="shared" si="10"/>
        <v>251.92699999999999</v>
      </c>
      <c r="U218" s="119"/>
      <c r="V218" s="193">
        <f>SUM( V162, V171, V180, V189, V153 )</f>
        <v>1.5920000000000001</v>
      </c>
      <c r="W218" s="119"/>
      <c r="X218" s="193">
        <f>SUM( X162, X171, X180, X189, X153 )</f>
        <v>0</v>
      </c>
      <c r="Y218" s="119"/>
    </row>
    <row r="219" spans="5:27" x14ac:dyDescent="0.25">
      <c r="F219" s="118" t="s">
        <v>247</v>
      </c>
      <c r="G219" s="118" t="s">
        <v>205</v>
      </c>
      <c r="J219" s="193">
        <f t="shared" ref="J219:T219" si="11">SUM( J163, J172, J181, J190, J154 )</f>
        <v>118157.8057162469</v>
      </c>
      <c r="K219" s="193">
        <f t="shared" si="11"/>
        <v>0</v>
      </c>
      <c r="L219" s="193">
        <f t="shared" si="11"/>
        <v>3371.7356897004602</v>
      </c>
      <c r="M219" s="193">
        <f t="shared" si="11"/>
        <v>0</v>
      </c>
      <c r="N219" s="193">
        <f t="shared" si="11"/>
        <v>48319.74149047723</v>
      </c>
      <c r="O219" s="193">
        <f t="shared" si="11"/>
        <v>12272.217346442265</v>
      </c>
      <c r="P219" s="193">
        <f t="shared" si="11"/>
        <v>35476.327874310446</v>
      </c>
      <c r="Q219" s="194">
        <f t="shared" si="11"/>
        <v>604.00730285321674</v>
      </c>
      <c r="R219" s="194">
        <f t="shared" si="11"/>
        <v>580.29999999999995</v>
      </c>
      <c r="S219" s="194">
        <f t="shared" si="11"/>
        <v>0</v>
      </c>
      <c r="T219" s="193">
        <f t="shared" si="11"/>
        <v>504.68799999999999</v>
      </c>
      <c r="U219" s="119"/>
      <c r="V219" s="193">
        <f>SUM( V163, V172, V181, V190, V154 )</f>
        <v>1.3879999999999999</v>
      </c>
      <c r="W219" s="119"/>
      <c r="X219" s="193">
        <f>SUM( X163, X172, X181, X190, X154 )</f>
        <v>0</v>
      </c>
      <c r="Y219" s="119"/>
    </row>
    <row r="220" spans="5:27" x14ac:dyDescent="0.25">
      <c r="F220" s="118" t="s">
        <v>210</v>
      </c>
      <c r="G220" s="118" t="s">
        <v>210</v>
      </c>
      <c r="J220" s="193">
        <f t="shared" ref="J220:T220" si="12">SUM( J164, J173, J182, J191, J155 )</f>
        <v>76462.255868941589</v>
      </c>
      <c r="K220" s="193">
        <f t="shared" si="12"/>
        <v>0</v>
      </c>
      <c r="L220" s="193">
        <f t="shared" si="12"/>
        <v>719.19050867207795</v>
      </c>
      <c r="M220" s="193">
        <f t="shared" si="12"/>
        <v>0</v>
      </c>
      <c r="N220" s="193">
        <f t="shared" si="12"/>
        <v>403.21284654392912</v>
      </c>
      <c r="O220" s="193">
        <f t="shared" si="12"/>
        <v>58.419550931888629</v>
      </c>
      <c r="P220" s="193">
        <f t="shared" si="12"/>
        <v>28.071780455590009</v>
      </c>
      <c r="Q220" s="193">
        <f t="shared" si="12"/>
        <v>290.92572472156917</v>
      </c>
      <c r="R220" s="193">
        <f t="shared" si="12"/>
        <v>673.7</v>
      </c>
      <c r="S220" s="193">
        <f t="shared" si="12"/>
        <v>0</v>
      </c>
      <c r="T220" s="193">
        <f t="shared" si="12"/>
        <v>11</v>
      </c>
      <c r="U220" s="119"/>
      <c r="V220" s="193">
        <f>SUM( V164, V173, V182, V191, V155 )</f>
        <v>1</v>
      </c>
      <c r="W220" s="119"/>
      <c r="X220" s="193">
        <f>SUM( X164, X173, X182, X191, X155 )</f>
        <v>0</v>
      </c>
      <c r="Y220" s="119"/>
    </row>
    <row r="221" spans="5:27" x14ac:dyDescent="0.25">
      <c r="F221" s="118" t="s">
        <v>248</v>
      </c>
      <c r="G221" s="118" t="s">
        <v>249</v>
      </c>
      <c r="J221" s="119"/>
      <c r="K221" s="119"/>
      <c r="L221" s="119"/>
      <c r="M221" s="119"/>
      <c r="N221" s="193">
        <f t="shared" ref="N221:P223" si="13">SUM( N165, N174, N183, N192, N156 )</f>
        <v>94028</v>
      </c>
      <c r="O221" s="193">
        <f t="shared" si="13"/>
        <v>26298</v>
      </c>
      <c r="P221" s="193">
        <f t="shared" si="13"/>
        <v>44991</v>
      </c>
      <c r="Q221" s="119"/>
      <c r="R221" s="119"/>
      <c r="S221" s="119"/>
      <c r="T221" s="119"/>
      <c r="U221" s="119"/>
      <c r="V221" s="119"/>
      <c r="W221" s="119"/>
      <c r="X221" s="119"/>
      <c r="Y221" s="119"/>
    </row>
    <row r="222" spans="5:27" x14ac:dyDescent="0.25">
      <c r="F222" s="118" t="s">
        <v>250</v>
      </c>
      <c r="G222" s="118" t="s">
        <v>249</v>
      </c>
      <c r="J222" s="119"/>
      <c r="K222" s="119"/>
      <c r="L222" s="119"/>
      <c r="M222" s="119"/>
      <c r="N222" s="193">
        <f t="shared" si="13"/>
        <v>6.4575342465753423</v>
      </c>
      <c r="O222" s="193">
        <f t="shared" si="13"/>
        <v>64.717808219178082</v>
      </c>
      <c r="P222" s="193">
        <f t="shared" si="13"/>
        <v>147.01643835616437</v>
      </c>
      <c r="Q222" s="119"/>
      <c r="R222" s="119"/>
      <c r="S222" s="119"/>
      <c r="T222" s="119"/>
      <c r="U222" s="119"/>
      <c r="V222" s="119"/>
      <c r="W222" s="119"/>
      <c r="X222" s="119"/>
      <c r="Y222" s="119"/>
    </row>
    <row r="223" spans="5:27" x14ac:dyDescent="0.25">
      <c r="F223" s="120" t="s">
        <v>251</v>
      </c>
      <c r="G223" s="120" t="s">
        <v>252</v>
      </c>
      <c r="H223" s="96"/>
      <c r="I223" s="96"/>
      <c r="J223" s="121"/>
      <c r="K223" s="121"/>
      <c r="L223" s="121"/>
      <c r="M223" s="121"/>
      <c r="N223" s="172">
        <f t="shared" si="13"/>
        <v>7614.3940000000002</v>
      </c>
      <c r="O223" s="172">
        <f t="shared" si="13"/>
        <v>809.66200000000003</v>
      </c>
      <c r="P223" s="172">
        <f t="shared" si="13"/>
        <v>1477.1689999999999</v>
      </c>
      <c r="Q223" s="121"/>
      <c r="R223" s="121"/>
      <c r="S223" s="121"/>
      <c r="T223" s="172">
        <f>SUM( T167, T176, T185, T194, T158 )</f>
        <v>646.82399999999996</v>
      </c>
      <c r="U223" s="121"/>
      <c r="V223" s="172">
        <f>SUM( V167, V176, V185, V194, V158 )</f>
        <v>1.1100000000000001</v>
      </c>
      <c r="W223" s="121"/>
      <c r="X223" s="172">
        <f>SUM( X167, X176, X185, X194, X158 )</f>
        <v>0</v>
      </c>
      <c r="Y223" s="121"/>
    </row>
    <row r="224" spans="5:27" x14ac:dyDescent="0.25">
      <c r="G224" s="61"/>
    </row>
    <row r="225" spans="3:43" x14ac:dyDescent="0.2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25">
      <c r="C226" s="75"/>
      <c r="AQ226" s="3"/>
    </row>
    <row r="227" spans="3:43" x14ac:dyDescent="0.25">
      <c r="C227" s="86" t="s">
        <v>401</v>
      </c>
      <c r="AQ227" s="3"/>
    </row>
    <row r="228" spans="3:43" x14ac:dyDescent="0.25">
      <c r="C228" s="75"/>
      <c r="AQ228" s="3"/>
    </row>
    <row r="229" spans="3:43" x14ac:dyDescent="0.25">
      <c r="C229" s="86"/>
      <c r="E229" s="75" t="s">
        <v>154</v>
      </c>
      <c r="I229" t="s">
        <v>152</v>
      </c>
      <c r="AA229" t="s">
        <v>307</v>
      </c>
      <c r="AQ229" s="3"/>
    </row>
    <row r="230" spans="3:43" x14ac:dyDescent="0.25">
      <c r="C230" s="86"/>
      <c r="E230" s="75"/>
      <c r="AQ230" s="3"/>
    </row>
    <row r="231" spans="3:43" x14ac:dyDescent="0.25">
      <c r="F231" s="94" t="s">
        <v>402</v>
      </c>
      <c r="G231" s="94" t="s">
        <v>205</v>
      </c>
      <c r="J231" s="168">
        <f t="shared" ref="J231:Y231" si="14">J$199</f>
        <v>579883.72027765436</v>
      </c>
      <c r="K231" s="168">
        <f t="shared" si="14"/>
        <v>715.06892412151399</v>
      </c>
      <c r="L231" s="168">
        <f t="shared" si="14"/>
        <v>158377.00364213152</v>
      </c>
      <c r="M231" s="168">
        <f t="shared" si="14"/>
        <v>198.0273246193633</v>
      </c>
      <c r="N231" s="168">
        <f t="shared" si="14"/>
        <v>211421.58767214825</v>
      </c>
      <c r="O231" s="168">
        <f t="shared" si="14"/>
        <v>73275.576893225036</v>
      </c>
      <c r="P231" s="168">
        <f t="shared" si="14"/>
        <v>253973.23657902624</v>
      </c>
      <c r="Q231" s="168">
        <f t="shared" si="14"/>
        <v>5937.4754569442684</v>
      </c>
      <c r="R231" s="168">
        <f t="shared" si="14"/>
        <v>6599.1284284156445</v>
      </c>
      <c r="S231" s="168">
        <f t="shared" si="14"/>
        <v>0</v>
      </c>
      <c r="T231" s="168">
        <f t="shared" si="14"/>
        <v>4225.230599999999</v>
      </c>
      <c r="U231" s="168">
        <f t="shared" si="14"/>
        <v>0</v>
      </c>
      <c r="V231" s="168">
        <f t="shared" si="14"/>
        <v>235.35749999999996</v>
      </c>
      <c r="W231" s="168">
        <f t="shared" si="14"/>
        <v>0</v>
      </c>
      <c r="X231" s="168">
        <f t="shared" si="14"/>
        <v>112429.61859999999</v>
      </c>
      <c r="Y231" s="168">
        <f t="shared" si="14"/>
        <v>0</v>
      </c>
      <c r="AQ231" s="3"/>
    </row>
    <row r="232" spans="3:43" x14ac:dyDescent="0.25">
      <c r="F232" s="94" t="s">
        <v>403</v>
      </c>
      <c r="G232" s="94" t="s">
        <v>205</v>
      </c>
      <c r="J232" s="168">
        <f t="shared" ref="J232:Y232" si="15">J$208</f>
        <v>16127.506661950501</v>
      </c>
      <c r="K232" s="168">
        <f t="shared" si="15"/>
        <v>0</v>
      </c>
      <c r="L232" s="168">
        <f t="shared" si="15"/>
        <v>602.5481743265774</v>
      </c>
      <c r="M232" s="168">
        <f t="shared" si="15"/>
        <v>0</v>
      </c>
      <c r="N232" s="168">
        <f t="shared" si="15"/>
        <v>2671.8098468731378</v>
      </c>
      <c r="O232" s="168">
        <f t="shared" si="15"/>
        <v>0</v>
      </c>
      <c r="P232" s="168">
        <f t="shared" si="15"/>
        <v>0</v>
      </c>
      <c r="Q232" s="168">
        <f t="shared" si="15"/>
        <v>14.024757151810981</v>
      </c>
      <c r="R232" s="168">
        <f t="shared" si="15"/>
        <v>159.863</v>
      </c>
      <c r="S232" s="168">
        <f t="shared" si="15"/>
        <v>0</v>
      </c>
      <c r="T232" s="168">
        <f t="shared" si="15"/>
        <v>0</v>
      </c>
      <c r="U232" s="168">
        <f t="shared" si="15"/>
        <v>0</v>
      </c>
      <c r="V232" s="168">
        <f t="shared" si="15"/>
        <v>0</v>
      </c>
      <c r="W232" s="168">
        <f t="shared" si="15"/>
        <v>0</v>
      </c>
      <c r="X232" s="168">
        <f t="shared" si="15"/>
        <v>0</v>
      </c>
      <c r="Y232" s="168">
        <f t="shared" si="15"/>
        <v>0</v>
      </c>
      <c r="AQ232" s="3"/>
    </row>
    <row r="233" spans="3:43" x14ac:dyDescent="0.25">
      <c r="F233" s="94" t="s">
        <v>404</v>
      </c>
      <c r="G233" s="94" t="s">
        <v>205</v>
      </c>
      <c r="J233" s="168">
        <f t="shared" ref="J233:Y233" si="16">J$217</f>
        <v>31829.037375021369</v>
      </c>
      <c r="K233" s="168">
        <f t="shared" si="16"/>
        <v>0</v>
      </c>
      <c r="L233" s="168">
        <f t="shared" si="16"/>
        <v>883.31441979536078</v>
      </c>
      <c r="M233" s="168">
        <f t="shared" si="16"/>
        <v>0</v>
      </c>
      <c r="N233" s="168">
        <f t="shared" si="16"/>
        <v>12519.11384854909</v>
      </c>
      <c r="O233" s="168">
        <f t="shared" si="16"/>
        <v>3666.8703945752022</v>
      </c>
      <c r="P233" s="168">
        <f t="shared" si="16"/>
        <v>7662.1348957455357</v>
      </c>
      <c r="Q233" s="168">
        <f t="shared" si="16"/>
        <v>40.707850525482606</v>
      </c>
      <c r="R233" s="168">
        <f t="shared" si="16"/>
        <v>230.125</v>
      </c>
      <c r="S233" s="168">
        <f t="shared" si="16"/>
        <v>0</v>
      </c>
      <c r="T233" s="168">
        <f t="shared" si="16"/>
        <v>84.814999999999998</v>
      </c>
      <c r="U233" s="168">
        <f t="shared" si="16"/>
        <v>0</v>
      </c>
      <c r="V233" s="168">
        <f t="shared" si="16"/>
        <v>0.17</v>
      </c>
      <c r="W233" s="168">
        <f t="shared" si="16"/>
        <v>0</v>
      </c>
      <c r="X233" s="168">
        <f t="shared" si="16"/>
        <v>0</v>
      </c>
      <c r="Y233" s="168">
        <f t="shared" si="16"/>
        <v>0</v>
      </c>
      <c r="AQ233" s="3"/>
    </row>
    <row r="234" spans="3:43" x14ac:dyDescent="0.25">
      <c r="F234" s="94" t="s">
        <v>405</v>
      </c>
      <c r="G234" s="94" t="s">
        <v>165</v>
      </c>
      <c r="J234" s="196">
        <f>IF(J$39, J$45, J$34)</f>
        <v>0.40999688257340583</v>
      </c>
      <c r="K234" s="196">
        <f t="shared" ref="K234:Y234" si="17">IF(K$39, K$45, K$34)</f>
        <v>0.40999688257340583</v>
      </c>
      <c r="L234" s="196">
        <f t="shared" si="17"/>
        <v>0.40999688257340583</v>
      </c>
      <c r="M234" s="196">
        <f t="shared" si="17"/>
        <v>0.40999688257340583</v>
      </c>
      <c r="N234" s="196">
        <f t="shared" si="17"/>
        <v>0.40999688257340583</v>
      </c>
      <c r="O234" s="196">
        <f t="shared" si="17"/>
        <v>0</v>
      </c>
      <c r="P234" s="196">
        <f t="shared" si="17"/>
        <v>0</v>
      </c>
      <c r="Q234" s="196">
        <f t="shared" si="17"/>
        <v>0.40999688257340583</v>
      </c>
      <c r="R234" s="196">
        <f t="shared" si="17"/>
        <v>0</v>
      </c>
      <c r="S234" s="196">
        <f t="shared" si="17"/>
        <v>0</v>
      </c>
      <c r="T234" s="196">
        <f t="shared" si="17"/>
        <v>0</v>
      </c>
      <c r="U234" s="196">
        <f t="shared" si="17"/>
        <v>0</v>
      </c>
      <c r="V234" s="196">
        <f t="shared" si="17"/>
        <v>0</v>
      </c>
      <c r="W234" s="196">
        <f t="shared" si="17"/>
        <v>0</v>
      </c>
      <c r="X234" s="196">
        <f t="shared" si="17"/>
        <v>0</v>
      </c>
      <c r="Y234" s="196">
        <f t="shared" si="17"/>
        <v>0</v>
      </c>
      <c r="AQ234" s="3"/>
    </row>
    <row r="235" spans="3:43" x14ac:dyDescent="0.25">
      <c r="F235" s="94" t="s">
        <v>406</v>
      </c>
      <c r="G235" s="94" t="s">
        <v>165</v>
      </c>
      <c r="J235" s="196">
        <f>IF(J$39, J$45, J$35)</f>
        <v>0.60376444392351947</v>
      </c>
      <c r="K235" s="196">
        <f t="shared" ref="K235:Y235" si="18">IF(K$39, K$45, K$35)</f>
        <v>0.60376444392351947</v>
      </c>
      <c r="L235" s="196">
        <f t="shared" si="18"/>
        <v>0.60376444392351947</v>
      </c>
      <c r="M235" s="196">
        <f t="shared" si="18"/>
        <v>0.60376444392351947</v>
      </c>
      <c r="N235" s="196">
        <f t="shared" si="18"/>
        <v>0.60376444392351947</v>
      </c>
      <c r="O235" s="196">
        <f t="shared" si="18"/>
        <v>0.32468019364035799</v>
      </c>
      <c r="P235" s="196">
        <f t="shared" si="18"/>
        <v>0.16961170739746073</v>
      </c>
      <c r="Q235" s="196">
        <f t="shared" si="18"/>
        <v>0.60376444392351947</v>
      </c>
      <c r="R235" s="196">
        <f t="shared" si="18"/>
        <v>0</v>
      </c>
      <c r="S235" s="196">
        <f t="shared" si="18"/>
        <v>0</v>
      </c>
      <c r="T235" s="196">
        <f t="shared" si="18"/>
        <v>0</v>
      </c>
      <c r="U235" s="196">
        <f t="shared" si="18"/>
        <v>0</v>
      </c>
      <c r="V235" s="196">
        <f t="shared" si="18"/>
        <v>0</v>
      </c>
      <c r="W235" s="196">
        <f t="shared" si="18"/>
        <v>0</v>
      </c>
      <c r="X235" s="196">
        <f t="shared" si="18"/>
        <v>0</v>
      </c>
      <c r="Y235" s="196">
        <f t="shared" si="18"/>
        <v>0</v>
      </c>
      <c r="AQ235" s="3"/>
    </row>
    <row r="236" spans="3:43" x14ac:dyDescent="0.25">
      <c r="F236" s="94" t="s">
        <v>407</v>
      </c>
      <c r="G236" s="94" t="s">
        <v>205</v>
      </c>
      <c r="J236" s="168">
        <f t="shared" ref="J236:Y236" si="19">J232 * (1 - J234)</f>
        <v>9515.2792068689614</v>
      </c>
      <c r="K236" s="168">
        <f t="shared" si="19"/>
        <v>0</v>
      </c>
      <c r="L236" s="168">
        <f t="shared" si="19"/>
        <v>355.50530125238356</v>
      </c>
      <c r="M236" s="168">
        <f t="shared" si="19"/>
        <v>0</v>
      </c>
      <c r="N236" s="168">
        <f t="shared" si="19"/>
        <v>1576.3761388262226</v>
      </c>
      <c r="O236" s="168">
        <f t="shared" si="19"/>
        <v>0</v>
      </c>
      <c r="P236" s="168">
        <f t="shared" si="19"/>
        <v>0</v>
      </c>
      <c r="Q236" s="168">
        <f t="shared" si="19"/>
        <v>8.2746504407193999</v>
      </c>
      <c r="R236" s="168">
        <f t="shared" si="19"/>
        <v>159.863</v>
      </c>
      <c r="S236" s="168">
        <f t="shared" si="19"/>
        <v>0</v>
      </c>
      <c r="T236" s="168">
        <f t="shared" si="19"/>
        <v>0</v>
      </c>
      <c r="U236" s="168">
        <f t="shared" si="19"/>
        <v>0</v>
      </c>
      <c r="V236" s="168">
        <f t="shared" si="19"/>
        <v>0</v>
      </c>
      <c r="W236" s="168">
        <f t="shared" si="19"/>
        <v>0</v>
      </c>
      <c r="X236" s="168">
        <f t="shared" si="19"/>
        <v>0</v>
      </c>
      <c r="Y236" s="168">
        <f t="shared" si="19"/>
        <v>0</v>
      </c>
      <c r="AQ236" s="3"/>
    </row>
    <row r="237" spans="3:43" x14ac:dyDescent="0.25">
      <c r="F237" s="101" t="s">
        <v>408</v>
      </c>
      <c r="G237" s="101" t="s">
        <v>205</v>
      </c>
      <c r="H237" s="96"/>
      <c r="I237" s="96"/>
      <c r="J237" s="172">
        <f t="shared" ref="J237:Y237" si="20">J233 * (1 - J235)</f>
        <v>12611.796323670675</v>
      </c>
      <c r="K237" s="172">
        <f t="shared" si="20"/>
        <v>0</v>
      </c>
      <c r="L237" s="172">
        <f t="shared" si="20"/>
        <v>350.00058031798852</v>
      </c>
      <c r="M237" s="172">
        <f t="shared" si="20"/>
        <v>0</v>
      </c>
      <c r="N237" s="172">
        <f t="shared" si="20"/>
        <v>4960.5180373646172</v>
      </c>
      <c r="O237" s="172">
        <f t="shared" si="20"/>
        <v>2476.3102048104292</v>
      </c>
      <c r="P237" s="172">
        <f t="shared" si="20"/>
        <v>6362.5471137684699</v>
      </c>
      <c r="Q237" s="172">
        <f t="shared" si="20"/>
        <v>16.12989778964285</v>
      </c>
      <c r="R237" s="172">
        <f t="shared" si="20"/>
        <v>230.125</v>
      </c>
      <c r="S237" s="172">
        <f t="shared" si="20"/>
        <v>0</v>
      </c>
      <c r="T237" s="172">
        <f t="shared" si="20"/>
        <v>84.814999999999998</v>
      </c>
      <c r="U237" s="172">
        <f t="shared" si="20"/>
        <v>0</v>
      </c>
      <c r="V237" s="172">
        <f t="shared" si="20"/>
        <v>0.17</v>
      </c>
      <c r="W237" s="172">
        <f t="shared" si="20"/>
        <v>0</v>
      </c>
      <c r="X237" s="172">
        <f t="shared" si="20"/>
        <v>0</v>
      </c>
      <c r="Y237" s="172">
        <f t="shared" si="20"/>
        <v>0</v>
      </c>
      <c r="AQ237" s="3"/>
    </row>
    <row r="238" spans="3:43" x14ac:dyDescent="0.25">
      <c r="F238" s="94" t="s">
        <v>409</v>
      </c>
      <c r="G238" s="94" t="s">
        <v>205</v>
      </c>
      <c r="J238" s="151">
        <f t="shared" ref="J238:Y238" si="21">J231 + J236 + J237</f>
        <v>602010.79580819397</v>
      </c>
      <c r="K238" s="151">
        <f t="shared" si="21"/>
        <v>715.06892412151399</v>
      </c>
      <c r="L238" s="151">
        <f t="shared" si="21"/>
        <v>159082.50952370188</v>
      </c>
      <c r="M238" s="151">
        <f t="shared" si="21"/>
        <v>198.0273246193633</v>
      </c>
      <c r="N238" s="151">
        <f t="shared" si="21"/>
        <v>217958.48184833908</v>
      </c>
      <c r="O238" s="151">
        <f t="shared" si="21"/>
        <v>75751.88709803547</v>
      </c>
      <c r="P238" s="151">
        <f t="shared" si="21"/>
        <v>260335.78369279471</v>
      </c>
      <c r="Q238" s="151">
        <f t="shared" si="21"/>
        <v>5961.8800051746312</v>
      </c>
      <c r="R238" s="151">
        <f t="shared" si="21"/>
        <v>6989.1164284156448</v>
      </c>
      <c r="S238" s="151">
        <f t="shared" si="21"/>
        <v>0</v>
      </c>
      <c r="T238" s="151">
        <f t="shared" si="21"/>
        <v>4310.0455999999986</v>
      </c>
      <c r="U238" s="151">
        <f t="shared" si="21"/>
        <v>0</v>
      </c>
      <c r="V238" s="151">
        <f t="shared" si="21"/>
        <v>235.52749999999995</v>
      </c>
      <c r="W238" s="151">
        <f t="shared" si="21"/>
        <v>0</v>
      </c>
      <c r="X238" s="151">
        <f t="shared" si="21"/>
        <v>112429.61859999999</v>
      </c>
      <c r="Y238" s="151">
        <f t="shared" si="21"/>
        <v>0</v>
      </c>
      <c r="AQ238" s="3"/>
    </row>
    <row r="239" spans="3:43" x14ac:dyDescent="0.25">
      <c r="E239" s="75"/>
      <c r="J239" s="106"/>
      <c r="K239" s="106"/>
      <c r="L239" s="106"/>
      <c r="M239" s="106"/>
      <c r="N239" s="106"/>
      <c r="O239" s="106"/>
      <c r="P239" s="106"/>
      <c r="Q239" s="106"/>
      <c r="R239" s="106"/>
      <c r="S239" s="106"/>
      <c r="T239" s="106"/>
      <c r="U239" s="106"/>
      <c r="V239" s="106"/>
      <c r="W239" s="106"/>
      <c r="X239" s="106"/>
      <c r="Y239" s="106"/>
      <c r="AQ239" s="3"/>
    </row>
    <row r="240" spans="3:43" x14ac:dyDescent="0.25">
      <c r="E240" s="75" t="s">
        <v>155</v>
      </c>
      <c r="I240" t="s">
        <v>152</v>
      </c>
      <c r="J240" s="106"/>
      <c r="K240" s="106"/>
      <c r="L240" s="106"/>
      <c r="M240" s="106"/>
      <c r="N240" s="106"/>
      <c r="O240" s="106"/>
      <c r="P240" s="106"/>
      <c r="Q240" s="106"/>
      <c r="R240" s="106"/>
      <c r="S240" s="106"/>
      <c r="T240" s="106"/>
      <c r="U240" s="106"/>
      <c r="V240" s="106"/>
      <c r="W240" s="106"/>
      <c r="X240" s="106"/>
      <c r="Y240" s="106"/>
      <c r="AA240" t="s">
        <v>307</v>
      </c>
      <c r="AQ240" s="3"/>
    </row>
    <row r="241" spans="5:43" x14ac:dyDescent="0.25">
      <c r="E241" s="75"/>
      <c r="J241" s="106"/>
      <c r="K241" s="106"/>
      <c r="L241" s="106"/>
      <c r="M241" s="106"/>
      <c r="N241" s="106"/>
      <c r="O241" s="106"/>
      <c r="P241" s="106"/>
      <c r="Q241" s="106"/>
      <c r="R241" s="106"/>
      <c r="S241" s="106"/>
      <c r="T241" s="106"/>
      <c r="U241" s="106"/>
      <c r="V241" s="106"/>
      <c r="W241" s="106"/>
      <c r="X241" s="106"/>
      <c r="Y241" s="106"/>
      <c r="AQ241" s="3"/>
    </row>
    <row r="242" spans="5:43" x14ac:dyDescent="0.25">
      <c r="F242" s="94" t="s">
        <v>402</v>
      </c>
      <c r="G242" s="94" t="s">
        <v>205</v>
      </c>
      <c r="J242" s="168">
        <f t="shared" ref="J242:Y242" si="22">J$200</f>
        <v>1430655.1045502957</v>
      </c>
      <c r="K242" s="168">
        <f t="shared" si="22"/>
        <v>4081.6408178065876</v>
      </c>
      <c r="L242" s="168">
        <f t="shared" si="22"/>
        <v>572706.31507244927</v>
      </c>
      <c r="M242" s="168">
        <f t="shared" si="22"/>
        <v>646.70434049451774</v>
      </c>
      <c r="N242" s="168">
        <f t="shared" si="22"/>
        <v>736297.35805368167</v>
      </c>
      <c r="O242" s="168">
        <f t="shared" si="22"/>
        <v>241158.237860002</v>
      </c>
      <c r="P242" s="168">
        <f t="shared" si="22"/>
        <v>821267.88081695465</v>
      </c>
      <c r="Q242" s="168">
        <f t="shared" si="22"/>
        <v>24507.063165733918</v>
      </c>
      <c r="R242" s="168">
        <f t="shared" si="22"/>
        <v>28720.756111830458</v>
      </c>
      <c r="S242" s="168">
        <f t="shared" si="22"/>
        <v>0</v>
      </c>
      <c r="T242" s="168">
        <f t="shared" si="22"/>
        <v>14462.468000000003</v>
      </c>
      <c r="U242" s="168">
        <f t="shared" si="22"/>
        <v>0</v>
      </c>
      <c r="V242" s="168">
        <f t="shared" si="22"/>
        <v>947.41909999999996</v>
      </c>
      <c r="W242" s="168">
        <f t="shared" si="22"/>
        <v>0</v>
      </c>
      <c r="X242" s="168">
        <f t="shared" si="22"/>
        <v>305558.88569999998</v>
      </c>
      <c r="Y242" s="168">
        <f t="shared" si="22"/>
        <v>0</v>
      </c>
      <c r="AQ242" s="3"/>
    </row>
    <row r="243" spans="5:43" x14ac:dyDescent="0.25">
      <c r="F243" s="94" t="s">
        <v>403</v>
      </c>
      <c r="G243" s="94" t="s">
        <v>205</v>
      </c>
      <c r="J243" s="168">
        <f t="shared" ref="J243:Y243" si="23">J$209</f>
        <v>39606.222663234104</v>
      </c>
      <c r="K243" s="168">
        <f t="shared" si="23"/>
        <v>0</v>
      </c>
      <c r="L243" s="168">
        <f t="shared" si="23"/>
        <v>2248.7657376894517</v>
      </c>
      <c r="M243" s="168">
        <f t="shared" si="23"/>
        <v>0</v>
      </c>
      <c r="N243" s="168">
        <f t="shared" si="23"/>
        <v>8135.5920663595934</v>
      </c>
      <c r="O243" s="168">
        <f t="shared" si="23"/>
        <v>0</v>
      </c>
      <c r="P243" s="168">
        <f t="shared" si="23"/>
        <v>0</v>
      </c>
      <c r="Q243" s="168">
        <f t="shared" si="23"/>
        <v>121.69638635406008</v>
      </c>
      <c r="R243" s="168">
        <f t="shared" si="23"/>
        <v>706.57100000000003</v>
      </c>
      <c r="S243" s="168">
        <f t="shared" si="23"/>
        <v>0</v>
      </c>
      <c r="T243" s="168">
        <f t="shared" si="23"/>
        <v>0</v>
      </c>
      <c r="U243" s="168">
        <f t="shared" si="23"/>
        <v>0</v>
      </c>
      <c r="V243" s="168">
        <f t="shared" si="23"/>
        <v>0</v>
      </c>
      <c r="W243" s="168">
        <f t="shared" si="23"/>
        <v>0</v>
      </c>
      <c r="X243" s="168">
        <f t="shared" si="23"/>
        <v>0</v>
      </c>
      <c r="Y243" s="168">
        <f t="shared" si="23"/>
        <v>0</v>
      </c>
      <c r="AQ243" s="3"/>
    </row>
    <row r="244" spans="5:43" x14ac:dyDescent="0.25">
      <c r="F244" s="94" t="s">
        <v>404</v>
      </c>
      <c r="G244" s="94" t="s">
        <v>205</v>
      </c>
      <c r="J244" s="168">
        <f t="shared" ref="J244:Y244" si="24">J$218</f>
        <v>79080.430414891482</v>
      </c>
      <c r="K244" s="168">
        <f t="shared" si="24"/>
        <v>0</v>
      </c>
      <c r="L244" s="168">
        <f t="shared" si="24"/>
        <v>3293.6456714450032</v>
      </c>
      <c r="M244" s="168">
        <f t="shared" si="24"/>
        <v>0</v>
      </c>
      <c r="N244" s="168">
        <f t="shared" si="24"/>
        <v>38857.279775176539</v>
      </c>
      <c r="O244" s="168">
        <f t="shared" si="24"/>
        <v>11575.518015949161</v>
      </c>
      <c r="P244" s="168">
        <f t="shared" si="24"/>
        <v>22882.116791968725</v>
      </c>
      <c r="Q244" s="168">
        <f t="shared" si="24"/>
        <v>377.84831934996407</v>
      </c>
      <c r="R244" s="168">
        <f t="shared" si="24"/>
        <v>984.601</v>
      </c>
      <c r="S244" s="168">
        <f t="shared" si="24"/>
        <v>0</v>
      </c>
      <c r="T244" s="168">
        <f t="shared" si="24"/>
        <v>251.92699999999999</v>
      </c>
      <c r="U244" s="168">
        <f t="shared" si="24"/>
        <v>0</v>
      </c>
      <c r="V244" s="168">
        <f t="shared" si="24"/>
        <v>1.5920000000000001</v>
      </c>
      <c r="W244" s="168">
        <f t="shared" si="24"/>
        <v>0</v>
      </c>
      <c r="X244" s="168">
        <f t="shared" si="24"/>
        <v>0</v>
      </c>
      <c r="Y244" s="168">
        <f t="shared" si="24"/>
        <v>0</v>
      </c>
      <c r="AQ244" s="3"/>
    </row>
    <row r="245" spans="5:43" x14ac:dyDescent="0.25">
      <c r="F245" s="94" t="s">
        <v>405</v>
      </c>
      <c r="G245" s="94" t="s">
        <v>165</v>
      </c>
      <c r="J245" s="197">
        <f t="shared" ref="J245:Y245" si="25">IF(J$39, J$45, J$34)</f>
        <v>0.40999688257340583</v>
      </c>
      <c r="K245" s="197">
        <f t="shared" si="25"/>
        <v>0.40999688257340583</v>
      </c>
      <c r="L245" s="197">
        <f t="shared" si="25"/>
        <v>0.40999688257340583</v>
      </c>
      <c r="M245" s="197">
        <f t="shared" si="25"/>
        <v>0.40999688257340583</v>
      </c>
      <c r="N245" s="197">
        <f t="shared" si="25"/>
        <v>0.40999688257340583</v>
      </c>
      <c r="O245" s="197">
        <f t="shared" si="25"/>
        <v>0</v>
      </c>
      <c r="P245" s="197">
        <f t="shared" si="25"/>
        <v>0</v>
      </c>
      <c r="Q245" s="197">
        <f t="shared" si="25"/>
        <v>0.40999688257340583</v>
      </c>
      <c r="R245" s="197">
        <f t="shared" si="25"/>
        <v>0</v>
      </c>
      <c r="S245" s="197">
        <f t="shared" si="25"/>
        <v>0</v>
      </c>
      <c r="T245" s="197">
        <f t="shared" si="25"/>
        <v>0</v>
      </c>
      <c r="U245" s="197">
        <f t="shared" si="25"/>
        <v>0</v>
      </c>
      <c r="V245" s="197">
        <f t="shared" si="25"/>
        <v>0</v>
      </c>
      <c r="W245" s="197">
        <f t="shared" si="25"/>
        <v>0</v>
      </c>
      <c r="X245" s="197">
        <f t="shared" si="25"/>
        <v>0</v>
      </c>
      <c r="Y245" s="197">
        <f t="shared" si="25"/>
        <v>0</v>
      </c>
      <c r="AQ245" s="3"/>
    </row>
    <row r="246" spans="5:43" x14ac:dyDescent="0.25">
      <c r="F246" s="94" t="s">
        <v>406</v>
      </c>
      <c r="G246" s="94" t="s">
        <v>165</v>
      </c>
      <c r="J246" s="197">
        <f t="shared" ref="J246:Y246" si="26">IF(J$39, J$45, J$35)</f>
        <v>0.60376444392351947</v>
      </c>
      <c r="K246" s="197">
        <f t="shared" si="26"/>
        <v>0.60376444392351947</v>
      </c>
      <c r="L246" s="197">
        <f t="shared" si="26"/>
        <v>0.60376444392351947</v>
      </c>
      <c r="M246" s="197">
        <f t="shared" si="26"/>
        <v>0.60376444392351947</v>
      </c>
      <c r="N246" s="197">
        <f t="shared" si="26"/>
        <v>0.60376444392351947</v>
      </c>
      <c r="O246" s="197">
        <f t="shared" si="26"/>
        <v>0.32468019364035799</v>
      </c>
      <c r="P246" s="197">
        <f t="shared" si="26"/>
        <v>0.16961170739746073</v>
      </c>
      <c r="Q246" s="197">
        <f t="shared" si="26"/>
        <v>0.60376444392351947</v>
      </c>
      <c r="R246" s="197">
        <f t="shared" si="26"/>
        <v>0</v>
      </c>
      <c r="S246" s="197">
        <f t="shared" si="26"/>
        <v>0</v>
      </c>
      <c r="T246" s="197">
        <f t="shared" si="26"/>
        <v>0</v>
      </c>
      <c r="U246" s="197">
        <f t="shared" si="26"/>
        <v>0</v>
      </c>
      <c r="V246" s="197">
        <f t="shared" si="26"/>
        <v>0</v>
      </c>
      <c r="W246" s="197">
        <f t="shared" si="26"/>
        <v>0</v>
      </c>
      <c r="X246" s="197">
        <f t="shared" si="26"/>
        <v>0</v>
      </c>
      <c r="Y246" s="197">
        <f t="shared" si="26"/>
        <v>0</v>
      </c>
      <c r="AQ246" s="3"/>
    </row>
    <row r="247" spans="5:43" x14ac:dyDescent="0.25">
      <c r="F247" s="94" t="s">
        <v>407</v>
      </c>
      <c r="G247" s="94" t="s">
        <v>205</v>
      </c>
      <c r="J247" s="168">
        <f t="shared" ref="J247:Y247" si="27">J243 * (1 - J245)</f>
        <v>23367.794840799947</v>
      </c>
      <c r="K247" s="168">
        <f t="shared" si="27"/>
        <v>0</v>
      </c>
      <c r="L247" s="168">
        <f t="shared" si="27"/>
        <v>1326.7787955988913</v>
      </c>
      <c r="M247" s="168">
        <f t="shared" si="27"/>
        <v>0</v>
      </c>
      <c r="N247" s="168">
        <f t="shared" si="27"/>
        <v>4800.0246812632267</v>
      </c>
      <c r="O247" s="168">
        <f t="shared" si="27"/>
        <v>0</v>
      </c>
      <c r="P247" s="168">
        <f t="shared" si="27"/>
        <v>0</v>
      </c>
      <c r="Q247" s="168">
        <f t="shared" si="27"/>
        <v>71.801247328446678</v>
      </c>
      <c r="R247" s="168">
        <f t="shared" si="27"/>
        <v>706.57100000000003</v>
      </c>
      <c r="S247" s="168">
        <f t="shared" si="27"/>
        <v>0</v>
      </c>
      <c r="T247" s="168">
        <f t="shared" si="27"/>
        <v>0</v>
      </c>
      <c r="U247" s="168">
        <f t="shared" si="27"/>
        <v>0</v>
      </c>
      <c r="V247" s="168">
        <f t="shared" si="27"/>
        <v>0</v>
      </c>
      <c r="W247" s="168">
        <f t="shared" si="27"/>
        <v>0</v>
      </c>
      <c r="X247" s="168">
        <f t="shared" si="27"/>
        <v>0</v>
      </c>
      <c r="Y247" s="168">
        <f t="shared" si="27"/>
        <v>0</v>
      </c>
      <c r="AQ247" s="3"/>
    </row>
    <row r="248" spans="5:43" x14ac:dyDescent="0.25">
      <c r="F248" s="101" t="s">
        <v>408</v>
      </c>
      <c r="G248" s="101" t="s">
        <v>205</v>
      </c>
      <c r="H248" s="96"/>
      <c r="I248" s="96"/>
      <c r="J248" s="172">
        <f t="shared" ref="J248:Y248" si="28">J244 * (1 - J246)</f>
        <v>31334.478320211951</v>
      </c>
      <c r="K248" s="172">
        <f t="shared" si="28"/>
        <v>0</v>
      </c>
      <c r="L248" s="172">
        <f t="shared" si="28"/>
        <v>1305.0595241439039</v>
      </c>
      <c r="M248" s="172">
        <f t="shared" si="28"/>
        <v>0</v>
      </c>
      <c r="N248" s="172">
        <f t="shared" si="28"/>
        <v>15396.635859336457</v>
      </c>
      <c r="O248" s="172">
        <f t="shared" si="28"/>
        <v>7817.1765850433339</v>
      </c>
      <c r="P248" s="172">
        <f t="shared" si="28"/>
        <v>19001.041894014801</v>
      </c>
      <c r="Q248" s="172">
        <f t="shared" si="28"/>
        <v>149.71693893019662</v>
      </c>
      <c r="R248" s="172">
        <f t="shared" si="28"/>
        <v>984.601</v>
      </c>
      <c r="S248" s="172">
        <f t="shared" si="28"/>
        <v>0</v>
      </c>
      <c r="T248" s="172">
        <f t="shared" si="28"/>
        <v>251.92699999999999</v>
      </c>
      <c r="U248" s="172">
        <f t="shared" si="28"/>
        <v>0</v>
      </c>
      <c r="V248" s="172">
        <f t="shared" si="28"/>
        <v>1.5920000000000001</v>
      </c>
      <c r="W248" s="172">
        <f t="shared" si="28"/>
        <v>0</v>
      </c>
      <c r="X248" s="172">
        <f t="shared" si="28"/>
        <v>0</v>
      </c>
      <c r="Y248" s="172">
        <f t="shared" si="28"/>
        <v>0</v>
      </c>
      <c r="AQ248" s="3"/>
    </row>
    <row r="249" spans="5:43" x14ac:dyDescent="0.25">
      <c r="F249" s="94" t="s">
        <v>409</v>
      </c>
      <c r="G249" s="94" t="s">
        <v>205</v>
      </c>
      <c r="J249" s="151">
        <f t="shared" ref="J249:Y249" si="29">J242 + J247 + J248</f>
        <v>1485357.3777113075</v>
      </c>
      <c r="K249" s="151">
        <f t="shared" si="29"/>
        <v>4081.6408178065876</v>
      </c>
      <c r="L249" s="151">
        <f t="shared" si="29"/>
        <v>575338.15339219209</v>
      </c>
      <c r="M249" s="151">
        <f t="shared" si="29"/>
        <v>646.70434049451774</v>
      </c>
      <c r="N249" s="151">
        <f t="shared" si="29"/>
        <v>756494.0185942814</v>
      </c>
      <c r="O249" s="151">
        <f t="shared" si="29"/>
        <v>248975.41444504535</v>
      </c>
      <c r="P249" s="151">
        <f t="shared" si="29"/>
        <v>840268.92271096946</v>
      </c>
      <c r="Q249" s="151">
        <f t="shared" si="29"/>
        <v>24728.581351992561</v>
      </c>
      <c r="R249" s="151">
        <f t="shared" si="29"/>
        <v>30411.928111830457</v>
      </c>
      <c r="S249" s="151">
        <f t="shared" si="29"/>
        <v>0</v>
      </c>
      <c r="T249" s="151">
        <f t="shared" si="29"/>
        <v>14714.395000000002</v>
      </c>
      <c r="U249" s="151">
        <f t="shared" si="29"/>
        <v>0</v>
      </c>
      <c r="V249" s="151">
        <f t="shared" si="29"/>
        <v>949.01109999999994</v>
      </c>
      <c r="W249" s="151">
        <f t="shared" si="29"/>
        <v>0</v>
      </c>
      <c r="X249" s="151">
        <f t="shared" si="29"/>
        <v>305558.88569999998</v>
      </c>
      <c r="Y249" s="151">
        <f t="shared" si="29"/>
        <v>0</v>
      </c>
      <c r="AQ249" s="3"/>
    </row>
    <row r="250" spans="5:43" x14ac:dyDescent="0.25">
      <c r="E250" s="75"/>
      <c r="J250" s="106"/>
      <c r="K250" s="106"/>
      <c r="L250" s="106"/>
      <c r="M250" s="106"/>
      <c r="N250" s="106"/>
      <c r="O250" s="106"/>
      <c r="P250" s="106"/>
      <c r="Q250" s="106"/>
      <c r="R250" s="106"/>
      <c r="S250" s="106"/>
      <c r="T250" s="106"/>
      <c r="U250" s="106"/>
      <c r="V250" s="106"/>
      <c r="W250" s="106"/>
      <c r="X250" s="106"/>
      <c r="Y250" s="106"/>
      <c r="AQ250" s="3"/>
    </row>
    <row r="251" spans="5:43" x14ac:dyDescent="0.25">
      <c r="E251" s="75" t="s">
        <v>156</v>
      </c>
      <c r="I251" t="s">
        <v>152</v>
      </c>
      <c r="J251" s="106"/>
      <c r="K251" s="106"/>
      <c r="L251" s="106"/>
      <c r="M251" s="106"/>
      <c r="N251" s="106"/>
      <c r="O251" s="106"/>
      <c r="P251" s="106"/>
      <c r="Q251" s="106"/>
      <c r="R251" s="106"/>
      <c r="S251" s="106"/>
      <c r="T251" s="106"/>
      <c r="U251" s="106"/>
      <c r="V251" s="106"/>
      <c r="W251" s="106"/>
      <c r="X251" s="106"/>
      <c r="Y251" s="106"/>
      <c r="AA251" t="s">
        <v>307</v>
      </c>
      <c r="AQ251" s="3"/>
    </row>
    <row r="252" spans="5:43" x14ac:dyDescent="0.25">
      <c r="E252" s="75"/>
      <c r="J252" s="106"/>
      <c r="K252" s="106"/>
      <c r="L252" s="106"/>
      <c r="M252" s="106"/>
      <c r="N252" s="106"/>
      <c r="O252" s="106"/>
      <c r="P252" s="106"/>
      <c r="Q252" s="106"/>
      <c r="R252" s="106"/>
      <c r="S252" s="106"/>
      <c r="T252" s="106"/>
      <c r="U252" s="106"/>
      <c r="V252" s="106"/>
      <c r="W252" s="106"/>
      <c r="X252" s="106"/>
      <c r="Y252" s="106"/>
      <c r="AQ252" s="3"/>
    </row>
    <row r="253" spans="5:43" x14ac:dyDescent="0.25">
      <c r="F253" s="94" t="s">
        <v>402</v>
      </c>
      <c r="G253" s="94" t="s">
        <v>205</v>
      </c>
      <c r="J253" s="168">
        <f t="shared" ref="J253:Y253" si="30">J$201</f>
        <v>2144526.879086318</v>
      </c>
      <c r="K253" s="168">
        <f t="shared" si="30"/>
        <v>17683.252822043934</v>
      </c>
      <c r="L253" s="168">
        <f t="shared" si="30"/>
        <v>630777.63110846642</v>
      </c>
      <c r="M253" s="168">
        <f t="shared" si="30"/>
        <v>3204.1147499679787</v>
      </c>
      <c r="N253" s="168">
        <f t="shared" si="30"/>
        <v>848155.28095947125</v>
      </c>
      <c r="O253" s="168">
        <f t="shared" si="30"/>
        <v>331364.1929218141</v>
      </c>
      <c r="P253" s="168">
        <f t="shared" si="30"/>
        <v>1172689.7436960668</v>
      </c>
      <c r="Q253" s="168">
        <f t="shared" si="30"/>
        <v>73996.161970165136</v>
      </c>
      <c r="R253" s="168">
        <f t="shared" si="30"/>
        <v>17040.400238646263</v>
      </c>
      <c r="S253" s="168">
        <f t="shared" si="30"/>
        <v>0</v>
      </c>
      <c r="T253" s="168">
        <f t="shared" si="30"/>
        <v>21962.315499999997</v>
      </c>
      <c r="U253" s="168">
        <f t="shared" si="30"/>
        <v>0</v>
      </c>
      <c r="V253" s="168">
        <f t="shared" si="30"/>
        <v>1266.3393000000001</v>
      </c>
      <c r="W253" s="168">
        <f t="shared" si="30"/>
        <v>0</v>
      </c>
      <c r="X253" s="168">
        <f t="shared" si="30"/>
        <v>457934.66330000001</v>
      </c>
      <c r="Y253" s="168">
        <f t="shared" si="30"/>
        <v>0</v>
      </c>
      <c r="AQ253" s="3"/>
    </row>
    <row r="254" spans="5:43" x14ac:dyDescent="0.25">
      <c r="F254" s="94" t="s">
        <v>403</v>
      </c>
      <c r="G254" s="94" t="s">
        <v>205</v>
      </c>
      <c r="J254" s="168">
        <f t="shared" ref="J254:Y254" si="31">J$210</f>
        <v>56456.583827742812</v>
      </c>
      <c r="K254" s="168">
        <f t="shared" si="31"/>
        <v>0</v>
      </c>
      <c r="L254" s="168">
        <f t="shared" si="31"/>
        <v>2241.5617324059403</v>
      </c>
      <c r="M254" s="168">
        <f t="shared" si="31"/>
        <v>0</v>
      </c>
      <c r="N254" s="168">
        <f t="shared" si="31"/>
        <v>9865.0691297457688</v>
      </c>
      <c r="O254" s="168">
        <f t="shared" si="31"/>
        <v>0</v>
      </c>
      <c r="P254" s="168">
        <f t="shared" si="31"/>
        <v>0</v>
      </c>
      <c r="Q254" s="168">
        <f t="shared" si="31"/>
        <v>188.91722132605392</v>
      </c>
      <c r="R254" s="168">
        <f t="shared" si="31"/>
        <v>409.77800000000002</v>
      </c>
      <c r="S254" s="168">
        <f t="shared" si="31"/>
        <v>0</v>
      </c>
      <c r="T254" s="168">
        <f t="shared" si="31"/>
        <v>0</v>
      </c>
      <c r="U254" s="168">
        <f t="shared" si="31"/>
        <v>0</v>
      </c>
      <c r="V254" s="168">
        <f t="shared" si="31"/>
        <v>0</v>
      </c>
      <c r="W254" s="168">
        <f t="shared" si="31"/>
        <v>0</v>
      </c>
      <c r="X254" s="168">
        <f t="shared" si="31"/>
        <v>0</v>
      </c>
      <c r="Y254" s="168">
        <f t="shared" si="31"/>
        <v>0</v>
      </c>
      <c r="AQ254" s="3"/>
    </row>
    <row r="255" spans="5:43" x14ac:dyDescent="0.25">
      <c r="F255" s="94" t="s">
        <v>404</v>
      </c>
      <c r="G255" s="94" t="s">
        <v>205</v>
      </c>
      <c r="J255" s="168">
        <f t="shared" ref="J255:Y255" si="32">J$219</f>
        <v>118157.8057162469</v>
      </c>
      <c r="K255" s="168">
        <f t="shared" si="32"/>
        <v>0</v>
      </c>
      <c r="L255" s="168">
        <f t="shared" si="32"/>
        <v>3371.7356897004602</v>
      </c>
      <c r="M255" s="168">
        <f t="shared" si="32"/>
        <v>0</v>
      </c>
      <c r="N255" s="168">
        <f t="shared" si="32"/>
        <v>48319.74149047723</v>
      </c>
      <c r="O255" s="168">
        <f t="shared" si="32"/>
        <v>12272.217346442265</v>
      </c>
      <c r="P255" s="168">
        <f t="shared" si="32"/>
        <v>35476.327874310446</v>
      </c>
      <c r="Q255" s="168">
        <f t="shared" si="32"/>
        <v>604.00730285321674</v>
      </c>
      <c r="R255" s="168">
        <f t="shared" si="32"/>
        <v>580.29999999999995</v>
      </c>
      <c r="S255" s="168">
        <f t="shared" si="32"/>
        <v>0</v>
      </c>
      <c r="T255" s="168">
        <f t="shared" si="32"/>
        <v>504.68799999999999</v>
      </c>
      <c r="U255" s="168">
        <f t="shared" si="32"/>
        <v>0</v>
      </c>
      <c r="V255" s="168">
        <f t="shared" si="32"/>
        <v>1.3879999999999999</v>
      </c>
      <c r="W255" s="168">
        <f t="shared" si="32"/>
        <v>0</v>
      </c>
      <c r="X255" s="168">
        <f t="shared" si="32"/>
        <v>0</v>
      </c>
      <c r="Y255" s="168">
        <f t="shared" si="32"/>
        <v>0</v>
      </c>
      <c r="AQ255" s="3"/>
    </row>
    <row r="256" spans="5:43" x14ac:dyDescent="0.25">
      <c r="F256" s="94" t="s">
        <v>405</v>
      </c>
      <c r="G256" s="94" t="s">
        <v>165</v>
      </c>
      <c r="J256" s="197">
        <f t="shared" ref="J256:Y256" si="33">IF(J$39, J$45, J$34)</f>
        <v>0.40999688257340583</v>
      </c>
      <c r="K256" s="197">
        <f t="shared" si="33"/>
        <v>0.40999688257340583</v>
      </c>
      <c r="L256" s="197">
        <f t="shared" si="33"/>
        <v>0.40999688257340583</v>
      </c>
      <c r="M256" s="197">
        <f t="shared" si="33"/>
        <v>0.40999688257340583</v>
      </c>
      <c r="N256" s="197">
        <f t="shared" si="33"/>
        <v>0.40999688257340583</v>
      </c>
      <c r="O256" s="197">
        <f t="shared" si="33"/>
        <v>0</v>
      </c>
      <c r="P256" s="197">
        <f t="shared" si="33"/>
        <v>0</v>
      </c>
      <c r="Q256" s="197">
        <f t="shared" si="33"/>
        <v>0.40999688257340583</v>
      </c>
      <c r="R256" s="197">
        <f t="shared" si="33"/>
        <v>0</v>
      </c>
      <c r="S256" s="197">
        <f t="shared" si="33"/>
        <v>0</v>
      </c>
      <c r="T256" s="197">
        <f t="shared" si="33"/>
        <v>0</v>
      </c>
      <c r="U256" s="197">
        <f t="shared" si="33"/>
        <v>0</v>
      </c>
      <c r="V256" s="197">
        <f t="shared" si="33"/>
        <v>0</v>
      </c>
      <c r="W256" s="197">
        <f t="shared" si="33"/>
        <v>0</v>
      </c>
      <c r="X256" s="197">
        <f t="shared" si="33"/>
        <v>0</v>
      </c>
      <c r="Y256" s="197">
        <f t="shared" si="33"/>
        <v>0</v>
      </c>
      <c r="AQ256" s="3"/>
    </row>
    <row r="257" spans="5:43" x14ac:dyDescent="0.25">
      <c r="F257" s="94" t="s">
        <v>406</v>
      </c>
      <c r="G257" s="94" t="s">
        <v>165</v>
      </c>
      <c r="J257" s="197">
        <f t="shared" ref="J257:Y257" si="34">IF(J$39, J$45, J$35)</f>
        <v>0.60376444392351947</v>
      </c>
      <c r="K257" s="197">
        <f t="shared" si="34"/>
        <v>0.60376444392351947</v>
      </c>
      <c r="L257" s="197">
        <f t="shared" si="34"/>
        <v>0.60376444392351947</v>
      </c>
      <c r="M257" s="197">
        <f t="shared" si="34"/>
        <v>0.60376444392351947</v>
      </c>
      <c r="N257" s="197">
        <f t="shared" si="34"/>
        <v>0.60376444392351947</v>
      </c>
      <c r="O257" s="197">
        <f t="shared" si="34"/>
        <v>0.32468019364035799</v>
      </c>
      <c r="P257" s="197">
        <f t="shared" si="34"/>
        <v>0.16961170739746073</v>
      </c>
      <c r="Q257" s="197">
        <f t="shared" si="34"/>
        <v>0.60376444392351947</v>
      </c>
      <c r="R257" s="197">
        <f t="shared" si="34"/>
        <v>0</v>
      </c>
      <c r="S257" s="197">
        <f t="shared" si="34"/>
        <v>0</v>
      </c>
      <c r="T257" s="197">
        <f t="shared" si="34"/>
        <v>0</v>
      </c>
      <c r="U257" s="197">
        <f t="shared" si="34"/>
        <v>0</v>
      </c>
      <c r="V257" s="197">
        <f t="shared" si="34"/>
        <v>0</v>
      </c>
      <c r="W257" s="197">
        <f t="shared" si="34"/>
        <v>0</v>
      </c>
      <c r="X257" s="197">
        <f t="shared" si="34"/>
        <v>0</v>
      </c>
      <c r="Y257" s="197">
        <f t="shared" si="34"/>
        <v>0</v>
      </c>
      <c r="AQ257" s="3"/>
    </row>
    <row r="258" spans="5:43" x14ac:dyDescent="0.25">
      <c r="F258" s="94" t="s">
        <v>407</v>
      </c>
      <c r="G258" s="94" t="s">
        <v>205</v>
      </c>
      <c r="J258" s="168">
        <f t="shared" ref="J258:Y258" si="35">J254 * (1 - J256)</f>
        <v>33309.560457624102</v>
      </c>
      <c r="K258" s="168">
        <f t="shared" si="35"/>
        <v>0</v>
      </c>
      <c r="L258" s="168">
        <f t="shared" si="35"/>
        <v>1322.528410023662</v>
      </c>
      <c r="M258" s="168">
        <f t="shared" si="35"/>
        <v>0</v>
      </c>
      <c r="N258" s="168">
        <f t="shared" si="35"/>
        <v>5820.4215401788624</v>
      </c>
      <c r="O258" s="168">
        <f t="shared" si="35"/>
        <v>0</v>
      </c>
      <c r="P258" s="168">
        <f t="shared" si="35"/>
        <v>0</v>
      </c>
      <c r="Q258" s="168">
        <f t="shared" si="35"/>
        <v>111.46174951794167</v>
      </c>
      <c r="R258" s="168">
        <f t="shared" si="35"/>
        <v>409.77800000000002</v>
      </c>
      <c r="S258" s="168">
        <f t="shared" si="35"/>
        <v>0</v>
      </c>
      <c r="T258" s="168">
        <f t="shared" si="35"/>
        <v>0</v>
      </c>
      <c r="U258" s="168">
        <f t="shared" si="35"/>
        <v>0</v>
      </c>
      <c r="V258" s="168">
        <f t="shared" si="35"/>
        <v>0</v>
      </c>
      <c r="W258" s="168">
        <f t="shared" si="35"/>
        <v>0</v>
      </c>
      <c r="X258" s="168">
        <f t="shared" si="35"/>
        <v>0</v>
      </c>
      <c r="Y258" s="168">
        <f t="shared" si="35"/>
        <v>0</v>
      </c>
      <c r="AQ258" s="3"/>
    </row>
    <row r="259" spans="5:43" x14ac:dyDescent="0.25">
      <c r="F259" s="101" t="s">
        <v>408</v>
      </c>
      <c r="G259" s="101" t="s">
        <v>205</v>
      </c>
      <c r="H259" s="96"/>
      <c r="I259" s="96"/>
      <c r="J259" s="172">
        <f t="shared" ref="J259:Y259" si="36">J255 * (1 - J257)</f>
        <v>46818.323852753841</v>
      </c>
      <c r="K259" s="172">
        <f t="shared" si="36"/>
        <v>0</v>
      </c>
      <c r="L259" s="172">
        <f t="shared" si="36"/>
        <v>1336.0015659513774</v>
      </c>
      <c r="M259" s="172">
        <f t="shared" si="36"/>
        <v>0</v>
      </c>
      <c r="N259" s="172">
        <f t="shared" si="36"/>
        <v>19145.999638951034</v>
      </c>
      <c r="O259" s="172">
        <f t="shared" si="36"/>
        <v>8287.6714420028293</v>
      </c>
      <c r="P259" s="172">
        <f t="shared" si="36"/>
        <v>29459.127331356522</v>
      </c>
      <c r="Q259" s="172">
        <f t="shared" si="36"/>
        <v>239.32916952029953</v>
      </c>
      <c r="R259" s="172">
        <f t="shared" si="36"/>
        <v>580.29999999999995</v>
      </c>
      <c r="S259" s="172">
        <f t="shared" si="36"/>
        <v>0</v>
      </c>
      <c r="T259" s="172">
        <f t="shared" si="36"/>
        <v>504.68799999999999</v>
      </c>
      <c r="U259" s="172">
        <f t="shared" si="36"/>
        <v>0</v>
      </c>
      <c r="V259" s="172">
        <f t="shared" si="36"/>
        <v>1.3879999999999999</v>
      </c>
      <c r="W259" s="172">
        <f t="shared" si="36"/>
        <v>0</v>
      </c>
      <c r="X259" s="172">
        <f t="shared" si="36"/>
        <v>0</v>
      </c>
      <c r="Y259" s="172">
        <f t="shared" si="36"/>
        <v>0</v>
      </c>
      <c r="AQ259" s="3"/>
    </row>
    <row r="260" spans="5:43" x14ac:dyDescent="0.25">
      <c r="F260" s="94" t="s">
        <v>409</v>
      </c>
      <c r="G260" s="94" t="s">
        <v>205</v>
      </c>
      <c r="J260" s="151">
        <f t="shared" ref="J260:Y260" si="37">J253 + J258 + J259</f>
        <v>2224654.7633966957</v>
      </c>
      <c r="K260" s="151">
        <f t="shared" si="37"/>
        <v>17683.252822043934</v>
      </c>
      <c r="L260" s="151">
        <f t="shared" si="37"/>
        <v>633436.16108444147</v>
      </c>
      <c r="M260" s="151">
        <f t="shared" si="37"/>
        <v>3204.1147499679787</v>
      </c>
      <c r="N260" s="151">
        <f t="shared" si="37"/>
        <v>873121.7021386011</v>
      </c>
      <c r="O260" s="151">
        <f t="shared" si="37"/>
        <v>339651.86436381692</v>
      </c>
      <c r="P260" s="151">
        <f t="shared" si="37"/>
        <v>1202148.8710274233</v>
      </c>
      <c r="Q260" s="151">
        <f t="shared" si="37"/>
        <v>74346.95288920337</v>
      </c>
      <c r="R260" s="151">
        <f t="shared" si="37"/>
        <v>18030.478238646261</v>
      </c>
      <c r="S260" s="151">
        <f t="shared" si="37"/>
        <v>0</v>
      </c>
      <c r="T260" s="151">
        <f t="shared" si="37"/>
        <v>22467.003499999995</v>
      </c>
      <c r="U260" s="151">
        <f t="shared" si="37"/>
        <v>0</v>
      </c>
      <c r="V260" s="151">
        <f t="shared" si="37"/>
        <v>1267.7273</v>
      </c>
      <c r="W260" s="151">
        <f t="shared" si="37"/>
        <v>0</v>
      </c>
      <c r="X260" s="151">
        <f t="shared" si="37"/>
        <v>457934.66330000001</v>
      </c>
      <c r="Y260" s="151">
        <f t="shared" si="37"/>
        <v>0</v>
      </c>
      <c r="AQ260" s="3"/>
    </row>
    <row r="261" spans="5:43" x14ac:dyDescent="0.25">
      <c r="E261" s="75"/>
      <c r="J261" s="106"/>
      <c r="K261" s="106"/>
      <c r="L261" s="106"/>
      <c r="M261" s="106"/>
      <c r="N261" s="106"/>
      <c r="O261" s="106"/>
      <c r="P261" s="106"/>
      <c r="Q261" s="106"/>
      <c r="R261" s="106"/>
      <c r="S261" s="106"/>
      <c r="T261" s="106"/>
      <c r="U261" s="106"/>
      <c r="V261" s="106"/>
      <c r="W261" s="106"/>
      <c r="X261" s="106"/>
      <c r="Y261" s="106"/>
      <c r="AQ261" s="3"/>
    </row>
    <row r="262" spans="5:43" x14ac:dyDescent="0.25">
      <c r="E262" s="75" t="s">
        <v>410</v>
      </c>
      <c r="I262" t="s">
        <v>152</v>
      </c>
      <c r="J262" s="106"/>
      <c r="K262" s="106"/>
      <c r="L262" s="106"/>
      <c r="M262" s="106"/>
      <c r="N262" s="106"/>
      <c r="O262" s="106"/>
      <c r="P262" s="106"/>
      <c r="Q262" s="106"/>
      <c r="R262" s="106"/>
      <c r="S262" s="106"/>
      <c r="T262" s="106"/>
      <c r="U262" s="106"/>
      <c r="V262" s="106"/>
      <c r="W262" s="106"/>
      <c r="X262" s="106"/>
      <c r="Y262" s="106"/>
      <c r="AQ262" s="3"/>
    </row>
    <row r="263" spans="5:43" x14ac:dyDescent="0.25">
      <c r="E263" s="75"/>
      <c r="J263" s="106"/>
      <c r="K263" s="106"/>
      <c r="L263" s="106"/>
      <c r="M263" s="106"/>
      <c r="N263" s="106"/>
      <c r="O263" s="106"/>
      <c r="P263" s="106"/>
      <c r="Q263" s="106"/>
      <c r="R263" s="106"/>
      <c r="S263" s="106"/>
      <c r="T263" s="106"/>
      <c r="U263" s="106"/>
      <c r="V263" s="106"/>
      <c r="W263" s="106"/>
      <c r="X263" s="106"/>
      <c r="Y263" s="106"/>
      <c r="AQ263" s="3"/>
    </row>
    <row r="264" spans="5:43" x14ac:dyDescent="0.25">
      <c r="F264" s="94" t="s">
        <v>409</v>
      </c>
      <c r="G264" s="94" t="s">
        <v>205</v>
      </c>
      <c r="J264" s="168">
        <f t="shared" ref="J264:Y264" si="38">J260 + J249 + J238</f>
        <v>4312022.9369161977</v>
      </c>
      <c r="K264" s="168">
        <f t="shared" si="38"/>
        <v>22479.962563972036</v>
      </c>
      <c r="L264" s="168">
        <f t="shared" si="38"/>
        <v>1367856.8240003353</v>
      </c>
      <c r="M264" s="168">
        <f t="shared" si="38"/>
        <v>4048.8464150818595</v>
      </c>
      <c r="N264" s="168">
        <f t="shared" si="38"/>
        <v>1847574.2025812217</v>
      </c>
      <c r="O264" s="168">
        <f t="shared" si="38"/>
        <v>664379.16590689763</v>
      </c>
      <c r="P264" s="168">
        <f t="shared" si="38"/>
        <v>2302753.5774311875</v>
      </c>
      <c r="Q264" s="168">
        <f t="shared" si="38"/>
        <v>105037.41424637056</v>
      </c>
      <c r="R264" s="168">
        <f t="shared" si="38"/>
        <v>55431.522778892366</v>
      </c>
      <c r="S264" s="168">
        <f t="shared" si="38"/>
        <v>0</v>
      </c>
      <c r="T264" s="168">
        <f t="shared" si="38"/>
        <v>41491.444099999993</v>
      </c>
      <c r="U264" s="168">
        <f t="shared" si="38"/>
        <v>0</v>
      </c>
      <c r="V264" s="168">
        <f t="shared" si="38"/>
        <v>2452.2659000000003</v>
      </c>
      <c r="W264" s="168">
        <f t="shared" si="38"/>
        <v>0</v>
      </c>
      <c r="X264" s="168">
        <f t="shared" si="38"/>
        <v>875923.16760000004</v>
      </c>
      <c r="Y264" s="168">
        <f t="shared" si="38"/>
        <v>0</v>
      </c>
      <c r="AQ264" s="3"/>
    </row>
    <row r="265" spans="5:43" x14ac:dyDescent="0.25">
      <c r="E265" s="75"/>
      <c r="J265" s="106"/>
      <c r="K265" s="106"/>
      <c r="L265" s="106"/>
      <c r="M265" s="106"/>
      <c r="N265" s="106"/>
      <c r="O265" s="106"/>
      <c r="P265" s="106"/>
      <c r="Q265" s="106"/>
      <c r="R265" s="106"/>
      <c r="S265" s="106"/>
      <c r="T265" s="106"/>
      <c r="U265" s="106"/>
      <c r="V265" s="106"/>
      <c r="W265" s="106"/>
      <c r="X265" s="106"/>
      <c r="Y265" s="106"/>
      <c r="AQ265" s="3"/>
    </row>
    <row r="266" spans="5:43" x14ac:dyDescent="0.25">
      <c r="E266" s="75" t="s">
        <v>210</v>
      </c>
      <c r="I266" t="s">
        <v>152</v>
      </c>
      <c r="J266" s="106"/>
      <c r="K266" s="106"/>
      <c r="L266" s="106"/>
      <c r="M266" s="106"/>
      <c r="N266" s="106"/>
      <c r="O266" s="106"/>
      <c r="P266" s="106"/>
      <c r="Q266" s="106"/>
      <c r="R266" s="106"/>
      <c r="S266" s="106"/>
      <c r="T266" s="106"/>
      <c r="U266" s="106"/>
      <c r="V266" s="106"/>
      <c r="W266" s="106"/>
      <c r="X266" s="106"/>
      <c r="Y266" s="106"/>
      <c r="AA266" t="s">
        <v>307</v>
      </c>
      <c r="AQ266" s="3"/>
    </row>
    <row r="267" spans="5:43" x14ac:dyDescent="0.25">
      <c r="E267" s="75"/>
      <c r="J267" s="106"/>
      <c r="K267" s="106"/>
      <c r="L267" s="106"/>
      <c r="M267" s="106"/>
      <c r="N267" s="106"/>
      <c r="O267" s="106"/>
      <c r="P267" s="106"/>
      <c r="Q267" s="106"/>
      <c r="R267" s="106"/>
      <c r="S267" s="106"/>
      <c r="T267" s="106"/>
      <c r="U267" s="106"/>
      <c r="V267" s="106"/>
      <c r="W267" s="106"/>
      <c r="X267" s="106"/>
      <c r="Y267" s="106"/>
      <c r="AQ267" s="3"/>
    </row>
    <row r="268" spans="5:43" x14ac:dyDescent="0.25">
      <c r="F268" s="94" t="s">
        <v>402</v>
      </c>
      <c r="G268" s="94" t="s">
        <v>210</v>
      </c>
      <c r="J268" s="168">
        <f t="shared" ref="J268:Y268" si="39">J202</f>
        <v>1493778.5153092039</v>
      </c>
      <c r="K268" s="168">
        <f t="shared" si="39"/>
        <v>7577.1293347193641</v>
      </c>
      <c r="L268" s="168">
        <f t="shared" si="39"/>
        <v>100167.66234671953</v>
      </c>
      <c r="M268" s="168">
        <f t="shared" si="39"/>
        <v>589.96666666666681</v>
      </c>
      <c r="N268" s="168">
        <f t="shared" si="39"/>
        <v>11131.390035518312</v>
      </c>
      <c r="O268" s="168">
        <f t="shared" si="39"/>
        <v>730.01608783922825</v>
      </c>
      <c r="P268" s="168">
        <f t="shared" si="39"/>
        <v>909.81476968127367</v>
      </c>
      <c r="Q268" s="168">
        <f t="shared" si="39"/>
        <v>915.3</v>
      </c>
      <c r="R268" s="168">
        <f t="shared" si="39"/>
        <v>24062.24357489097</v>
      </c>
      <c r="S268" s="168">
        <f t="shared" si="39"/>
        <v>0</v>
      </c>
      <c r="T268" s="168">
        <f t="shared" si="39"/>
        <v>372</v>
      </c>
      <c r="U268" s="168">
        <f t="shared" si="39"/>
        <v>0</v>
      </c>
      <c r="V268" s="168">
        <f t="shared" si="39"/>
        <v>36</v>
      </c>
      <c r="W268" s="168">
        <f t="shared" si="39"/>
        <v>0</v>
      </c>
      <c r="X268" s="168">
        <f t="shared" si="39"/>
        <v>176</v>
      </c>
      <c r="Y268" s="168">
        <f t="shared" si="39"/>
        <v>0</v>
      </c>
      <c r="AQ268" s="3"/>
    </row>
    <row r="269" spans="5:43" x14ac:dyDescent="0.25">
      <c r="F269" s="94" t="s">
        <v>403</v>
      </c>
      <c r="G269" s="94" t="s">
        <v>210</v>
      </c>
      <c r="J269" s="168">
        <f t="shared" ref="J269:Y269" si="40">J211</f>
        <v>40123.208470178259</v>
      </c>
      <c r="K269" s="168">
        <f t="shared" si="40"/>
        <v>0</v>
      </c>
      <c r="L269" s="168">
        <f t="shared" si="40"/>
        <v>547.56985088676629</v>
      </c>
      <c r="M269" s="168">
        <f t="shared" si="40"/>
        <v>0</v>
      </c>
      <c r="N269" s="168">
        <f t="shared" si="40"/>
        <v>172.25865279566597</v>
      </c>
      <c r="O269" s="168">
        <f t="shared" si="40"/>
        <v>0</v>
      </c>
      <c r="P269" s="168">
        <f t="shared" si="40"/>
        <v>0</v>
      </c>
      <c r="Q269" s="168">
        <f t="shared" si="40"/>
        <v>168.09041872801774</v>
      </c>
      <c r="R269" s="168">
        <f t="shared" si="40"/>
        <v>395.6</v>
      </c>
      <c r="S269" s="168">
        <f t="shared" si="40"/>
        <v>0</v>
      </c>
      <c r="T269" s="168">
        <f t="shared" si="40"/>
        <v>0</v>
      </c>
      <c r="U269" s="168">
        <f t="shared" si="40"/>
        <v>0</v>
      </c>
      <c r="V269" s="168">
        <f t="shared" si="40"/>
        <v>0</v>
      </c>
      <c r="W269" s="168">
        <f t="shared" si="40"/>
        <v>0</v>
      </c>
      <c r="X269" s="168">
        <f t="shared" si="40"/>
        <v>0</v>
      </c>
      <c r="Y269" s="168">
        <f t="shared" si="40"/>
        <v>0</v>
      </c>
      <c r="AQ269" s="3"/>
    </row>
    <row r="270" spans="5:43" x14ac:dyDescent="0.25">
      <c r="F270" s="94" t="s">
        <v>404</v>
      </c>
      <c r="G270" s="94" t="s">
        <v>210</v>
      </c>
      <c r="J270" s="168">
        <f t="shared" ref="J270:Y270" si="41">J220</f>
        <v>76462.255868941589</v>
      </c>
      <c r="K270" s="168">
        <f t="shared" si="41"/>
        <v>0</v>
      </c>
      <c r="L270" s="168">
        <f t="shared" si="41"/>
        <v>719.19050867207795</v>
      </c>
      <c r="M270" s="168">
        <f t="shared" si="41"/>
        <v>0</v>
      </c>
      <c r="N270" s="168">
        <f t="shared" si="41"/>
        <v>403.21284654392912</v>
      </c>
      <c r="O270" s="168">
        <f t="shared" si="41"/>
        <v>58.419550931888629</v>
      </c>
      <c r="P270" s="168">
        <f t="shared" si="41"/>
        <v>28.071780455590009</v>
      </c>
      <c r="Q270" s="168">
        <f t="shared" si="41"/>
        <v>290.92572472156917</v>
      </c>
      <c r="R270" s="168">
        <f t="shared" si="41"/>
        <v>673.7</v>
      </c>
      <c r="S270" s="168">
        <f t="shared" si="41"/>
        <v>0</v>
      </c>
      <c r="T270" s="168">
        <f t="shared" si="41"/>
        <v>11</v>
      </c>
      <c r="U270" s="168">
        <f t="shared" si="41"/>
        <v>0</v>
      </c>
      <c r="V270" s="168">
        <f t="shared" si="41"/>
        <v>1</v>
      </c>
      <c r="W270" s="168">
        <f t="shared" si="41"/>
        <v>0</v>
      </c>
      <c r="X270" s="168">
        <f t="shared" si="41"/>
        <v>0</v>
      </c>
      <c r="Y270" s="168">
        <f t="shared" si="41"/>
        <v>0</v>
      </c>
      <c r="AQ270" s="3"/>
    </row>
    <row r="271" spans="5:43" x14ac:dyDescent="0.25">
      <c r="F271" s="94" t="s">
        <v>405</v>
      </c>
      <c r="G271" s="94" t="s">
        <v>165</v>
      </c>
      <c r="J271" s="197">
        <f t="shared" ref="J271:Y271" si="42">IF(J$40, J$46, J$34)</f>
        <v>0.40999688257340583</v>
      </c>
      <c r="K271" s="197">
        <f t="shared" si="42"/>
        <v>0.40999688257340583</v>
      </c>
      <c r="L271" s="197">
        <f t="shared" si="42"/>
        <v>0.40999688257340583</v>
      </c>
      <c r="M271" s="197">
        <f t="shared" si="42"/>
        <v>0.40999688257340583</v>
      </c>
      <c r="N271" s="197">
        <f t="shared" si="42"/>
        <v>0.40999688257340583</v>
      </c>
      <c r="O271" s="197">
        <f t="shared" si="42"/>
        <v>0</v>
      </c>
      <c r="P271" s="197">
        <f t="shared" si="42"/>
        <v>0</v>
      </c>
      <c r="Q271" s="197">
        <f t="shared" si="42"/>
        <v>0.40999688257340583</v>
      </c>
      <c r="R271" s="197">
        <f t="shared" si="42"/>
        <v>1</v>
      </c>
      <c r="S271" s="197">
        <f t="shared" si="42"/>
        <v>1</v>
      </c>
      <c r="T271" s="197">
        <f t="shared" si="42"/>
        <v>1</v>
      </c>
      <c r="U271" s="197">
        <f t="shared" si="42"/>
        <v>1</v>
      </c>
      <c r="V271" s="197">
        <f t="shared" si="42"/>
        <v>1</v>
      </c>
      <c r="W271" s="197">
        <f t="shared" si="42"/>
        <v>1</v>
      </c>
      <c r="X271" s="197">
        <f t="shared" si="42"/>
        <v>1</v>
      </c>
      <c r="Y271" s="197">
        <f t="shared" si="42"/>
        <v>1</v>
      </c>
      <c r="AQ271" s="3"/>
    </row>
    <row r="272" spans="5:43" x14ac:dyDescent="0.25">
      <c r="F272" s="94" t="s">
        <v>406</v>
      </c>
      <c r="G272" s="94" t="s">
        <v>165</v>
      </c>
      <c r="J272" s="197">
        <f t="shared" ref="J272:Y272" si="43">IF(J$40, J$46, J$35)</f>
        <v>0.60376444392351947</v>
      </c>
      <c r="K272" s="197">
        <f t="shared" si="43"/>
        <v>0.60376444392351947</v>
      </c>
      <c r="L272" s="197">
        <f t="shared" si="43"/>
        <v>0.60376444392351947</v>
      </c>
      <c r="M272" s="197">
        <f t="shared" si="43"/>
        <v>0.60376444392351947</v>
      </c>
      <c r="N272" s="197">
        <f t="shared" si="43"/>
        <v>0.60376444392351947</v>
      </c>
      <c r="O272" s="197">
        <f t="shared" si="43"/>
        <v>0.32468019364035799</v>
      </c>
      <c r="P272" s="197">
        <f t="shared" si="43"/>
        <v>0.16961170739746073</v>
      </c>
      <c r="Q272" s="197">
        <f t="shared" si="43"/>
        <v>0.60376444392351947</v>
      </c>
      <c r="R272" s="197">
        <f t="shared" si="43"/>
        <v>1</v>
      </c>
      <c r="S272" s="197">
        <f t="shared" si="43"/>
        <v>1</v>
      </c>
      <c r="T272" s="197">
        <f t="shared" si="43"/>
        <v>1</v>
      </c>
      <c r="U272" s="197">
        <f t="shared" si="43"/>
        <v>1</v>
      </c>
      <c r="V272" s="197">
        <f t="shared" si="43"/>
        <v>1</v>
      </c>
      <c r="W272" s="197">
        <f t="shared" si="43"/>
        <v>1</v>
      </c>
      <c r="X272" s="197">
        <f t="shared" si="43"/>
        <v>1</v>
      </c>
      <c r="Y272" s="197">
        <f t="shared" si="43"/>
        <v>1</v>
      </c>
      <c r="AQ272" s="3"/>
    </row>
    <row r="273" spans="5:43" x14ac:dyDescent="0.25">
      <c r="F273" s="94" t="s">
        <v>407</v>
      </c>
      <c r="G273" s="94" t="s">
        <v>210</v>
      </c>
      <c r="J273" s="168">
        <f t="shared" ref="J273:Y273" si="44">J269 * (1 - J271)</f>
        <v>23672.818078562301</v>
      </c>
      <c r="K273" s="168">
        <f t="shared" si="44"/>
        <v>0</v>
      </c>
      <c r="L273" s="168">
        <f t="shared" si="44"/>
        <v>323.06791903200741</v>
      </c>
      <c r="M273" s="168">
        <f t="shared" si="44"/>
        <v>0</v>
      </c>
      <c r="N273" s="168">
        <f t="shared" si="44"/>
        <v>101.63314215314823</v>
      </c>
      <c r="O273" s="168">
        <f t="shared" si="44"/>
        <v>0</v>
      </c>
      <c r="P273" s="168">
        <f t="shared" si="44"/>
        <v>0</v>
      </c>
      <c r="Q273" s="168">
        <f t="shared" si="44"/>
        <v>99.173871059072027</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25">
      <c r="F274" s="101" t="s">
        <v>408</v>
      </c>
      <c r="G274" s="101" t="s">
        <v>210</v>
      </c>
      <c r="H274" s="96"/>
      <c r="I274" s="96"/>
      <c r="J274" s="172">
        <f t="shared" ref="J274:Y274" si="45">J270 * (1 - J272)</f>
        <v>30297.064473092207</v>
      </c>
      <c r="K274" s="172">
        <f t="shared" si="45"/>
        <v>0</v>
      </c>
      <c r="L274" s="172">
        <f t="shared" si="45"/>
        <v>284.9688511286077</v>
      </c>
      <c r="M274" s="172">
        <f t="shared" si="45"/>
        <v>0</v>
      </c>
      <c r="N274" s="172">
        <f t="shared" si="45"/>
        <v>159.76726646751436</v>
      </c>
      <c r="O274" s="172">
        <f t="shared" si="45"/>
        <v>39.451879822940271</v>
      </c>
      <c r="P274" s="172">
        <f t="shared" si="45"/>
        <v>23.310477842830718</v>
      </c>
      <c r="Q274" s="172">
        <f t="shared" si="45"/>
        <v>115.27511631200406</v>
      </c>
      <c r="R274" s="172">
        <f t="shared" si="45"/>
        <v>0</v>
      </c>
      <c r="S274" s="172">
        <f t="shared" si="45"/>
        <v>0</v>
      </c>
      <c r="T274" s="172">
        <f t="shared" si="45"/>
        <v>0</v>
      </c>
      <c r="U274" s="172">
        <f t="shared" si="45"/>
        <v>0</v>
      </c>
      <c r="V274" s="172">
        <f t="shared" si="45"/>
        <v>0</v>
      </c>
      <c r="W274" s="172">
        <f t="shared" si="45"/>
        <v>0</v>
      </c>
      <c r="X274" s="172">
        <f t="shared" si="45"/>
        <v>0</v>
      </c>
      <c r="Y274" s="172">
        <f t="shared" si="45"/>
        <v>0</v>
      </c>
      <c r="AQ274" s="3"/>
    </row>
    <row r="275" spans="5:43" x14ac:dyDescent="0.25">
      <c r="F275" s="94" t="s">
        <v>409</v>
      </c>
      <c r="G275" s="94" t="s">
        <v>210</v>
      </c>
      <c r="J275" s="151">
        <f t="shared" ref="J275:Y275" si="46">J268 + J273 + J274</f>
        <v>1547748.3978608586</v>
      </c>
      <c r="K275" s="151">
        <f t="shared" si="46"/>
        <v>7577.1293347193641</v>
      </c>
      <c r="L275" s="151">
        <f t="shared" si="46"/>
        <v>100775.69911688015</v>
      </c>
      <c r="M275" s="151">
        <f t="shared" si="46"/>
        <v>589.96666666666681</v>
      </c>
      <c r="N275" s="151">
        <f t="shared" si="46"/>
        <v>11392.790444138975</v>
      </c>
      <c r="O275" s="151">
        <f t="shared" si="46"/>
        <v>769.46796766216858</v>
      </c>
      <c r="P275" s="151">
        <f t="shared" si="46"/>
        <v>933.12524752410434</v>
      </c>
      <c r="Q275" s="151">
        <f t="shared" si="46"/>
        <v>1129.7489873710761</v>
      </c>
      <c r="R275" s="151">
        <f t="shared" si="46"/>
        <v>24062.24357489097</v>
      </c>
      <c r="S275" s="151">
        <f t="shared" si="46"/>
        <v>0</v>
      </c>
      <c r="T275" s="151">
        <f t="shared" si="46"/>
        <v>372</v>
      </c>
      <c r="U275" s="151">
        <f t="shared" si="46"/>
        <v>0</v>
      </c>
      <c r="V275" s="151">
        <f t="shared" si="46"/>
        <v>36</v>
      </c>
      <c r="W275" s="151">
        <f t="shared" si="46"/>
        <v>0</v>
      </c>
      <c r="X275" s="151">
        <f t="shared" si="46"/>
        <v>176</v>
      </c>
      <c r="Y275" s="151">
        <f t="shared" si="46"/>
        <v>0</v>
      </c>
      <c r="AQ275" s="3"/>
    </row>
    <row r="276" spans="5:43" x14ac:dyDescent="0.25">
      <c r="E276" s="75"/>
      <c r="J276" s="106"/>
      <c r="K276" s="106"/>
      <c r="L276" s="106"/>
      <c r="M276" s="106"/>
      <c r="N276" s="106"/>
      <c r="O276" s="106"/>
      <c r="P276" s="106"/>
      <c r="Q276" s="106"/>
      <c r="R276" s="106"/>
      <c r="S276" s="106"/>
      <c r="T276" s="106"/>
      <c r="U276" s="106"/>
      <c r="V276" s="106"/>
      <c r="W276" s="106"/>
      <c r="X276" s="106"/>
      <c r="Y276" s="106"/>
      <c r="AQ276" s="3"/>
    </row>
    <row r="277" spans="5:43" x14ac:dyDescent="0.25">
      <c r="E277" s="75" t="s">
        <v>248</v>
      </c>
      <c r="I277" t="s">
        <v>152</v>
      </c>
      <c r="J277" s="106"/>
      <c r="K277" s="106"/>
      <c r="L277" s="106"/>
      <c r="M277" s="106"/>
      <c r="N277" s="106"/>
      <c r="O277" s="106"/>
      <c r="P277" s="106"/>
      <c r="Q277" s="106"/>
      <c r="R277" s="106"/>
      <c r="S277" s="106"/>
      <c r="T277" s="106"/>
      <c r="U277" s="106"/>
      <c r="V277" s="106"/>
      <c r="W277" s="106"/>
      <c r="X277" s="106"/>
      <c r="Y277" s="106"/>
      <c r="AA277" t="s">
        <v>307</v>
      </c>
      <c r="AQ277" s="3"/>
    </row>
    <row r="278" spans="5:43" x14ac:dyDescent="0.25">
      <c r="E278" s="75"/>
      <c r="J278" s="106"/>
      <c r="K278" s="106"/>
      <c r="L278" s="106"/>
      <c r="M278" s="106"/>
      <c r="N278" s="106"/>
      <c r="O278" s="106"/>
      <c r="P278" s="106"/>
      <c r="Q278" s="106"/>
      <c r="R278" s="106"/>
      <c r="S278" s="106"/>
      <c r="T278" s="106"/>
      <c r="U278" s="106"/>
      <c r="V278" s="106"/>
      <c r="W278" s="106"/>
      <c r="X278" s="106"/>
      <c r="Y278" s="106"/>
      <c r="AQ278" s="3"/>
    </row>
    <row r="279" spans="5:43" x14ac:dyDescent="0.25">
      <c r="F279" s="94" t="s">
        <v>402</v>
      </c>
      <c r="G279" s="94" t="s">
        <v>249</v>
      </c>
      <c r="J279" s="168">
        <f t="shared" ref="J279:Y279" si="47">J203</f>
        <v>0</v>
      </c>
      <c r="K279" s="168">
        <f t="shared" si="47"/>
        <v>0</v>
      </c>
      <c r="L279" s="168">
        <f t="shared" si="47"/>
        <v>0</v>
      </c>
      <c r="M279" s="168">
        <f t="shared" si="47"/>
        <v>0</v>
      </c>
      <c r="N279" s="168">
        <f t="shared" si="47"/>
        <v>1220853</v>
      </c>
      <c r="O279" s="168">
        <f t="shared" si="47"/>
        <v>325307</v>
      </c>
      <c r="P279" s="168">
        <f t="shared" si="47"/>
        <v>1180263</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25">
      <c r="F280" s="94" t="s">
        <v>403</v>
      </c>
      <c r="G280" s="94" t="s">
        <v>249</v>
      </c>
      <c r="J280" s="168">
        <f t="shared" ref="J280:Y280" si="48">J212</f>
        <v>0</v>
      </c>
      <c r="K280" s="168">
        <f t="shared" si="48"/>
        <v>0</v>
      </c>
      <c r="L280" s="168">
        <f t="shared" si="48"/>
        <v>0</v>
      </c>
      <c r="M280" s="168">
        <f t="shared" si="48"/>
        <v>0</v>
      </c>
      <c r="N280" s="168">
        <f t="shared" si="48"/>
        <v>21813</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25">
      <c r="F281" s="94" t="s">
        <v>404</v>
      </c>
      <c r="G281" s="94" t="s">
        <v>249</v>
      </c>
      <c r="J281" s="168">
        <f t="shared" ref="J281:Y281" si="49">J221</f>
        <v>0</v>
      </c>
      <c r="K281" s="168">
        <f t="shared" si="49"/>
        <v>0</v>
      </c>
      <c r="L281" s="168">
        <f t="shared" si="49"/>
        <v>0</v>
      </c>
      <c r="M281" s="168">
        <f t="shared" si="49"/>
        <v>0</v>
      </c>
      <c r="N281" s="168">
        <f t="shared" si="49"/>
        <v>94028</v>
      </c>
      <c r="O281" s="168">
        <f t="shared" si="49"/>
        <v>26298</v>
      </c>
      <c r="P281" s="168">
        <f t="shared" si="49"/>
        <v>44991</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25">
      <c r="F282" s="94" t="s">
        <v>405</v>
      </c>
      <c r="G282" s="94" t="s">
        <v>165</v>
      </c>
      <c r="J282" s="197">
        <f t="shared" ref="J282:Y282" si="50">IF(J$41, J$47, J$34)</f>
        <v>0.40999688257340583</v>
      </c>
      <c r="K282" s="197">
        <f t="shared" si="50"/>
        <v>0.40999688257340583</v>
      </c>
      <c r="L282" s="197">
        <f t="shared" si="50"/>
        <v>0.40999688257340583</v>
      </c>
      <c r="M282" s="197">
        <f t="shared" si="50"/>
        <v>0.40999688257340583</v>
      </c>
      <c r="N282" s="197">
        <f t="shared" si="50"/>
        <v>0.40999688257340583</v>
      </c>
      <c r="O282" s="197">
        <f t="shared" si="50"/>
        <v>0</v>
      </c>
      <c r="P282" s="197">
        <f t="shared" si="50"/>
        <v>0</v>
      </c>
      <c r="Q282" s="197">
        <f t="shared" si="50"/>
        <v>0.40999688257340583</v>
      </c>
      <c r="R282" s="197">
        <f t="shared" si="50"/>
        <v>0</v>
      </c>
      <c r="S282" s="197">
        <f t="shared" si="50"/>
        <v>0</v>
      </c>
      <c r="T282" s="197">
        <f t="shared" si="50"/>
        <v>0</v>
      </c>
      <c r="U282" s="197">
        <f t="shared" si="50"/>
        <v>0</v>
      </c>
      <c r="V282" s="197">
        <f t="shared" si="50"/>
        <v>0</v>
      </c>
      <c r="W282" s="197">
        <f t="shared" si="50"/>
        <v>0</v>
      </c>
      <c r="X282" s="197">
        <f t="shared" si="50"/>
        <v>0</v>
      </c>
      <c r="Y282" s="197">
        <f t="shared" si="50"/>
        <v>0</v>
      </c>
      <c r="AQ282" s="3"/>
    </row>
    <row r="283" spans="5:43" x14ac:dyDescent="0.25">
      <c r="F283" s="94" t="s">
        <v>406</v>
      </c>
      <c r="G283" s="94" t="s">
        <v>165</v>
      </c>
      <c r="J283" s="197">
        <f t="shared" ref="J283:Y283" si="51">IF(J$41, J$47, J$35)</f>
        <v>0.60376444392351947</v>
      </c>
      <c r="K283" s="197">
        <f t="shared" si="51"/>
        <v>0.60376444392351947</v>
      </c>
      <c r="L283" s="197">
        <f t="shared" si="51"/>
        <v>0.60376444392351947</v>
      </c>
      <c r="M283" s="197">
        <f t="shared" si="51"/>
        <v>0.60376444392351947</v>
      </c>
      <c r="N283" s="197">
        <f t="shared" si="51"/>
        <v>0.60376444392351947</v>
      </c>
      <c r="O283" s="197">
        <f t="shared" si="51"/>
        <v>0.32468019364035799</v>
      </c>
      <c r="P283" s="197">
        <f t="shared" si="51"/>
        <v>0.16961170739746073</v>
      </c>
      <c r="Q283" s="197">
        <f t="shared" si="51"/>
        <v>0.60376444392351947</v>
      </c>
      <c r="R283" s="197">
        <f t="shared" si="51"/>
        <v>0</v>
      </c>
      <c r="S283" s="197">
        <f t="shared" si="51"/>
        <v>0</v>
      </c>
      <c r="T283" s="197">
        <f t="shared" si="51"/>
        <v>0</v>
      </c>
      <c r="U283" s="197">
        <f t="shared" si="51"/>
        <v>0</v>
      </c>
      <c r="V283" s="197">
        <f t="shared" si="51"/>
        <v>0</v>
      </c>
      <c r="W283" s="197">
        <f t="shared" si="51"/>
        <v>0</v>
      </c>
      <c r="X283" s="197">
        <f t="shared" si="51"/>
        <v>0</v>
      </c>
      <c r="Y283" s="197">
        <f t="shared" si="51"/>
        <v>0</v>
      </c>
      <c r="AQ283" s="3"/>
    </row>
    <row r="284" spans="5:43" x14ac:dyDescent="0.25">
      <c r="F284" s="94" t="s">
        <v>407</v>
      </c>
      <c r="G284" s="94" t="s">
        <v>249</v>
      </c>
      <c r="J284" s="168">
        <f t="shared" ref="J284:Y284" si="52">J280 * (1 - J282)</f>
        <v>0</v>
      </c>
      <c r="K284" s="168">
        <f t="shared" si="52"/>
        <v>0</v>
      </c>
      <c r="L284" s="168">
        <f t="shared" si="52"/>
        <v>0</v>
      </c>
      <c r="M284" s="168">
        <f t="shared" si="52"/>
        <v>0</v>
      </c>
      <c r="N284" s="168">
        <f t="shared" si="52"/>
        <v>12869.738000426298</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25">
      <c r="F285" s="101" t="s">
        <v>408</v>
      </c>
      <c r="G285" s="101" t="s">
        <v>249</v>
      </c>
      <c r="H285" s="96"/>
      <c r="I285" s="96"/>
      <c r="J285" s="172">
        <f t="shared" ref="J285:Y285" si="53">J281 * (1 - J283)</f>
        <v>0</v>
      </c>
      <c r="K285" s="172">
        <f t="shared" si="53"/>
        <v>0</v>
      </c>
      <c r="L285" s="172">
        <f t="shared" si="53"/>
        <v>0</v>
      </c>
      <c r="M285" s="172">
        <f t="shared" si="53"/>
        <v>0</v>
      </c>
      <c r="N285" s="172">
        <f t="shared" si="53"/>
        <v>37257.236866759311</v>
      </c>
      <c r="O285" s="172">
        <f t="shared" si="53"/>
        <v>17759.560267645866</v>
      </c>
      <c r="P285" s="172">
        <f t="shared" si="53"/>
        <v>37359.999672480844</v>
      </c>
      <c r="Q285" s="172">
        <f t="shared" si="53"/>
        <v>0</v>
      </c>
      <c r="R285" s="172">
        <f t="shared" si="53"/>
        <v>0</v>
      </c>
      <c r="S285" s="172">
        <f t="shared" si="53"/>
        <v>0</v>
      </c>
      <c r="T285" s="172">
        <f t="shared" si="53"/>
        <v>0</v>
      </c>
      <c r="U285" s="172">
        <f t="shared" si="53"/>
        <v>0</v>
      </c>
      <c r="V285" s="172">
        <f t="shared" si="53"/>
        <v>0</v>
      </c>
      <c r="W285" s="172">
        <f t="shared" si="53"/>
        <v>0</v>
      </c>
      <c r="X285" s="172">
        <f t="shared" si="53"/>
        <v>0</v>
      </c>
      <c r="Y285" s="172">
        <f t="shared" si="53"/>
        <v>0</v>
      </c>
      <c r="AQ285" s="3"/>
    </row>
    <row r="286" spans="5:43" x14ac:dyDescent="0.25">
      <c r="F286" s="94" t="s">
        <v>409</v>
      </c>
      <c r="G286" s="94" t="s">
        <v>249</v>
      </c>
      <c r="J286" s="151">
        <f t="shared" ref="J286:Y286" si="54">J279 + J284 + J285</f>
        <v>0</v>
      </c>
      <c r="K286" s="151">
        <f t="shared" si="54"/>
        <v>0</v>
      </c>
      <c r="L286" s="151">
        <f t="shared" si="54"/>
        <v>0</v>
      </c>
      <c r="M286" s="151">
        <f t="shared" si="54"/>
        <v>0</v>
      </c>
      <c r="N286" s="151">
        <f t="shared" si="54"/>
        <v>1270979.9748671856</v>
      </c>
      <c r="O286" s="151">
        <f t="shared" si="54"/>
        <v>343066.56026764587</v>
      </c>
      <c r="P286" s="151">
        <f t="shared" si="54"/>
        <v>1217622.9996724809</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25">
      <c r="E287" s="75"/>
      <c r="J287" s="106"/>
      <c r="K287" s="106"/>
      <c r="L287" s="106"/>
      <c r="M287" s="106"/>
      <c r="N287" s="106"/>
      <c r="O287" s="106"/>
      <c r="P287" s="106"/>
      <c r="Q287" s="106"/>
      <c r="R287" s="106"/>
      <c r="S287" s="106"/>
      <c r="T287" s="106"/>
      <c r="U287" s="106"/>
      <c r="V287" s="106"/>
      <c r="W287" s="106"/>
      <c r="X287" s="106"/>
      <c r="Y287" s="106"/>
      <c r="AQ287" s="3"/>
    </row>
    <row r="288" spans="5:43" x14ac:dyDescent="0.25">
      <c r="E288" s="75" t="s">
        <v>250</v>
      </c>
      <c r="I288" t="s">
        <v>152</v>
      </c>
      <c r="J288" s="106"/>
      <c r="K288" s="106"/>
      <c r="L288" s="106"/>
      <c r="M288" s="106"/>
      <c r="N288" s="106"/>
      <c r="O288" s="106"/>
      <c r="P288" s="106"/>
      <c r="Q288" s="106"/>
      <c r="R288" s="106"/>
      <c r="S288" s="106"/>
      <c r="T288" s="106"/>
      <c r="U288" s="106"/>
      <c r="V288" s="106"/>
      <c r="W288" s="106"/>
      <c r="X288" s="106"/>
      <c r="Y288" s="106"/>
      <c r="AA288" t="s">
        <v>307</v>
      </c>
      <c r="AQ288" s="3"/>
    </row>
    <row r="289" spans="5:43" x14ac:dyDescent="0.25">
      <c r="E289" s="75"/>
      <c r="J289" s="106"/>
      <c r="K289" s="106"/>
      <c r="L289" s="106"/>
      <c r="M289" s="106"/>
      <c r="N289" s="106"/>
      <c r="O289" s="106"/>
      <c r="P289" s="106"/>
      <c r="Q289" s="106"/>
      <c r="R289" s="106"/>
      <c r="S289" s="106"/>
      <c r="T289" s="106"/>
      <c r="U289" s="106"/>
      <c r="V289" s="106"/>
      <c r="W289" s="106"/>
      <c r="X289" s="106"/>
      <c r="Y289" s="106"/>
      <c r="AQ289" s="3"/>
    </row>
    <row r="290" spans="5:43" x14ac:dyDescent="0.25">
      <c r="F290" s="94" t="s">
        <v>402</v>
      </c>
      <c r="G290" s="94" t="s">
        <v>249</v>
      </c>
      <c r="J290" s="168">
        <f t="shared" ref="J290:Y290" si="55">J204</f>
        <v>0</v>
      </c>
      <c r="K290" s="168">
        <f t="shared" si="55"/>
        <v>0</v>
      </c>
      <c r="L290" s="168">
        <f t="shared" si="55"/>
        <v>0</v>
      </c>
      <c r="M290" s="168">
        <f t="shared" si="55"/>
        <v>0</v>
      </c>
      <c r="N290" s="168">
        <f t="shared" si="55"/>
        <v>22771.306849315068</v>
      </c>
      <c r="O290" s="168">
        <f t="shared" si="55"/>
        <v>1506.8520547945207</v>
      </c>
      <c r="P290" s="168">
        <f t="shared" si="55"/>
        <v>13235.649315068493</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25">
      <c r="F291" s="94" t="s">
        <v>403</v>
      </c>
      <c r="G291" s="94" t="s">
        <v>249</v>
      </c>
      <c r="J291" s="168">
        <f t="shared" ref="J291:Y291" si="56">J213</f>
        <v>0</v>
      </c>
      <c r="K291" s="168">
        <f t="shared" si="56"/>
        <v>0</v>
      </c>
      <c r="L291" s="168">
        <f t="shared" si="56"/>
        <v>0</v>
      </c>
      <c r="M291" s="168">
        <f t="shared" si="56"/>
        <v>0</v>
      </c>
      <c r="N291" s="168">
        <f t="shared" si="56"/>
        <v>19.832876712328769</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25">
      <c r="F292" s="94" t="s">
        <v>404</v>
      </c>
      <c r="G292" s="94" t="s">
        <v>249</v>
      </c>
      <c r="J292" s="168">
        <f t="shared" ref="J292:Y292" si="57">J222</f>
        <v>0</v>
      </c>
      <c r="K292" s="168">
        <f t="shared" si="57"/>
        <v>0</v>
      </c>
      <c r="L292" s="168">
        <f t="shared" si="57"/>
        <v>0</v>
      </c>
      <c r="M292" s="168">
        <f t="shared" si="57"/>
        <v>0</v>
      </c>
      <c r="N292" s="168">
        <f t="shared" si="57"/>
        <v>6.4575342465753423</v>
      </c>
      <c r="O292" s="168">
        <f t="shared" si="57"/>
        <v>64.717808219178082</v>
      </c>
      <c r="P292" s="168">
        <f t="shared" si="57"/>
        <v>147.01643835616437</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25">
      <c r="F293" s="94" t="s">
        <v>405</v>
      </c>
      <c r="G293" s="94" t="s">
        <v>165</v>
      </c>
      <c r="J293" s="197">
        <f t="shared" ref="J293:Y293" si="58">IF(J$42, J$48, J$34)</f>
        <v>0.40999688257340583</v>
      </c>
      <c r="K293" s="197">
        <f t="shared" si="58"/>
        <v>0.40999688257340583</v>
      </c>
      <c r="L293" s="197">
        <f t="shared" si="58"/>
        <v>0.40999688257340583</v>
      </c>
      <c r="M293" s="197">
        <f t="shared" si="58"/>
        <v>0.40999688257340583</v>
      </c>
      <c r="N293" s="197">
        <f t="shared" si="58"/>
        <v>0.40999688257340583</v>
      </c>
      <c r="O293" s="197">
        <f t="shared" si="58"/>
        <v>0</v>
      </c>
      <c r="P293" s="197">
        <f t="shared" si="58"/>
        <v>0</v>
      </c>
      <c r="Q293" s="197">
        <f t="shared" si="58"/>
        <v>0.40999688257340583</v>
      </c>
      <c r="R293" s="197">
        <f t="shared" si="58"/>
        <v>0</v>
      </c>
      <c r="S293" s="197">
        <f t="shared" si="58"/>
        <v>0</v>
      </c>
      <c r="T293" s="197">
        <f t="shared" si="58"/>
        <v>0</v>
      </c>
      <c r="U293" s="197">
        <f t="shared" si="58"/>
        <v>0</v>
      </c>
      <c r="V293" s="197">
        <f t="shared" si="58"/>
        <v>0</v>
      </c>
      <c r="W293" s="197">
        <f t="shared" si="58"/>
        <v>0</v>
      </c>
      <c r="X293" s="197">
        <f t="shared" si="58"/>
        <v>0</v>
      </c>
      <c r="Y293" s="197">
        <f t="shared" si="58"/>
        <v>0</v>
      </c>
      <c r="AQ293" s="3"/>
    </row>
    <row r="294" spans="5:43" x14ac:dyDescent="0.25">
      <c r="F294" s="94" t="s">
        <v>406</v>
      </c>
      <c r="G294" s="94" t="s">
        <v>165</v>
      </c>
      <c r="J294" s="197">
        <f t="shared" ref="J294:Y294" si="59">IF(J$42, J$48, J$35)</f>
        <v>0.60376444392351947</v>
      </c>
      <c r="K294" s="197">
        <f t="shared" si="59"/>
        <v>0.60376444392351947</v>
      </c>
      <c r="L294" s="197">
        <f t="shared" si="59"/>
        <v>0.60376444392351947</v>
      </c>
      <c r="M294" s="197">
        <f t="shared" si="59"/>
        <v>0.60376444392351947</v>
      </c>
      <c r="N294" s="197">
        <f t="shared" si="59"/>
        <v>0.60376444392351947</v>
      </c>
      <c r="O294" s="197">
        <f t="shared" si="59"/>
        <v>0.32468019364035799</v>
      </c>
      <c r="P294" s="197">
        <f t="shared" si="59"/>
        <v>0.16961170739746073</v>
      </c>
      <c r="Q294" s="197">
        <f t="shared" si="59"/>
        <v>0.60376444392351947</v>
      </c>
      <c r="R294" s="197">
        <f t="shared" si="59"/>
        <v>0</v>
      </c>
      <c r="S294" s="197">
        <f t="shared" si="59"/>
        <v>0</v>
      </c>
      <c r="T294" s="197">
        <f t="shared" si="59"/>
        <v>0</v>
      </c>
      <c r="U294" s="197">
        <f t="shared" si="59"/>
        <v>0</v>
      </c>
      <c r="V294" s="197">
        <f t="shared" si="59"/>
        <v>0</v>
      </c>
      <c r="W294" s="197">
        <f t="shared" si="59"/>
        <v>0</v>
      </c>
      <c r="X294" s="197">
        <f t="shared" si="59"/>
        <v>0</v>
      </c>
      <c r="Y294" s="197">
        <f t="shared" si="59"/>
        <v>0</v>
      </c>
      <c r="AQ294" s="3"/>
    </row>
    <row r="295" spans="5:43" x14ac:dyDescent="0.25">
      <c r="F295" s="94" t="s">
        <v>407</v>
      </c>
      <c r="G295" s="94" t="s">
        <v>249</v>
      </c>
      <c r="J295" s="168">
        <f t="shared" ref="J295:Y295" si="60">J291 * (1 - J293)</f>
        <v>0</v>
      </c>
      <c r="K295" s="168">
        <f t="shared" si="60"/>
        <v>0</v>
      </c>
      <c r="L295" s="168">
        <f t="shared" si="60"/>
        <v>0</v>
      </c>
      <c r="M295" s="168">
        <f t="shared" si="60"/>
        <v>0</v>
      </c>
      <c r="N295" s="168">
        <f t="shared" si="60"/>
        <v>11.701459087811276</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25">
      <c r="F296" s="101" t="s">
        <v>408</v>
      </c>
      <c r="G296" s="101" t="s">
        <v>249</v>
      </c>
      <c r="H296" s="96"/>
      <c r="I296" s="96"/>
      <c r="J296" s="172">
        <f t="shared" ref="J296:Y296" si="61">J292 * (1 - J294)</f>
        <v>0</v>
      </c>
      <c r="K296" s="172">
        <f t="shared" si="61"/>
        <v>0</v>
      </c>
      <c r="L296" s="172">
        <f t="shared" si="61"/>
        <v>0</v>
      </c>
      <c r="M296" s="172">
        <f t="shared" si="61"/>
        <v>0</v>
      </c>
      <c r="N296" s="172">
        <f t="shared" si="61"/>
        <v>2.5587046730746974</v>
      </c>
      <c r="O296" s="172">
        <f t="shared" si="61"/>
        <v>43.70521771459579</v>
      </c>
      <c r="P296" s="172">
        <f t="shared" si="61"/>
        <v>122.08072923108179</v>
      </c>
      <c r="Q296" s="172">
        <f t="shared" si="61"/>
        <v>0</v>
      </c>
      <c r="R296" s="172">
        <f t="shared" si="61"/>
        <v>0</v>
      </c>
      <c r="S296" s="172">
        <f t="shared" si="61"/>
        <v>0</v>
      </c>
      <c r="T296" s="172">
        <f t="shared" si="61"/>
        <v>0</v>
      </c>
      <c r="U296" s="172">
        <f t="shared" si="61"/>
        <v>0</v>
      </c>
      <c r="V296" s="172">
        <f t="shared" si="61"/>
        <v>0</v>
      </c>
      <c r="W296" s="172">
        <f t="shared" si="61"/>
        <v>0</v>
      </c>
      <c r="X296" s="172">
        <f t="shared" si="61"/>
        <v>0</v>
      </c>
      <c r="Y296" s="172">
        <f t="shared" si="61"/>
        <v>0</v>
      </c>
      <c r="AQ296" s="3"/>
    </row>
    <row r="297" spans="5:43" x14ac:dyDescent="0.25">
      <c r="F297" s="94" t="s">
        <v>409</v>
      </c>
      <c r="G297" s="94" t="s">
        <v>249</v>
      </c>
      <c r="J297" s="151">
        <f t="shared" ref="J297:Y297" si="62">J290 + J295 + J296</f>
        <v>0</v>
      </c>
      <c r="K297" s="151">
        <f t="shared" si="62"/>
        <v>0</v>
      </c>
      <c r="L297" s="151">
        <f t="shared" si="62"/>
        <v>0</v>
      </c>
      <c r="M297" s="151">
        <f t="shared" si="62"/>
        <v>0</v>
      </c>
      <c r="N297" s="151">
        <f t="shared" si="62"/>
        <v>22785.567013075954</v>
      </c>
      <c r="O297" s="151">
        <f t="shared" si="62"/>
        <v>1550.5572725091165</v>
      </c>
      <c r="P297" s="151">
        <f t="shared" si="62"/>
        <v>13357.730044299575</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25">
      <c r="E298" s="75"/>
      <c r="J298" s="106"/>
      <c r="K298" s="106"/>
      <c r="L298" s="106"/>
      <c r="M298" s="106"/>
      <c r="N298" s="106"/>
      <c r="O298" s="106"/>
      <c r="P298" s="106"/>
      <c r="Q298" s="106"/>
      <c r="R298" s="106"/>
      <c r="S298" s="106"/>
      <c r="T298" s="106"/>
      <c r="U298" s="106"/>
      <c r="V298" s="106"/>
      <c r="W298" s="106"/>
      <c r="X298" s="106"/>
      <c r="Y298" s="106"/>
      <c r="AQ298" s="3"/>
    </row>
    <row r="299" spans="5:43" x14ac:dyDescent="0.25">
      <c r="E299" s="75" t="s">
        <v>251</v>
      </c>
      <c r="I299" t="s">
        <v>152</v>
      </c>
      <c r="J299" s="106"/>
      <c r="K299" s="106"/>
      <c r="L299" s="106"/>
      <c r="M299" s="106"/>
      <c r="N299" s="106"/>
      <c r="O299" s="106"/>
      <c r="P299" s="106"/>
      <c r="Q299" s="106"/>
      <c r="R299" s="106"/>
      <c r="S299" s="106"/>
      <c r="T299" s="106"/>
      <c r="U299" s="106"/>
      <c r="V299" s="106"/>
      <c r="W299" s="106"/>
      <c r="X299" s="106"/>
      <c r="Y299" s="106"/>
      <c r="AA299" t="s">
        <v>307</v>
      </c>
      <c r="AQ299" s="3"/>
    </row>
    <row r="300" spans="5:43" x14ac:dyDescent="0.25">
      <c r="E300" s="75"/>
      <c r="J300" s="106"/>
      <c r="K300" s="106"/>
      <c r="L300" s="106"/>
      <c r="M300" s="106"/>
      <c r="N300" s="106"/>
      <c r="O300" s="106"/>
      <c r="P300" s="106"/>
      <c r="Q300" s="106"/>
      <c r="R300" s="106"/>
      <c r="S300" s="106"/>
      <c r="T300" s="106"/>
      <c r="U300" s="106"/>
      <c r="V300" s="106"/>
      <c r="W300" s="106"/>
      <c r="X300" s="106"/>
      <c r="Y300" s="106"/>
      <c r="AQ300" s="3"/>
    </row>
    <row r="301" spans="5:43" x14ac:dyDescent="0.25">
      <c r="F301" s="94" t="s">
        <v>402</v>
      </c>
      <c r="G301" s="94" t="s">
        <v>252</v>
      </c>
      <c r="J301" s="168">
        <f t="shared" ref="J301:Y301" si="63">J205</f>
        <v>0</v>
      </c>
      <c r="K301" s="168">
        <f t="shared" si="63"/>
        <v>0</v>
      </c>
      <c r="L301" s="168">
        <f t="shared" si="63"/>
        <v>0</v>
      </c>
      <c r="M301" s="168">
        <f t="shared" si="63"/>
        <v>0</v>
      </c>
      <c r="N301" s="168">
        <f t="shared" si="63"/>
        <v>138557.19500000001</v>
      </c>
      <c r="O301" s="168">
        <f t="shared" si="63"/>
        <v>44316.092999999993</v>
      </c>
      <c r="P301" s="168">
        <f t="shared" si="63"/>
        <v>234220.00700000001</v>
      </c>
      <c r="Q301" s="168">
        <f t="shared" si="63"/>
        <v>0</v>
      </c>
      <c r="R301" s="168">
        <f t="shared" si="63"/>
        <v>0</v>
      </c>
      <c r="S301" s="168">
        <f t="shared" si="63"/>
        <v>0</v>
      </c>
      <c r="T301" s="168">
        <f t="shared" si="63"/>
        <v>2476.223</v>
      </c>
      <c r="U301" s="168">
        <f t="shared" si="63"/>
        <v>0</v>
      </c>
      <c r="V301" s="168">
        <f t="shared" si="63"/>
        <v>449.26600000000002</v>
      </c>
      <c r="W301" s="168">
        <f t="shared" si="63"/>
        <v>0</v>
      </c>
      <c r="X301" s="168">
        <f t="shared" si="63"/>
        <v>19742.777000000002</v>
      </c>
      <c r="Y301" s="168">
        <f t="shared" si="63"/>
        <v>0</v>
      </c>
      <c r="AQ301" s="3"/>
    </row>
    <row r="302" spans="5:43" x14ac:dyDescent="0.25">
      <c r="F302" s="94" t="s">
        <v>403</v>
      </c>
      <c r="G302" s="94" t="s">
        <v>252</v>
      </c>
      <c r="J302" s="168">
        <f t="shared" ref="J302:Y302" si="64">J214</f>
        <v>0</v>
      </c>
      <c r="K302" s="168">
        <f t="shared" si="64"/>
        <v>0</v>
      </c>
      <c r="L302" s="168">
        <f t="shared" si="64"/>
        <v>0</v>
      </c>
      <c r="M302" s="168">
        <f t="shared" si="64"/>
        <v>0</v>
      </c>
      <c r="N302" s="168">
        <f t="shared" si="64"/>
        <v>1267.5196000000001</v>
      </c>
      <c r="O302" s="168">
        <f t="shared" si="64"/>
        <v>0</v>
      </c>
      <c r="P302" s="168">
        <f t="shared" si="64"/>
        <v>0</v>
      </c>
      <c r="Q302" s="168">
        <f t="shared" si="64"/>
        <v>0</v>
      </c>
      <c r="R302" s="168">
        <f t="shared" si="64"/>
        <v>0</v>
      </c>
      <c r="S302" s="168">
        <f t="shared" si="64"/>
        <v>0</v>
      </c>
      <c r="T302" s="168">
        <f t="shared" si="64"/>
        <v>0</v>
      </c>
      <c r="U302" s="168">
        <f t="shared" si="64"/>
        <v>0</v>
      </c>
      <c r="V302" s="168">
        <f t="shared" si="64"/>
        <v>0</v>
      </c>
      <c r="W302" s="168">
        <f t="shared" si="64"/>
        <v>0</v>
      </c>
      <c r="X302" s="168">
        <f t="shared" si="64"/>
        <v>0</v>
      </c>
      <c r="Y302" s="168">
        <f t="shared" si="64"/>
        <v>0</v>
      </c>
      <c r="AQ302" s="3"/>
    </row>
    <row r="303" spans="5:43" x14ac:dyDescent="0.25">
      <c r="F303" s="94" t="s">
        <v>404</v>
      </c>
      <c r="G303" s="94" t="s">
        <v>252</v>
      </c>
      <c r="J303" s="168">
        <f t="shared" ref="J303:Y303" si="65">J223</f>
        <v>0</v>
      </c>
      <c r="K303" s="168">
        <f t="shared" si="65"/>
        <v>0</v>
      </c>
      <c r="L303" s="168">
        <f t="shared" si="65"/>
        <v>0</v>
      </c>
      <c r="M303" s="168">
        <f t="shared" si="65"/>
        <v>0</v>
      </c>
      <c r="N303" s="168">
        <f t="shared" si="65"/>
        <v>7614.3940000000002</v>
      </c>
      <c r="O303" s="168">
        <f t="shared" si="65"/>
        <v>809.66200000000003</v>
      </c>
      <c r="P303" s="168">
        <f t="shared" si="65"/>
        <v>1477.1689999999999</v>
      </c>
      <c r="Q303" s="168">
        <f t="shared" si="65"/>
        <v>0</v>
      </c>
      <c r="R303" s="168">
        <f t="shared" si="65"/>
        <v>0</v>
      </c>
      <c r="S303" s="168">
        <f t="shared" si="65"/>
        <v>0</v>
      </c>
      <c r="T303" s="168">
        <f t="shared" si="65"/>
        <v>646.82399999999996</v>
      </c>
      <c r="U303" s="168">
        <f t="shared" si="65"/>
        <v>0</v>
      </c>
      <c r="V303" s="168">
        <f t="shared" si="65"/>
        <v>1.1100000000000001</v>
      </c>
      <c r="W303" s="168">
        <f t="shared" si="65"/>
        <v>0</v>
      </c>
      <c r="X303" s="168">
        <f t="shared" si="65"/>
        <v>0</v>
      </c>
      <c r="Y303" s="168">
        <f t="shared" si="65"/>
        <v>0</v>
      </c>
      <c r="AQ303" s="3"/>
    </row>
    <row r="304" spans="5:43" x14ac:dyDescent="0.25">
      <c r="F304" s="94" t="s">
        <v>405</v>
      </c>
      <c r="G304" s="94" t="s">
        <v>165</v>
      </c>
      <c r="J304" s="197">
        <f t="shared" ref="J304:Y304" si="66">IF(J$43, J$49, J$34)</f>
        <v>0.40999688257340583</v>
      </c>
      <c r="K304" s="197">
        <f t="shared" si="66"/>
        <v>0.40999688257340583</v>
      </c>
      <c r="L304" s="197">
        <f t="shared" si="66"/>
        <v>0.40999688257340583</v>
      </c>
      <c r="M304" s="197">
        <f t="shared" si="66"/>
        <v>0.40999688257340583</v>
      </c>
      <c r="N304" s="197">
        <f t="shared" si="66"/>
        <v>0.40999688257340583</v>
      </c>
      <c r="O304" s="197">
        <f t="shared" si="66"/>
        <v>0</v>
      </c>
      <c r="P304" s="197">
        <f t="shared" si="66"/>
        <v>0</v>
      </c>
      <c r="Q304" s="197">
        <f t="shared" si="66"/>
        <v>0.40999688257340583</v>
      </c>
      <c r="R304" s="197">
        <f t="shared" si="66"/>
        <v>0</v>
      </c>
      <c r="S304" s="197">
        <f t="shared" si="66"/>
        <v>0</v>
      </c>
      <c r="T304" s="197">
        <f t="shared" si="66"/>
        <v>0</v>
      </c>
      <c r="U304" s="197">
        <f t="shared" si="66"/>
        <v>0</v>
      </c>
      <c r="V304" s="197">
        <f t="shared" si="66"/>
        <v>0</v>
      </c>
      <c r="W304" s="197">
        <f t="shared" si="66"/>
        <v>0</v>
      </c>
      <c r="X304" s="197">
        <f t="shared" si="66"/>
        <v>0</v>
      </c>
      <c r="Y304" s="197">
        <f t="shared" si="66"/>
        <v>0</v>
      </c>
      <c r="AQ304" s="3"/>
    </row>
    <row r="305" spans="2:43" x14ac:dyDescent="0.25">
      <c r="F305" s="94" t="s">
        <v>406</v>
      </c>
      <c r="G305" s="94" t="s">
        <v>165</v>
      </c>
      <c r="J305" s="197">
        <f t="shared" ref="J305:Y305" si="67">IF(J$43, J$49, J$35)</f>
        <v>0.60376444392351947</v>
      </c>
      <c r="K305" s="197">
        <f t="shared" si="67"/>
        <v>0.60376444392351947</v>
      </c>
      <c r="L305" s="197">
        <f t="shared" si="67"/>
        <v>0.60376444392351947</v>
      </c>
      <c r="M305" s="197">
        <f t="shared" si="67"/>
        <v>0.60376444392351947</v>
      </c>
      <c r="N305" s="197">
        <f t="shared" si="67"/>
        <v>0.60376444392351947</v>
      </c>
      <c r="O305" s="197">
        <f t="shared" si="67"/>
        <v>0.32468019364035799</v>
      </c>
      <c r="P305" s="197">
        <f t="shared" si="67"/>
        <v>0.16961170739746073</v>
      </c>
      <c r="Q305" s="197">
        <f t="shared" si="67"/>
        <v>0.60376444392351947</v>
      </c>
      <c r="R305" s="197">
        <f t="shared" si="67"/>
        <v>0</v>
      </c>
      <c r="S305" s="197">
        <f t="shared" si="67"/>
        <v>0</v>
      </c>
      <c r="T305" s="197">
        <f t="shared" si="67"/>
        <v>0</v>
      </c>
      <c r="U305" s="197">
        <f t="shared" si="67"/>
        <v>0</v>
      </c>
      <c r="V305" s="197">
        <f t="shared" si="67"/>
        <v>0</v>
      </c>
      <c r="W305" s="197">
        <f t="shared" si="67"/>
        <v>0</v>
      </c>
      <c r="X305" s="197">
        <f t="shared" si="67"/>
        <v>0</v>
      </c>
      <c r="Y305" s="197">
        <f t="shared" si="67"/>
        <v>0</v>
      </c>
      <c r="AQ305" s="3"/>
    </row>
    <row r="306" spans="2:43" x14ac:dyDescent="0.25">
      <c r="F306" s="94" t="s">
        <v>407</v>
      </c>
      <c r="G306" s="94" t="s">
        <v>252</v>
      </c>
      <c r="J306" s="168">
        <f t="shared" ref="J306:Y306" si="68">J302 * (1 - J304)</f>
        <v>0</v>
      </c>
      <c r="K306" s="168">
        <f t="shared" si="68"/>
        <v>0</v>
      </c>
      <c r="L306" s="168">
        <f t="shared" si="68"/>
        <v>0</v>
      </c>
      <c r="M306" s="168">
        <f t="shared" si="68"/>
        <v>0</v>
      </c>
      <c r="N306" s="168">
        <f t="shared" si="68"/>
        <v>747.84051539930977</v>
      </c>
      <c r="O306" s="168">
        <f t="shared" si="68"/>
        <v>0</v>
      </c>
      <c r="P306" s="168">
        <f t="shared" si="68"/>
        <v>0</v>
      </c>
      <c r="Q306" s="168">
        <f t="shared" si="68"/>
        <v>0</v>
      </c>
      <c r="R306" s="168">
        <f t="shared" si="68"/>
        <v>0</v>
      </c>
      <c r="S306" s="168">
        <f t="shared" si="68"/>
        <v>0</v>
      </c>
      <c r="T306" s="168">
        <f t="shared" si="68"/>
        <v>0</v>
      </c>
      <c r="U306" s="168">
        <f t="shared" si="68"/>
        <v>0</v>
      </c>
      <c r="V306" s="168">
        <f t="shared" si="68"/>
        <v>0</v>
      </c>
      <c r="W306" s="168">
        <f t="shared" si="68"/>
        <v>0</v>
      </c>
      <c r="X306" s="168">
        <f t="shared" si="68"/>
        <v>0</v>
      </c>
      <c r="Y306" s="168">
        <f t="shared" si="68"/>
        <v>0</v>
      </c>
      <c r="AQ306" s="3"/>
    </row>
    <row r="307" spans="2:43" x14ac:dyDescent="0.25">
      <c r="F307" s="101" t="s">
        <v>408</v>
      </c>
      <c r="G307" s="101" t="s">
        <v>252</v>
      </c>
      <c r="H307" s="96"/>
      <c r="I307" s="96"/>
      <c r="J307" s="172">
        <f t="shared" ref="J307:Y307" si="69">J303 * (1 - J305)</f>
        <v>0</v>
      </c>
      <c r="K307" s="172">
        <f t="shared" si="69"/>
        <v>0</v>
      </c>
      <c r="L307" s="172">
        <f t="shared" si="69"/>
        <v>0</v>
      </c>
      <c r="M307" s="172">
        <f t="shared" si="69"/>
        <v>0</v>
      </c>
      <c r="N307" s="172">
        <f t="shared" si="69"/>
        <v>3017.093640775417</v>
      </c>
      <c r="O307" s="172">
        <f t="shared" si="69"/>
        <v>546.78078505676046</v>
      </c>
      <c r="P307" s="172">
        <f t="shared" si="69"/>
        <v>1226.6238437954</v>
      </c>
      <c r="Q307" s="172">
        <f t="shared" si="69"/>
        <v>0</v>
      </c>
      <c r="R307" s="172">
        <f t="shared" si="69"/>
        <v>0</v>
      </c>
      <c r="S307" s="172">
        <f t="shared" si="69"/>
        <v>0</v>
      </c>
      <c r="T307" s="172">
        <f t="shared" si="69"/>
        <v>646.82399999999996</v>
      </c>
      <c r="U307" s="172">
        <f t="shared" si="69"/>
        <v>0</v>
      </c>
      <c r="V307" s="172">
        <f t="shared" si="69"/>
        <v>1.1100000000000001</v>
      </c>
      <c r="W307" s="172">
        <f t="shared" si="69"/>
        <v>0</v>
      </c>
      <c r="X307" s="172">
        <f t="shared" si="69"/>
        <v>0</v>
      </c>
      <c r="Y307" s="172">
        <f t="shared" si="69"/>
        <v>0</v>
      </c>
      <c r="AQ307" s="3"/>
    </row>
    <row r="308" spans="2:43" x14ac:dyDescent="0.25">
      <c r="F308" s="94" t="s">
        <v>409</v>
      </c>
      <c r="G308" s="94" t="s">
        <v>252</v>
      </c>
      <c r="J308" s="151">
        <f t="shared" ref="J308:Y308" si="70">J301 + J306 + J307</f>
        <v>0</v>
      </c>
      <c r="K308" s="151">
        <f t="shared" si="70"/>
        <v>0</v>
      </c>
      <c r="L308" s="151">
        <f t="shared" si="70"/>
        <v>0</v>
      </c>
      <c r="M308" s="151">
        <f t="shared" si="70"/>
        <v>0</v>
      </c>
      <c r="N308" s="151">
        <f t="shared" si="70"/>
        <v>142322.12915617475</v>
      </c>
      <c r="O308" s="151">
        <f t="shared" si="70"/>
        <v>44862.873785056756</v>
      </c>
      <c r="P308" s="151">
        <f t="shared" si="70"/>
        <v>235446.6308437954</v>
      </c>
      <c r="Q308" s="151">
        <f t="shared" si="70"/>
        <v>0</v>
      </c>
      <c r="R308" s="151">
        <f t="shared" si="70"/>
        <v>0</v>
      </c>
      <c r="S308" s="151">
        <f t="shared" si="70"/>
        <v>0</v>
      </c>
      <c r="T308" s="151">
        <f t="shared" si="70"/>
        <v>3123.047</v>
      </c>
      <c r="U308" s="151">
        <f t="shared" si="70"/>
        <v>0</v>
      </c>
      <c r="V308" s="151">
        <f t="shared" si="70"/>
        <v>450.37600000000003</v>
      </c>
      <c r="W308" s="151">
        <f t="shared" si="70"/>
        <v>0</v>
      </c>
      <c r="X308" s="151">
        <f t="shared" si="70"/>
        <v>19742.777000000002</v>
      </c>
      <c r="Y308" s="151">
        <f t="shared" si="70"/>
        <v>0</v>
      </c>
      <c r="AQ308" s="3"/>
    </row>
    <row r="309" spans="2:43" x14ac:dyDescent="0.25">
      <c r="D309" s="75"/>
      <c r="AQ309" s="3"/>
    </row>
    <row r="310" spans="2:43" x14ac:dyDescent="0.25">
      <c r="B310" s="85" t="s">
        <v>875</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25">
      <c r="C311" s="75"/>
      <c r="AQ311" s="3"/>
    </row>
    <row r="312" spans="2:43" x14ac:dyDescent="0.25">
      <c r="C312" s="86" t="s">
        <v>979</v>
      </c>
      <c r="AQ312" s="3"/>
    </row>
    <row r="313" spans="2:43" x14ac:dyDescent="0.25">
      <c r="C313" s="75"/>
      <c r="AQ313" s="3"/>
    </row>
    <row r="314" spans="2:43" x14ac:dyDescent="0.25">
      <c r="C314" s="75"/>
      <c r="E314" s="75" t="s">
        <v>405</v>
      </c>
      <c r="AQ314" s="3"/>
    </row>
    <row r="315" spans="2:43" x14ac:dyDescent="0.25">
      <c r="C315" s="75"/>
      <c r="F315" s="116" t="s">
        <v>245</v>
      </c>
      <c r="G315" s="95" t="s">
        <v>165</v>
      </c>
      <c r="H315" s="95"/>
      <c r="I315" s="95"/>
      <c r="J315" s="198">
        <f>IF(J$39, J$45, J$34)</f>
        <v>0.40999688257340583</v>
      </c>
      <c r="K315" s="198">
        <f t="shared" ref="K315:Y315" si="71">IF(K$39, K$45, K$34)</f>
        <v>0.40999688257340583</v>
      </c>
      <c r="L315" s="198">
        <f t="shared" si="71"/>
        <v>0.40999688257340583</v>
      </c>
      <c r="M315" s="198">
        <f t="shared" si="71"/>
        <v>0.40999688257340583</v>
      </c>
      <c r="N315" s="198">
        <f t="shared" si="71"/>
        <v>0.40999688257340583</v>
      </c>
      <c r="O315" s="198">
        <f t="shared" si="71"/>
        <v>0</v>
      </c>
      <c r="P315" s="198">
        <f t="shared" si="71"/>
        <v>0</v>
      </c>
      <c r="Q315" s="198">
        <f t="shared" si="71"/>
        <v>0.40999688257340583</v>
      </c>
      <c r="R315" s="198">
        <f t="shared" si="71"/>
        <v>0</v>
      </c>
      <c r="S315" s="198">
        <f t="shared" si="71"/>
        <v>0</v>
      </c>
      <c r="T315" s="198">
        <f t="shared" si="71"/>
        <v>0</v>
      </c>
      <c r="U315" s="198">
        <f t="shared" si="71"/>
        <v>0</v>
      </c>
      <c r="V315" s="198">
        <f t="shared" si="71"/>
        <v>0</v>
      </c>
      <c r="W315" s="198">
        <f t="shared" si="71"/>
        <v>0</v>
      </c>
      <c r="X315" s="198">
        <f t="shared" si="71"/>
        <v>0</v>
      </c>
      <c r="Y315" s="198">
        <f t="shared" si="71"/>
        <v>0</v>
      </c>
      <c r="AQ315" s="3"/>
    </row>
    <row r="316" spans="2:43" x14ac:dyDescent="0.25">
      <c r="C316" s="75"/>
      <c r="F316" s="118" t="s">
        <v>246</v>
      </c>
      <c r="G316" t="s">
        <v>165</v>
      </c>
      <c r="J316" s="196">
        <f t="shared" ref="J316:Y317" si="72">IF(J$39, J$45, J$34)</f>
        <v>0.40999688257340583</v>
      </c>
      <c r="K316" s="196">
        <f t="shared" si="72"/>
        <v>0.40999688257340583</v>
      </c>
      <c r="L316" s="196">
        <f t="shared" si="72"/>
        <v>0.40999688257340583</v>
      </c>
      <c r="M316" s="196">
        <f t="shared" si="72"/>
        <v>0.40999688257340583</v>
      </c>
      <c r="N316" s="196">
        <f t="shared" si="72"/>
        <v>0.40999688257340583</v>
      </c>
      <c r="O316" s="196">
        <f t="shared" si="72"/>
        <v>0</v>
      </c>
      <c r="P316" s="196">
        <f t="shared" si="72"/>
        <v>0</v>
      </c>
      <c r="Q316" s="196">
        <f t="shared" si="72"/>
        <v>0.40999688257340583</v>
      </c>
      <c r="R316" s="196">
        <f t="shared" si="72"/>
        <v>0</v>
      </c>
      <c r="S316" s="196">
        <f t="shared" si="72"/>
        <v>0</v>
      </c>
      <c r="T316" s="196">
        <f t="shared" si="72"/>
        <v>0</v>
      </c>
      <c r="U316" s="196">
        <f t="shared" si="72"/>
        <v>0</v>
      </c>
      <c r="V316" s="196">
        <f t="shared" si="72"/>
        <v>0</v>
      </c>
      <c r="W316" s="196">
        <f t="shared" si="72"/>
        <v>0</v>
      </c>
      <c r="X316" s="196">
        <f t="shared" si="72"/>
        <v>0</v>
      </c>
      <c r="Y316" s="196">
        <f t="shared" si="72"/>
        <v>0</v>
      </c>
      <c r="AQ316" s="3"/>
    </row>
    <row r="317" spans="2:43" x14ac:dyDescent="0.25">
      <c r="C317" s="75"/>
      <c r="F317" s="120" t="s">
        <v>247</v>
      </c>
      <c r="G317" s="96" t="s">
        <v>165</v>
      </c>
      <c r="H317" s="96"/>
      <c r="I317" s="96"/>
      <c r="J317" s="199">
        <f t="shared" si="72"/>
        <v>0.40999688257340583</v>
      </c>
      <c r="K317" s="199">
        <f t="shared" si="72"/>
        <v>0.40999688257340583</v>
      </c>
      <c r="L317" s="199">
        <f t="shared" si="72"/>
        <v>0.40999688257340583</v>
      </c>
      <c r="M317" s="199">
        <f t="shared" si="72"/>
        <v>0.40999688257340583</v>
      </c>
      <c r="N317" s="199">
        <f t="shared" si="72"/>
        <v>0.40999688257340583</v>
      </c>
      <c r="O317" s="199">
        <f t="shared" si="72"/>
        <v>0</v>
      </c>
      <c r="P317" s="199">
        <f t="shared" si="72"/>
        <v>0</v>
      </c>
      <c r="Q317" s="199">
        <f t="shared" si="72"/>
        <v>0.40999688257340583</v>
      </c>
      <c r="R317" s="199">
        <f t="shared" si="72"/>
        <v>0</v>
      </c>
      <c r="S317" s="199">
        <f t="shared" si="72"/>
        <v>0</v>
      </c>
      <c r="T317" s="199">
        <f t="shared" si="72"/>
        <v>0</v>
      </c>
      <c r="U317" s="199">
        <f t="shared" si="72"/>
        <v>0</v>
      </c>
      <c r="V317" s="199">
        <f t="shared" si="72"/>
        <v>0</v>
      </c>
      <c r="W317" s="199">
        <f t="shared" si="72"/>
        <v>0</v>
      </c>
      <c r="X317" s="199">
        <f t="shared" si="72"/>
        <v>0</v>
      </c>
      <c r="Y317" s="199">
        <f t="shared" si="72"/>
        <v>0</v>
      </c>
      <c r="AQ317" s="3"/>
    </row>
    <row r="318" spans="2:43" x14ac:dyDescent="0.25">
      <c r="C318" s="75"/>
      <c r="F318" s="118" t="s">
        <v>210</v>
      </c>
      <c r="G318" t="s">
        <v>165</v>
      </c>
      <c r="J318" s="196">
        <f t="shared" ref="J318:Y318" si="73">IF(J$39, J46, J$34)</f>
        <v>0.40999688257340583</v>
      </c>
      <c r="K318" s="196">
        <f t="shared" si="73"/>
        <v>0.40999688257340583</v>
      </c>
      <c r="L318" s="196">
        <f t="shared" si="73"/>
        <v>0.40999688257340583</v>
      </c>
      <c r="M318" s="196">
        <f t="shared" si="73"/>
        <v>0.40999688257340583</v>
      </c>
      <c r="N318" s="196">
        <f t="shared" si="73"/>
        <v>0.40999688257340583</v>
      </c>
      <c r="O318" s="196">
        <f t="shared" si="73"/>
        <v>0</v>
      </c>
      <c r="P318" s="196">
        <f t="shared" si="73"/>
        <v>0</v>
      </c>
      <c r="Q318" s="196">
        <f t="shared" si="73"/>
        <v>0.40999688257340583</v>
      </c>
      <c r="R318" s="196">
        <f t="shared" si="73"/>
        <v>1</v>
      </c>
      <c r="S318" s="196">
        <f t="shared" si="73"/>
        <v>1</v>
      </c>
      <c r="T318" s="196">
        <f t="shared" si="73"/>
        <v>1</v>
      </c>
      <c r="U318" s="196">
        <f t="shared" si="73"/>
        <v>1</v>
      </c>
      <c r="V318" s="196">
        <f t="shared" si="73"/>
        <v>1</v>
      </c>
      <c r="W318" s="196">
        <f t="shared" si="73"/>
        <v>1</v>
      </c>
      <c r="X318" s="196">
        <f t="shared" si="73"/>
        <v>1</v>
      </c>
      <c r="Y318" s="196">
        <f t="shared" si="73"/>
        <v>1</v>
      </c>
      <c r="AQ318" s="3"/>
    </row>
    <row r="319" spans="2:43" x14ac:dyDescent="0.25">
      <c r="C319" s="75"/>
      <c r="F319" s="118" t="s">
        <v>248</v>
      </c>
      <c r="G319" t="s">
        <v>165</v>
      </c>
      <c r="J319" s="196">
        <f t="shared" ref="J319:Y319" si="74">IF(J$39, J47, J$34)</f>
        <v>0.40999688257340583</v>
      </c>
      <c r="K319" s="196">
        <f t="shared" si="74"/>
        <v>0.40999688257340583</v>
      </c>
      <c r="L319" s="196">
        <f t="shared" si="74"/>
        <v>0.40999688257340583</v>
      </c>
      <c r="M319" s="196">
        <f t="shared" si="74"/>
        <v>0.40999688257340583</v>
      </c>
      <c r="N319" s="196">
        <f t="shared" si="74"/>
        <v>0.40999688257340583</v>
      </c>
      <c r="O319" s="196">
        <f t="shared" si="74"/>
        <v>0</v>
      </c>
      <c r="P319" s="196">
        <f t="shared" si="74"/>
        <v>0</v>
      </c>
      <c r="Q319" s="196">
        <f t="shared" si="74"/>
        <v>0.40999688257340583</v>
      </c>
      <c r="R319" s="196">
        <f t="shared" si="74"/>
        <v>0</v>
      </c>
      <c r="S319" s="196">
        <f t="shared" si="74"/>
        <v>0</v>
      </c>
      <c r="T319" s="196">
        <f t="shared" si="74"/>
        <v>0</v>
      </c>
      <c r="U319" s="196">
        <f t="shared" si="74"/>
        <v>0</v>
      </c>
      <c r="V319" s="196">
        <f t="shared" si="74"/>
        <v>0</v>
      </c>
      <c r="W319" s="196">
        <f t="shared" si="74"/>
        <v>0</v>
      </c>
      <c r="X319" s="196">
        <f t="shared" si="74"/>
        <v>0</v>
      </c>
      <c r="Y319" s="196">
        <f t="shared" si="74"/>
        <v>0</v>
      </c>
      <c r="AQ319" s="3"/>
    </row>
    <row r="320" spans="2:43" x14ac:dyDescent="0.25">
      <c r="C320" s="75"/>
      <c r="F320" s="118" t="s">
        <v>250</v>
      </c>
      <c r="G320" t="s">
        <v>165</v>
      </c>
      <c r="J320" s="196">
        <f t="shared" ref="J320:Y320" si="75">IF(J$39, J48, J$34)</f>
        <v>0.40999688257340583</v>
      </c>
      <c r="K320" s="196">
        <f t="shared" si="75"/>
        <v>0.40999688257340583</v>
      </c>
      <c r="L320" s="196">
        <f t="shared" si="75"/>
        <v>0.40999688257340583</v>
      </c>
      <c r="M320" s="196">
        <f t="shared" si="75"/>
        <v>0.40999688257340583</v>
      </c>
      <c r="N320" s="196">
        <f t="shared" si="75"/>
        <v>0.40999688257340583</v>
      </c>
      <c r="O320" s="196">
        <f t="shared" si="75"/>
        <v>0</v>
      </c>
      <c r="P320" s="196">
        <f t="shared" si="75"/>
        <v>0</v>
      </c>
      <c r="Q320" s="196">
        <f t="shared" si="75"/>
        <v>0.40999688257340583</v>
      </c>
      <c r="R320" s="196">
        <f t="shared" si="75"/>
        <v>0</v>
      </c>
      <c r="S320" s="196">
        <f t="shared" si="75"/>
        <v>0</v>
      </c>
      <c r="T320" s="196">
        <f t="shared" si="75"/>
        <v>0</v>
      </c>
      <c r="U320" s="196">
        <f t="shared" si="75"/>
        <v>0</v>
      </c>
      <c r="V320" s="196">
        <f t="shared" si="75"/>
        <v>0</v>
      </c>
      <c r="W320" s="196">
        <f t="shared" si="75"/>
        <v>0</v>
      </c>
      <c r="X320" s="196">
        <f t="shared" si="75"/>
        <v>0</v>
      </c>
      <c r="Y320" s="196">
        <f t="shared" si="75"/>
        <v>0</v>
      </c>
      <c r="AQ320" s="3"/>
    </row>
    <row r="321" spans="3:43" x14ac:dyDescent="0.25">
      <c r="C321" s="75"/>
      <c r="F321" s="120" t="s">
        <v>251</v>
      </c>
      <c r="G321" s="96" t="s">
        <v>165</v>
      </c>
      <c r="H321" s="96"/>
      <c r="I321" s="96"/>
      <c r="J321" s="199">
        <f t="shared" ref="J321:Y321" si="76">IF(J$39, J49, J$34)</f>
        <v>0.40999688257340583</v>
      </c>
      <c r="K321" s="199">
        <f t="shared" si="76"/>
        <v>0.40999688257340583</v>
      </c>
      <c r="L321" s="199">
        <f t="shared" si="76"/>
        <v>0.40999688257340583</v>
      </c>
      <c r="M321" s="199">
        <f t="shared" si="76"/>
        <v>0.40999688257340583</v>
      </c>
      <c r="N321" s="199">
        <f t="shared" si="76"/>
        <v>0.40999688257340583</v>
      </c>
      <c r="O321" s="199">
        <f t="shared" si="76"/>
        <v>0</v>
      </c>
      <c r="P321" s="199">
        <f t="shared" si="76"/>
        <v>0</v>
      </c>
      <c r="Q321" s="199">
        <f t="shared" si="76"/>
        <v>0.40999688257340583</v>
      </c>
      <c r="R321" s="199">
        <f t="shared" si="76"/>
        <v>0</v>
      </c>
      <c r="S321" s="199">
        <f t="shared" si="76"/>
        <v>0</v>
      </c>
      <c r="T321" s="199">
        <f t="shared" si="76"/>
        <v>0</v>
      </c>
      <c r="U321" s="199">
        <f t="shared" si="76"/>
        <v>0</v>
      </c>
      <c r="V321" s="199">
        <f t="shared" si="76"/>
        <v>0</v>
      </c>
      <c r="W321" s="199">
        <f t="shared" si="76"/>
        <v>0</v>
      </c>
      <c r="X321" s="199">
        <f t="shared" si="76"/>
        <v>0</v>
      </c>
      <c r="Y321" s="199">
        <f t="shared" si="76"/>
        <v>0</v>
      </c>
      <c r="AQ321" s="3"/>
    </row>
    <row r="322" spans="3:43" x14ac:dyDescent="0.25">
      <c r="C322" s="75"/>
      <c r="AQ322" s="3"/>
    </row>
    <row r="323" spans="3:43" x14ac:dyDescent="0.25">
      <c r="C323" s="75"/>
      <c r="E323" s="75" t="s">
        <v>406</v>
      </c>
      <c r="AQ323" s="3"/>
    </row>
    <row r="324" spans="3:43" x14ac:dyDescent="0.25">
      <c r="C324" s="75"/>
      <c r="F324" s="116" t="s">
        <v>245</v>
      </c>
      <c r="G324" s="95" t="s">
        <v>165</v>
      </c>
      <c r="H324" s="95"/>
      <c r="I324" s="95"/>
      <c r="J324" s="198">
        <f>IF(J$39, J$45, J$35)</f>
        <v>0.60376444392351947</v>
      </c>
      <c r="K324" s="198">
        <f t="shared" ref="K324:Y326" si="77">IF(K$39, K$45, K$35)</f>
        <v>0.60376444392351947</v>
      </c>
      <c r="L324" s="198">
        <f t="shared" si="77"/>
        <v>0.60376444392351947</v>
      </c>
      <c r="M324" s="198">
        <f t="shared" si="77"/>
        <v>0.60376444392351947</v>
      </c>
      <c r="N324" s="198">
        <f t="shared" si="77"/>
        <v>0.60376444392351947</v>
      </c>
      <c r="O324" s="198">
        <f t="shared" si="77"/>
        <v>0.32468019364035799</v>
      </c>
      <c r="P324" s="198">
        <f t="shared" si="77"/>
        <v>0.16961170739746073</v>
      </c>
      <c r="Q324" s="198">
        <f t="shared" si="77"/>
        <v>0.60376444392351947</v>
      </c>
      <c r="R324" s="198">
        <f t="shared" si="77"/>
        <v>0</v>
      </c>
      <c r="S324" s="198">
        <f t="shared" si="77"/>
        <v>0</v>
      </c>
      <c r="T324" s="198">
        <f t="shared" si="77"/>
        <v>0</v>
      </c>
      <c r="U324" s="198">
        <f t="shared" si="77"/>
        <v>0</v>
      </c>
      <c r="V324" s="198">
        <f t="shared" si="77"/>
        <v>0</v>
      </c>
      <c r="W324" s="198">
        <f t="shared" si="77"/>
        <v>0</v>
      </c>
      <c r="X324" s="198">
        <f t="shared" si="77"/>
        <v>0</v>
      </c>
      <c r="Y324" s="198">
        <f t="shared" si="77"/>
        <v>0</v>
      </c>
      <c r="AQ324" s="3"/>
    </row>
    <row r="325" spans="3:43" x14ac:dyDescent="0.25">
      <c r="C325" s="75"/>
      <c r="F325" s="118" t="s">
        <v>246</v>
      </c>
      <c r="G325" t="s">
        <v>165</v>
      </c>
      <c r="J325" s="196">
        <f t="shared" ref="J325:J326" si="78">IF(J$39, J$45, J$35)</f>
        <v>0.60376444392351947</v>
      </c>
      <c r="K325" s="196">
        <f t="shared" si="77"/>
        <v>0.60376444392351947</v>
      </c>
      <c r="L325" s="196">
        <f t="shared" si="77"/>
        <v>0.60376444392351947</v>
      </c>
      <c r="M325" s="196">
        <f t="shared" si="77"/>
        <v>0.60376444392351947</v>
      </c>
      <c r="N325" s="196">
        <f t="shared" si="77"/>
        <v>0.60376444392351947</v>
      </c>
      <c r="O325" s="196">
        <f t="shared" si="77"/>
        <v>0.32468019364035799</v>
      </c>
      <c r="P325" s="196">
        <f t="shared" si="77"/>
        <v>0.16961170739746073</v>
      </c>
      <c r="Q325" s="196">
        <f t="shared" si="77"/>
        <v>0.60376444392351947</v>
      </c>
      <c r="R325" s="196">
        <f t="shared" si="77"/>
        <v>0</v>
      </c>
      <c r="S325" s="196">
        <f t="shared" si="77"/>
        <v>0</v>
      </c>
      <c r="T325" s="196">
        <f t="shared" si="77"/>
        <v>0</v>
      </c>
      <c r="U325" s="196">
        <f t="shared" si="77"/>
        <v>0</v>
      </c>
      <c r="V325" s="196">
        <f t="shared" si="77"/>
        <v>0</v>
      </c>
      <c r="W325" s="196">
        <f t="shared" si="77"/>
        <v>0</v>
      </c>
      <c r="X325" s="196">
        <f t="shared" si="77"/>
        <v>0</v>
      </c>
      <c r="Y325" s="196">
        <f t="shared" si="77"/>
        <v>0</v>
      </c>
      <c r="AQ325" s="3"/>
    </row>
    <row r="326" spans="3:43" x14ac:dyDescent="0.25">
      <c r="C326" s="75"/>
      <c r="F326" s="120" t="s">
        <v>247</v>
      </c>
      <c r="G326" s="96" t="s">
        <v>165</v>
      </c>
      <c r="H326" s="96"/>
      <c r="I326" s="96"/>
      <c r="J326" s="199">
        <f t="shared" si="78"/>
        <v>0.60376444392351947</v>
      </c>
      <c r="K326" s="199">
        <f t="shared" si="77"/>
        <v>0.60376444392351947</v>
      </c>
      <c r="L326" s="199">
        <f t="shared" si="77"/>
        <v>0.60376444392351947</v>
      </c>
      <c r="M326" s="199">
        <f t="shared" si="77"/>
        <v>0.60376444392351947</v>
      </c>
      <c r="N326" s="199">
        <f t="shared" si="77"/>
        <v>0.60376444392351947</v>
      </c>
      <c r="O326" s="199">
        <f t="shared" si="77"/>
        <v>0.32468019364035799</v>
      </c>
      <c r="P326" s="199">
        <f t="shared" si="77"/>
        <v>0.16961170739746073</v>
      </c>
      <c r="Q326" s="199">
        <f t="shared" si="77"/>
        <v>0.60376444392351947</v>
      </c>
      <c r="R326" s="199">
        <f t="shared" si="77"/>
        <v>0</v>
      </c>
      <c r="S326" s="199">
        <f t="shared" si="77"/>
        <v>0</v>
      </c>
      <c r="T326" s="199">
        <f t="shared" si="77"/>
        <v>0</v>
      </c>
      <c r="U326" s="199">
        <f t="shared" si="77"/>
        <v>0</v>
      </c>
      <c r="V326" s="199">
        <f t="shared" si="77"/>
        <v>0</v>
      </c>
      <c r="W326" s="199">
        <f t="shared" si="77"/>
        <v>0</v>
      </c>
      <c r="X326" s="199">
        <f t="shared" si="77"/>
        <v>0</v>
      </c>
      <c r="Y326" s="199">
        <f t="shared" si="77"/>
        <v>0</v>
      </c>
      <c r="AQ326" s="3"/>
    </row>
    <row r="327" spans="3:43" x14ac:dyDescent="0.25">
      <c r="C327" s="75"/>
      <c r="F327" s="118" t="s">
        <v>210</v>
      </c>
      <c r="G327" t="s">
        <v>165</v>
      </c>
      <c r="J327" s="196">
        <f t="shared" ref="J327:Y327" si="79">IF(J$39, J46, J$35)</f>
        <v>0.60376444392351947</v>
      </c>
      <c r="K327" s="196">
        <f t="shared" si="79"/>
        <v>0.60376444392351947</v>
      </c>
      <c r="L327" s="196">
        <f t="shared" si="79"/>
        <v>0.60376444392351947</v>
      </c>
      <c r="M327" s="196">
        <f t="shared" si="79"/>
        <v>0.60376444392351947</v>
      </c>
      <c r="N327" s="196">
        <f t="shared" si="79"/>
        <v>0.60376444392351947</v>
      </c>
      <c r="O327" s="196">
        <f t="shared" si="79"/>
        <v>0.32468019364035799</v>
      </c>
      <c r="P327" s="196">
        <f t="shared" si="79"/>
        <v>0.16961170739746073</v>
      </c>
      <c r="Q327" s="196">
        <f t="shared" si="79"/>
        <v>0.60376444392351947</v>
      </c>
      <c r="R327" s="196">
        <f t="shared" si="79"/>
        <v>1</v>
      </c>
      <c r="S327" s="196">
        <f t="shared" si="79"/>
        <v>1</v>
      </c>
      <c r="T327" s="196">
        <f t="shared" si="79"/>
        <v>1</v>
      </c>
      <c r="U327" s="196">
        <f t="shared" si="79"/>
        <v>1</v>
      </c>
      <c r="V327" s="196">
        <f t="shared" si="79"/>
        <v>1</v>
      </c>
      <c r="W327" s="196">
        <f t="shared" si="79"/>
        <v>1</v>
      </c>
      <c r="X327" s="196">
        <f t="shared" si="79"/>
        <v>1</v>
      </c>
      <c r="Y327" s="196">
        <f t="shared" si="79"/>
        <v>1</v>
      </c>
      <c r="AQ327" s="3"/>
    </row>
    <row r="328" spans="3:43" x14ac:dyDescent="0.25">
      <c r="C328" s="75"/>
      <c r="F328" s="118" t="s">
        <v>248</v>
      </c>
      <c r="G328" t="s">
        <v>165</v>
      </c>
      <c r="J328" s="196">
        <f t="shared" ref="J328:Y328" si="80">IF(J$39, J47, J$35)</f>
        <v>0.60376444392351947</v>
      </c>
      <c r="K328" s="196">
        <f t="shared" si="80"/>
        <v>0.60376444392351947</v>
      </c>
      <c r="L328" s="196">
        <f t="shared" si="80"/>
        <v>0.60376444392351947</v>
      </c>
      <c r="M328" s="196">
        <f t="shared" si="80"/>
        <v>0.60376444392351947</v>
      </c>
      <c r="N328" s="196">
        <f t="shared" si="80"/>
        <v>0.60376444392351947</v>
      </c>
      <c r="O328" s="196">
        <f t="shared" si="80"/>
        <v>0.32468019364035799</v>
      </c>
      <c r="P328" s="196">
        <f t="shared" si="80"/>
        <v>0.16961170739746073</v>
      </c>
      <c r="Q328" s="196">
        <f t="shared" si="80"/>
        <v>0.60376444392351947</v>
      </c>
      <c r="R328" s="196">
        <f t="shared" si="80"/>
        <v>0</v>
      </c>
      <c r="S328" s="196">
        <f t="shared" si="80"/>
        <v>0</v>
      </c>
      <c r="T328" s="196">
        <f t="shared" si="80"/>
        <v>0</v>
      </c>
      <c r="U328" s="196">
        <f t="shared" si="80"/>
        <v>0</v>
      </c>
      <c r="V328" s="196">
        <f t="shared" si="80"/>
        <v>0</v>
      </c>
      <c r="W328" s="196">
        <f t="shared" si="80"/>
        <v>0</v>
      </c>
      <c r="X328" s="196">
        <f t="shared" si="80"/>
        <v>0</v>
      </c>
      <c r="Y328" s="196">
        <f t="shared" si="80"/>
        <v>0</v>
      </c>
      <c r="AQ328" s="3"/>
    </row>
    <row r="329" spans="3:43" x14ac:dyDescent="0.25">
      <c r="C329" s="75"/>
      <c r="F329" s="118" t="s">
        <v>250</v>
      </c>
      <c r="G329" t="s">
        <v>165</v>
      </c>
      <c r="J329" s="196">
        <f t="shared" ref="J329:Y329" si="81">IF(J$39, J48, J$35)</f>
        <v>0.60376444392351947</v>
      </c>
      <c r="K329" s="196">
        <f t="shared" si="81"/>
        <v>0.60376444392351947</v>
      </c>
      <c r="L329" s="196">
        <f t="shared" si="81"/>
        <v>0.60376444392351947</v>
      </c>
      <c r="M329" s="196">
        <f t="shared" si="81"/>
        <v>0.60376444392351947</v>
      </c>
      <c r="N329" s="196">
        <f t="shared" si="81"/>
        <v>0.60376444392351947</v>
      </c>
      <c r="O329" s="196">
        <f t="shared" si="81"/>
        <v>0.32468019364035799</v>
      </c>
      <c r="P329" s="196">
        <f t="shared" si="81"/>
        <v>0.16961170739746073</v>
      </c>
      <c r="Q329" s="196">
        <f t="shared" si="81"/>
        <v>0.60376444392351947</v>
      </c>
      <c r="R329" s="196">
        <f t="shared" si="81"/>
        <v>0</v>
      </c>
      <c r="S329" s="196">
        <f t="shared" si="81"/>
        <v>0</v>
      </c>
      <c r="T329" s="196">
        <f t="shared" si="81"/>
        <v>0</v>
      </c>
      <c r="U329" s="196">
        <f t="shared" si="81"/>
        <v>0</v>
      </c>
      <c r="V329" s="196">
        <f t="shared" si="81"/>
        <v>0</v>
      </c>
      <c r="W329" s="196">
        <f t="shared" si="81"/>
        <v>0</v>
      </c>
      <c r="X329" s="196">
        <f t="shared" si="81"/>
        <v>0</v>
      </c>
      <c r="Y329" s="196">
        <f t="shared" si="81"/>
        <v>0</v>
      </c>
      <c r="AQ329" s="3"/>
    </row>
    <row r="330" spans="3:43" x14ac:dyDescent="0.25">
      <c r="C330" s="75"/>
      <c r="F330" s="120" t="s">
        <v>251</v>
      </c>
      <c r="G330" s="96" t="s">
        <v>165</v>
      </c>
      <c r="H330" s="96"/>
      <c r="I330" s="96"/>
      <c r="J330" s="199">
        <f t="shared" ref="J330:Y330" si="82">IF(J$39, J49, J$35)</f>
        <v>0.60376444392351947</v>
      </c>
      <c r="K330" s="199">
        <f t="shared" si="82"/>
        <v>0.60376444392351947</v>
      </c>
      <c r="L330" s="199">
        <f t="shared" si="82"/>
        <v>0.60376444392351947</v>
      </c>
      <c r="M330" s="199">
        <f t="shared" si="82"/>
        <v>0.60376444392351947</v>
      </c>
      <c r="N330" s="199">
        <f t="shared" si="82"/>
        <v>0.60376444392351947</v>
      </c>
      <c r="O330" s="199">
        <f t="shared" si="82"/>
        <v>0.32468019364035799</v>
      </c>
      <c r="P330" s="199">
        <f t="shared" si="82"/>
        <v>0.16961170739746073</v>
      </c>
      <c r="Q330" s="199">
        <f t="shared" si="82"/>
        <v>0.60376444392351947</v>
      </c>
      <c r="R330" s="199">
        <f t="shared" si="82"/>
        <v>0</v>
      </c>
      <c r="S330" s="199">
        <f t="shared" si="82"/>
        <v>0</v>
      </c>
      <c r="T330" s="199">
        <f t="shared" si="82"/>
        <v>0</v>
      </c>
      <c r="U330" s="199">
        <f t="shared" si="82"/>
        <v>0</v>
      </c>
      <c r="V330" s="199">
        <f t="shared" si="82"/>
        <v>0</v>
      </c>
      <c r="W330" s="199">
        <f t="shared" si="82"/>
        <v>0</v>
      </c>
      <c r="X330" s="199">
        <f t="shared" si="82"/>
        <v>0</v>
      </c>
      <c r="Y330" s="199">
        <f t="shared" si="82"/>
        <v>0</v>
      </c>
      <c r="AQ330" s="3"/>
    </row>
    <row r="331" spans="3:43" x14ac:dyDescent="0.25">
      <c r="C331" s="75"/>
      <c r="AQ331" s="3"/>
    </row>
    <row r="332" spans="3:43" x14ac:dyDescent="0.2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25">
      <c r="C333" s="75"/>
      <c r="AQ333" s="3"/>
    </row>
    <row r="334" spans="3:43" x14ac:dyDescent="0.25">
      <c r="E334" s="75" t="s">
        <v>912</v>
      </c>
      <c r="G334" s="61"/>
      <c r="I334" t="s">
        <v>152</v>
      </c>
      <c r="AQ334" s="3"/>
    </row>
    <row r="335" spans="3:43" x14ac:dyDescent="0.25">
      <c r="E335" s="75"/>
      <c r="F335" s="116" t="s">
        <v>245</v>
      </c>
      <c r="G335" s="116" t="s">
        <v>205</v>
      </c>
      <c r="H335" s="95"/>
      <c r="I335" s="95"/>
      <c r="J335" s="117"/>
      <c r="K335" s="147">
        <f t="shared" ref="K335:P341" si="83">(1 - K315) * K105</f>
        <v>0</v>
      </c>
      <c r="L335" s="147">
        <f t="shared" si="83"/>
        <v>0</v>
      </c>
      <c r="M335" s="147">
        <f t="shared" si="83"/>
        <v>0</v>
      </c>
      <c r="N335" s="147">
        <f t="shared" si="83"/>
        <v>0</v>
      </c>
      <c r="O335" s="147">
        <f t="shared" si="83"/>
        <v>0</v>
      </c>
      <c r="P335" s="147">
        <f t="shared" si="83"/>
        <v>0</v>
      </c>
      <c r="Q335" s="117"/>
      <c r="R335" s="147">
        <f t="shared" ref="R335:Y341" si="84">(1 - R315) * R105</f>
        <v>159.863</v>
      </c>
      <c r="S335" s="147">
        <f t="shared" si="84"/>
        <v>0</v>
      </c>
      <c r="T335" s="147">
        <f t="shared" si="84"/>
        <v>0</v>
      </c>
      <c r="U335" s="147">
        <f t="shared" si="84"/>
        <v>0</v>
      </c>
      <c r="V335" s="147">
        <f t="shared" si="84"/>
        <v>0</v>
      </c>
      <c r="W335" s="147">
        <f t="shared" si="84"/>
        <v>0</v>
      </c>
      <c r="X335" s="147">
        <f t="shared" si="84"/>
        <v>0</v>
      </c>
      <c r="Y335" s="147">
        <f t="shared" si="84"/>
        <v>0</v>
      </c>
      <c r="AQ335" s="3"/>
    </row>
    <row r="336" spans="3:43" x14ac:dyDescent="0.25">
      <c r="E336" s="75"/>
      <c r="F336" s="118" t="s">
        <v>246</v>
      </c>
      <c r="G336" s="118" t="s">
        <v>205</v>
      </c>
      <c r="J336" s="126"/>
      <c r="K336" s="193">
        <f t="shared" si="83"/>
        <v>0</v>
      </c>
      <c r="L336" s="193">
        <f t="shared" si="83"/>
        <v>0</v>
      </c>
      <c r="M336" s="193">
        <f t="shared" si="83"/>
        <v>0</v>
      </c>
      <c r="N336" s="193">
        <f t="shared" si="83"/>
        <v>0</v>
      </c>
      <c r="O336" s="193">
        <f t="shared" si="83"/>
        <v>0</v>
      </c>
      <c r="P336" s="193">
        <f t="shared" si="83"/>
        <v>0</v>
      </c>
      <c r="Q336" s="126"/>
      <c r="R336" s="193">
        <f t="shared" si="84"/>
        <v>706.57100000000003</v>
      </c>
      <c r="S336" s="193">
        <f t="shared" si="84"/>
        <v>0</v>
      </c>
      <c r="T336" s="193">
        <f t="shared" si="84"/>
        <v>0</v>
      </c>
      <c r="U336" s="193">
        <f t="shared" si="84"/>
        <v>0</v>
      </c>
      <c r="V336" s="193">
        <f t="shared" si="84"/>
        <v>0</v>
      </c>
      <c r="W336" s="193">
        <f t="shared" si="84"/>
        <v>0</v>
      </c>
      <c r="X336" s="193">
        <f t="shared" si="84"/>
        <v>0</v>
      </c>
      <c r="Y336" s="193">
        <f t="shared" si="84"/>
        <v>0</v>
      </c>
      <c r="AQ336" s="3"/>
    </row>
    <row r="337" spans="5:43" x14ac:dyDescent="0.25">
      <c r="E337" s="75"/>
      <c r="F337" s="118" t="s">
        <v>247</v>
      </c>
      <c r="G337" s="118" t="s">
        <v>205</v>
      </c>
      <c r="J337" s="126"/>
      <c r="K337" s="193">
        <f t="shared" si="83"/>
        <v>0</v>
      </c>
      <c r="L337" s="193">
        <f t="shared" si="83"/>
        <v>0</v>
      </c>
      <c r="M337" s="193">
        <f t="shared" si="83"/>
        <v>0</v>
      </c>
      <c r="N337" s="193">
        <f t="shared" si="83"/>
        <v>0</v>
      </c>
      <c r="O337" s="193">
        <f t="shared" si="83"/>
        <v>0</v>
      </c>
      <c r="P337" s="193">
        <f t="shared" si="83"/>
        <v>0</v>
      </c>
      <c r="Q337" s="126"/>
      <c r="R337" s="193">
        <f t="shared" si="84"/>
        <v>409.77800000000002</v>
      </c>
      <c r="S337" s="193">
        <f t="shared" si="84"/>
        <v>0</v>
      </c>
      <c r="T337" s="193">
        <f t="shared" si="84"/>
        <v>0</v>
      </c>
      <c r="U337" s="193">
        <f t="shared" si="84"/>
        <v>0</v>
      </c>
      <c r="V337" s="193">
        <f t="shared" si="84"/>
        <v>0</v>
      </c>
      <c r="W337" s="193">
        <f t="shared" si="84"/>
        <v>0</v>
      </c>
      <c r="X337" s="193">
        <f t="shared" si="84"/>
        <v>0</v>
      </c>
      <c r="Y337" s="193">
        <f t="shared" si="84"/>
        <v>0</v>
      </c>
      <c r="AQ337" s="3"/>
    </row>
    <row r="338" spans="5:43" x14ac:dyDescent="0.25">
      <c r="E338" s="75"/>
      <c r="F338" s="118" t="s">
        <v>210</v>
      </c>
      <c r="G338" s="118" t="s">
        <v>210</v>
      </c>
      <c r="J338" s="126"/>
      <c r="K338" s="193">
        <f t="shared" si="83"/>
        <v>0</v>
      </c>
      <c r="L338" s="193">
        <f t="shared" si="83"/>
        <v>0</v>
      </c>
      <c r="M338" s="193">
        <f t="shared" si="83"/>
        <v>0</v>
      </c>
      <c r="N338" s="193">
        <f t="shared" si="83"/>
        <v>0</v>
      </c>
      <c r="O338" s="193">
        <f t="shared" si="83"/>
        <v>0</v>
      </c>
      <c r="P338" s="193">
        <f t="shared" si="83"/>
        <v>0</v>
      </c>
      <c r="Q338" s="126"/>
      <c r="R338" s="193">
        <f t="shared" si="84"/>
        <v>0</v>
      </c>
      <c r="S338" s="193">
        <f t="shared" si="84"/>
        <v>0</v>
      </c>
      <c r="T338" s="193">
        <f t="shared" si="84"/>
        <v>0</v>
      </c>
      <c r="U338" s="193">
        <f t="shared" si="84"/>
        <v>0</v>
      </c>
      <c r="V338" s="193">
        <f t="shared" si="84"/>
        <v>0</v>
      </c>
      <c r="W338" s="193">
        <f t="shared" si="84"/>
        <v>0</v>
      </c>
      <c r="X338" s="193">
        <f t="shared" si="84"/>
        <v>0</v>
      </c>
      <c r="Y338" s="193">
        <f t="shared" si="84"/>
        <v>0</v>
      </c>
      <c r="AQ338" s="3"/>
    </row>
    <row r="339" spans="5:43" x14ac:dyDescent="0.25">
      <c r="E339" s="75"/>
      <c r="F339" s="118" t="s">
        <v>248</v>
      </c>
      <c r="G339" s="118" t="s">
        <v>249</v>
      </c>
      <c r="J339" s="126"/>
      <c r="K339" s="193">
        <f t="shared" si="83"/>
        <v>0</v>
      </c>
      <c r="L339" s="193">
        <f t="shared" si="83"/>
        <v>0</v>
      </c>
      <c r="M339" s="193">
        <f t="shared" si="83"/>
        <v>0</v>
      </c>
      <c r="N339" s="193">
        <f t="shared" si="83"/>
        <v>0</v>
      </c>
      <c r="O339" s="193">
        <f t="shared" si="83"/>
        <v>0</v>
      </c>
      <c r="P339" s="193">
        <f t="shared" si="83"/>
        <v>0</v>
      </c>
      <c r="Q339" s="126"/>
      <c r="R339" s="193">
        <f t="shared" si="84"/>
        <v>0</v>
      </c>
      <c r="S339" s="193">
        <f t="shared" si="84"/>
        <v>0</v>
      </c>
      <c r="T339" s="193">
        <f t="shared" si="84"/>
        <v>0</v>
      </c>
      <c r="U339" s="193">
        <f t="shared" si="84"/>
        <v>0</v>
      </c>
      <c r="V339" s="193">
        <f t="shared" si="84"/>
        <v>0</v>
      </c>
      <c r="W339" s="193">
        <f t="shared" si="84"/>
        <v>0</v>
      </c>
      <c r="X339" s="193">
        <f t="shared" si="84"/>
        <v>0</v>
      </c>
      <c r="Y339" s="193">
        <f t="shared" si="84"/>
        <v>0</v>
      </c>
      <c r="AQ339" s="3"/>
    </row>
    <row r="340" spans="5:43" x14ac:dyDescent="0.25">
      <c r="E340" s="75"/>
      <c r="F340" s="118" t="s">
        <v>250</v>
      </c>
      <c r="G340" s="118" t="s">
        <v>249</v>
      </c>
      <c r="J340" s="126"/>
      <c r="K340" s="193">
        <f t="shared" si="83"/>
        <v>0</v>
      </c>
      <c r="L340" s="193">
        <f t="shared" si="83"/>
        <v>0</v>
      </c>
      <c r="M340" s="193">
        <f t="shared" si="83"/>
        <v>0</v>
      </c>
      <c r="N340" s="193">
        <f t="shared" si="83"/>
        <v>0</v>
      </c>
      <c r="O340" s="193">
        <f t="shared" si="83"/>
        <v>0</v>
      </c>
      <c r="P340" s="193">
        <f t="shared" si="83"/>
        <v>0</v>
      </c>
      <c r="Q340" s="126"/>
      <c r="R340" s="193">
        <f t="shared" si="84"/>
        <v>0</v>
      </c>
      <c r="S340" s="193">
        <f t="shared" si="84"/>
        <v>0</v>
      </c>
      <c r="T340" s="193">
        <f t="shared" si="84"/>
        <v>0</v>
      </c>
      <c r="U340" s="193">
        <f t="shared" si="84"/>
        <v>0</v>
      </c>
      <c r="V340" s="193">
        <f t="shared" si="84"/>
        <v>0</v>
      </c>
      <c r="W340" s="193">
        <f t="shared" si="84"/>
        <v>0</v>
      </c>
      <c r="X340" s="193">
        <f t="shared" si="84"/>
        <v>0</v>
      </c>
      <c r="Y340" s="193">
        <f t="shared" si="84"/>
        <v>0</v>
      </c>
      <c r="AQ340" s="3"/>
    </row>
    <row r="341" spans="5:43" x14ac:dyDescent="0.25">
      <c r="E341" s="75"/>
      <c r="F341" s="120" t="s">
        <v>251</v>
      </c>
      <c r="G341" s="120" t="s">
        <v>252</v>
      </c>
      <c r="H341" s="96"/>
      <c r="I341" s="96"/>
      <c r="J341" s="121"/>
      <c r="K341" s="172">
        <f t="shared" si="83"/>
        <v>0</v>
      </c>
      <c r="L341" s="172">
        <f t="shared" si="83"/>
        <v>0</v>
      </c>
      <c r="M341" s="172">
        <f t="shared" si="83"/>
        <v>0</v>
      </c>
      <c r="N341" s="172">
        <f t="shared" si="83"/>
        <v>0</v>
      </c>
      <c r="O341" s="172">
        <f t="shared" si="83"/>
        <v>0</v>
      </c>
      <c r="P341" s="172">
        <f t="shared" si="83"/>
        <v>0</v>
      </c>
      <c r="Q341" s="121"/>
      <c r="R341" s="172">
        <f t="shared" si="84"/>
        <v>0</v>
      </c>
      <c r="S341" s="172">
        <f t="shared" si="84"/>
        <v>0</v>
      </c>
      <c r="T341" s="172">
        <f t="shared" si="84"/>
        <v>0</v>
      </c>
      <c r="U341" s="172">
        <f t="shared" si="84"/>
        <v>0</v>
      </c>
      <c r="V341" s="172">
        <f t="shared" si="84"/>
        <v>0</v>
      </c>
      <c r="W341" s="172">
        <f t="shared" si="84"/>
        <v>0</v>
      </c>
      <c r="X341" s="172">
        <f t="shared" si="84"/>
        <v>0</v>
      </c>
      <c r="Y341" s="172">
        <f t="shared" si="84"/>
        <v>0</v>
      </c>
      <c r="AQ341" s="3"/>
    </row>
    <row r="342" spans="5:43" x14ac:dyDescent="0.25">
      <c r="AQ342" s="3"/>
    </row>
    <row r="343" spans="5:43" x14ac:dyDescent="0.25">
      <c r="E343" s="75" t="s">
        <v>913</v>
      </c>
      <c r="G343" s="61"/>
      <c r="I343" t="s">
        <v>152</v>
      </c>
      <c r="AQ343" s="3"/>
    </row>
    <row r="344" spans="5:43" x14ac:dyDescent="0.25">
      <c r="E344" s="75"/>
      <c r="F344" s="116" t="s">
        <v>245</v>
      </c>
      <c r="G344" s="116" t="s">
        <v>205</v>
      </c>
      <c r="H344" s="95"/>
      <c r="I344" s="95"/>
      <c r="J344" s="117"/>
      <c r="K344" s="147">
        <f t="shared" ref="K344:P350" si="85">(1 - K324) * K152</f>
        <v>0</v>
      </c>
      <c r="L344" s="147">
        <f t="shared" si="85"/>
        <v>0</v>
      </c>
      <c r="M344" s="147">
        <f t="shared" si="85"/>
        <v>0</v>
      </c>
      <c r="N344" s="147">
        <f t="shared" si="85"/>
        <v>0</v>
      </c>
      <c r="O344" s="147">
        <f t="shared" si="85"/>
        <v>0</v>
      </c>
      <c r="P344" s="147">
        <f t="shared" si="85"/>
        <v>0</v>
      </c>
      <c r="Q344" s="117"/>
      <c r="R344" s="147">
        <f t="shared" ref="R344:Y350" si="86">(1 - R324) * R152</f>
        <v>230.125</v>
      </c>
      <c r="S344" s="147">
        <f t="shared" si="86"/>
        <v>0</v>
      </c>
      <c r="T344" s="147">
        <f t="shared" si="86"/>
        <v>84.814999999999998</v>
      </c>
      <c r="U344" s="147">
        <f t="shared" si="86"/>
        <v>0</v>
      </c>
      <c r="V344" s="147">
        <f t="shared" si="86"/>
        <v>0.17</v>
      </c>
      <c r="W344" s="147">
        <f t="shared" si="86"/>
        <v>0</v>
      </c>
      <c r="X344" s="147">
        <f t="shared" si="86"/>
        <v>0</v>
      </c>
      <c r="Y344" s="147">
        <f t="shared" si="86"/>
        <v>0</v>
      </c>
      <c r="AQ344" s="3"/>
    </row>
    <row r="345" spans="5:43" x14ac:dyDescent="0.25">
      <c r="E345" s="75"/>
      <c r="F345" s="118" t="s">
        <v>246</v>
      </c>
      <c r="G345" s="118" t="s">
        <v>205</v>
      </c>
      <c r="J345" s="126"/>
      <c r="K345" s="193">
        <f t="shared" si="85"/>
        <v>0</v>
      </c>
      <c r="L345" s="193">
        <f t="shared" si="85"/>
        <v>0</v>
      </c>
      <c r="M345" s="193">
        <f t="shared" si="85"/>
        <v>0</v>
      </c>
      <c r="N345" s="193">
        <f t="shared" si="85"/>
        <v>0</v>
      </c>
      <c r="O345" s="193">
        <f t="shared" si="85"/>
        <v>0</v>
      </c>
      <c r="P345" s="193">
        <f t="shared" si="85"/>
        <v>0</v>
      </c>
      <c r="Q345" s="126"/>
      <c r="R345" s="193">
        <f t="shared" si="86"/>
        <v>984.601</v>
      </c>
      <c r="S345" s="193">
        <f t="shared" si="86"/>
        <v>0</v>
      </c>
      <c r="T345" s="193">
        <f t="shared" si="86"/>
        <v>251.92699999999999</v>
      </c>
      <c r="U345" s="193">
        <f t="shared" si="86"/>
        <v>0</v>
      </c>
      <c r="V345" s="193">
        <f t="shared" si="86"/>
        <v>1.5920000000000001</v>
      </c>
      <c r="W345" s="193">
        <f t="shared" si="86"/>
        <v>0</v>
      </c>
      <c r="X345" s="193">
        <f t="shared" si="86"/>
        <v>0</v>
      </c>
      <c r="Y345" s="193">
        <f t="shared" si="86"/>
        <v>0</v>
      </c>
      <c r="AQ345" s="3"/>
    </row>
    <row r="346" spans="5:43" x14ac:dyDescent="0.25">
      <c r="E346" s="75"/>
      <c r="F346" s="118" t="s">
        <v>247</v>
      </c>
      <c r="G346" s="118" t="s">
        <v>205</v>
      </c>
      <c r="J346" s="126"/>
      <c r="K346" s="193">
        <f t="shared" si="85"/>
        <v>0</v>
      </c>
      <c r="L346" s="193">
        <f t="shared" si="85"/>
        <v>0</v>
      </c>
      <c r="M346" s="193">
        <f t="shared" si="85"/>
        <v>0</v>
      </c>
      <c r="N346" s="193">
        <f t="shared" si="85"/>
        <v>0</v>
      </c>
      <c r="O346" s="193">
        <f t="shared" si="85"/>
        <v>0</v>
      </c>
      <c r="P346" s="193">
        <f t="shared" si="85"/>
        <v>0</v>
      </c>
      <c r="Q346" s="126"/>
      <c r="R346" s="193">
        <f t="shared" si="86"/>
        <v>580.29999999999995</v>
      </c>
      <c r="S346" s="193">
        <f t="shared" si="86"/>
        <v>0</v>
      </c>
      <c r="T346" s="193">
        <f t="shared" si="86"/>
        <v>504.68799999999999</v>
      </c>
      <c r="U346" s="193">
        <f t="shared" si="86"/>
        <v>0</v>
      </c>
      <c r="V346" s="193">
        <f t="shared" si="86"/>
        <v>1.3879999999999999</v>
      </c>
      <c r="W346" s="193">
        <f t="shared" si="86"/>
        <v>0</v>
      </c>
      <c r="X346" s="193">
        <f t="shared" si="86"/>
        <v>0</v>
      </c>
      <c r="Y346" s="193">
        <f t="shared" si="86"/>
        <v>0</v>
      </c>
      <c r="AQ346" s="3"/>
    </row>
    <row r="347" spans="5:43" x14ac:dyDescent="0.25">
      <c r="E347" s="75"/>
      <c r="F347" s="118" t="s">
        <v>210</v>
      </c>
      <c r="G347" s="118" t="s">
        <v>210</v>
      </c>
      <c r="J347" s="126"/>
      <c r="K347" s="193">
        <f t="shared" si="85"/>
        <v>0</v>
      </c>
      <c r="L347" s="193">
        <f t="shared" si="85"/>
        <v>0</v>
      </c>
      <c r="M347" s="193">
        <f t="shared" si="85"/>
        <v>0</v>
      </c>
      <c r="N347" s="193">
        <f t="shared" si="85"/>
        <v>0</v>
      </c>
      <c r="O347" s="193">
        <f t="shared" si="85"/>
        <v>0</v>
      </c>
      <c r="P347" s="193">
        <f t="shared" si="85"/>
        <v>0</v>
      </c>
      <c r="Q347" s="126"/>
      <c r="R347" s="193">
        <f t="shared" si="86"/>
        <v>0</v>
      </c>
      <c r="S347" s="193">
        <f t="shared" si="86"/>
        <v>0</v>
      </c>
      <c r="T347" s="193">
        <f t="shared" si="86"/>
        <v>0</v>
      </c>
      <c r="U347" s="193">
        <f t="shared" si="86"/>
        <v>0</v>
      </c>
      <c r="V347" s="193">
        <f t="shared" si="86"/>
        <v>0</v>
      </c>
      <c r="W347" s="193">
        <f t="shared" si="86"/>
        <v>0</v>
      </c>
      <c r="X347" s="193">
        <f t="shared" si="86"/>
        <v>0</v>
      </c>
      <c r="Y347" s="193">
        <f t="shared" si="86"/>
        <v>0</v>
      </c>
      <c r="AQ347" s="3"/>
    </row>
    <row r="348" spans="5:43" x14ac:dyDescent="0.25">
      <c r="E348" s="75"/>
      <c r="F348" s="118" t="s">
        <v>248</v>
      </c>
      <c r="G348" s="118" t="s">
        <v>249</v>
      </c>
      <c r="J348" s="126"/>
      <c r="K348" s="193">
        <f t="shared" si="85"/>
        <v>0</v>
      </c>
      <c r="L348" s="193">
        <f t="shared" si="85"/>
        <v>0</v>
      </c>
      <c r="M348" s="193">
        <f t="shared" si="85"/>
        <v>0</v>
      </c>
      <c r="N348" s="193">
        <f t="shared" si="85"/>
        <v>0</v>
      </c>
      <c r="O348" s="193">
        <f t="shared" si="85"/>
        <v>0</v>
      </c>
      <c r="P348" s="193">
        <f t="shared" si="85"/>
        <v>0</v>
      </c>
      <c r="Q348" s="126"/>
      <c r="R348" s="193">
        <f t="shared" si="86"/>
        <v>0</v>
      </c>
      <c r="S348" s="193">
        <f t="shared" si="86"/>
        <v>0</v>
      </c>
      <c r="T348" s="193">
        <f t="shared" si="86"/>
        <v>0</v>
      </c>
      <c r="U348" s="193">
        <f t="shared" si="86"/>
        <v>0</v>
      </c>
      <c r="V348" s="193">
        <f t="shared" si="86"/>
        <v>0</v>
      </c>
      <c r="W348" s="193">
        <f t="shared" si="86"/>
        <v>0</v>
      </c>
      <c r="X348" s="193">
        <f t="shared" si="86"/>
        <v>0</v>
      </c>
      <c r="Y348" s="193">
        <f t="shared" si="86"/>
        <v>0</v>
      </c>
      <c r="AQ348" s="3"/>
    </row>
    <row r="349" spans="5:43" x14ac:dyDescent="0.25">
      <c r="E349" s="75"/>
      <c r="F349" s="118" t="s">
        <v>250</v>
      </c>
      <c r="G349" s="118" t="s">
        <v>249</v>
      </c>
      <c r="J349" s="126"/>
      <c r="K349" s="193">
        <f t="shared" si="85"/>
        <v>0</v>
      </c>
      <c r="L349" s="193">
        <f t="shared" si="85"/>
        <v>0</v>
      </c>
      <c r="M349" s="193">
        <f t="shared" si="85"/>
        <v>0</v>
      </c>
      <c r="N349" s="193">
        <f t="shared" si="85"/>
        <v>0</v>
      </c>
      <c r="O349" s="193">
        <f t="shared" si="85"/>
        <v>0</v>
      </c>
      <c r="P349" s="193">
        <f t="shared" si="85"/>
        <v>0</v>
      </c>
      <c r="Q349" s="126"/>
      <c r="R349" s="193">
        <f t="shared" si="86"/>
        <v>0</v>
      </c>
      <c r="S349" s="193">
        <f t="shared" si="86"/>
        <v>0</v>
      </c>
      <c r="T349" s="193">
        <f t="shared" si="86"/>
        <v>0</v>
      </c>
      <c r="U349" s="193">
        <f t="shared" si="86"/>
        <v>0</v>
      </c>
      <c r="V349" s="193">
        <f t="shared" si="86"/>
        <v>0</v>
      </c>
      <c r="W349" s="193">
        <f t="shared" si="86"/>
        <v>0</v>
      </c>
      <c r="X349" s="193">
        <f t="shared" si="86"/>
        <v>0</v>
      </c>
      <c r="Y349" s="193">
        <f t="shared" si="86"/>
        <v>0</v>
      </c>
      <c r="AQ349" s="3"/>
    </row>
    <row r="350" spans="5:43" x14ac:dyDescent="0.25">
      <c r="E350" s="75"/>
      <c r="F350" s="120" t="s">
        <v>251</v>
      </c>
      <c r="G350" s="120" t="s">
        <v>252</v>
      </c>
      <c r="H350" s="96"/>
      <c r="I350" s="96"/>
      <c r="J350" s="121"/>
      <c r="K350" s="172">
        <f t="shared" si="85"/>
        <v>0</v>
      </c>
      <c r="L350" s="172">
        <f t="shared" si="85"/>
        <v>0</v>
      </c>
      <c r="M350" s="172">
        <f t="shared" si="85"/>
        <v>0</v>
      </c>
      <c r="N350" s="172">
        <f t="shared" si="85"/>
        <v>0</v>
      </c>
      <c r="O350" s="172">
        <f t="shared" si="85"/>
        <v>0</v>
      </c>
      <c r="P350" s="172">
        <f t="shared" si="85"/>
        <v>0</v>
      </c>
      <c r="Q350" s="121"/>
      <c r="R350" s="172">
        <f t="shared" si="86"/>
        <v>0</v>
      </c>
      <c r="S350" s="172">
        <f t="shared" si="86"/>
        <v>0</v>
      </c>
      <c r="T350" s="172">
        <f t="shared" si="86"/>
        <v>646.82399999999996</v>
      </c>
      <c r="U350" s="172">
        <f t="shared" si="86"/>
        <v>0</v>
      </c>
      <c r="V350" s="172">
        <f t="shared" si="86"/>
        <v>1.1100000000000001</v>
      </c>
      <c r="W350" s="172">
        <f t="shared" si="86"/>
        <v>0</v>
      </c>
      <c r="X350" s="172">
        <f t="shared" si="86"/>
        <v>0</v>
      </c>
      <c r="Y350" s="172">
        <f t="shared" si="86"/>
        <v>0</v>
      </c>
      <c r="AQ350" s="3"/>
    </row>
    <row r="351" spans="5:43" x14ac:dyDescent="0.25">
      <c r="AQ351" s="3"/>
    </row>
    <row r="352" spans="5:43" x14ac:dyDescent="0.25">
      <c r="E352" s="75" t="s">
        <v>914</v>
      </c>
      <c r="G352" s="61"/>
      <c r="I352" t="s">
        <v>152</v>
      </c>
      <c r="AQ352" s="3"/>
    </row>
    <row r="353" spans="3:43" x14ac:dyDescent="0.25">
      <c r="E353" s="75"/>
      <c r="F353" s="116" t="s">
        <v>245</v>
      </c>
      <c r="G353" s="116" t="s">
        <v>205</v>
      </c>
      <c r="H353" s="95"/>
      <c r="I353" s="95"/>
      <c r="J353" s="117"/>
      <c r="K353" s="147">
        <f t="shared" ref="K353:P359" si="87">K58+K335+K344</f>
        <v>715.06892412151399</v>
      </c>
      <c r="L353" s="147">
        <f t="shared" si="87"/>
        <v>7.696930981475953</v>
      </c>
      <c r="M353" s="147">
        <f t="shared" si="87"/>
        <v>198.0273246193633</v>
      </c>
      <c r="N353" s="147">
        <f t="shared" si="87"/>
        <v>13.447644288179097</v>
      </c>
      <c r="O353" s="147">
        <f t="shared" si="87"/>
        <v>2.5664192228811378</v>
      </c>
      <c r="P353" s="147">
        <f t="shared" si="87"/>
        <v>242.40888698105309</v>
      </c>
      <c r="Q353" s="117"/>
      <c r="R353" s="147">
        <f t="shared" ref="R353:Y359" si="88">R58+R335+R344</f>
        <v>6989.1164284156448</v>
      </c>
      <c r="S353" s="147">
        <f t="shared" si="88"/>
        <v>0</v>
      </c>
      <c r="T353" s="147">
        <f t="shared" si="88"/>
        <v>4310.0455999999986</v>
      </c>
      <c r="U353" s="147">
        <f t="shared" si="88"/>
        <v>0</v>
      </c>
      <c r="V353" s="147">
        <f t="shared" si="88"/>
        <v>235.52749999999995</v>
      </c>
      <c r="W353" s="147">
        <f t="shared" si="88"/>
        <v>0</v>
      </c>
      <c r="X353" s="147">
        <f t="shared" si="88"/>
        <v>112429.61859999999</v>
      </c>
      <c r="Y353" s="147">
        <f t="shared" si="88"/>
        <v>0</v>
      </c>
      <c r="AQ353" s="3"/>
    </row>
    <row r="354" spans="3:43" x14ac:dyDescent="0.25">
      <c r="E354" s="75"/>
      <c r="F354" s="118" t="s">
        <v>246</v>
      </c>
      <c r="G354" s="118" t="s">
        <v>205</v>
      </c>
      <c r="J354" s="126"/>
      <c r="K354" s="193">
        <f t="shared" si="87"/>
        <v>4081.6408178065876</v>
      </c>
      <c r="L354" s="193">
        <f t="shared" si="87"/>
        <v>25.332240503208126</v>
      </c>
      <c r="M354" s="193">
        <f t="shared" si="87"/>
        <v>646.70434049451774</v>
      </c>
      <c r="N354" s="193">
        <f t="shared" si="87"/>
        <v>40.520219497595626</v>
      </c>
      <c r="O354" s="193">
        <f t="shared" si="87"/>
        <v>11.002529471759216</v>
      </c>
      <c r="P354" s="193">
        <f t="shared" si="87"/>
        <v>1161.2830145445171</v>
      </c>
      <c r="Q354" s="126"/>
      <c r="R354" s="193">
        <f t="shared" si="88"/>
        <v>30411.928111830457</v>
      </c>
      <c r="S354" s="193">
        <f t="shared" si="88"/>
        <v>0</v>
      </c>
      <c r="T354" s="193">
        <f t="shared" si="88"/>
        <v>14714.395000000002</v>
      </c>
      <c r="U354" s="193">
        <f t="shared" si="88"/>
        <v>0</v>
      </c>
      <c r="V354" s="193">
        <f t="shared" si="88"/>
        <v>949.01109999999994</v>
      </c>
      <c r="W354" s="193">
        <f t="shared" si="88"/>
        <v>0</v>
      </c>
      <c r="X354" s="193">
        <f t="shared" si="88"/>
        <v>305558.88569999998</v>
      </c>
      <c r="Y354" s="193">
        <f t="shared" si="88"/>
        <v>0</v>
      </c>
      <c r="AQ354" s="3"/>
    </row>
    <row r="355" spans="3:43" x14ac:dyDescent="0.25">
      <c r="E355" s="75"/>
      <c r="F355" s="118" t="s">
        <v>247</v>
      </c>
      <c r="G355" s="118" t="s">
        <v>205</v>
      </c>
      <c r="J355" s="126"/>
      <c r="K355" s="193">
        <f t="shared" si="87"/>
        <v>17683.252822043934</v>
      </c>
      <c r="L355" s="193">
        <f t="shared" si="87"/>
        <v>39.923331593029232</v>
      </c>
      <c r="M355" s="193">
        <f t="shared" si="87"/>
        <v>3204.1147499679787</v>
      </c>
      <c r="N355" s="193">
        <f t="shared" si="87"/>
        <v>70.471131041730487</v>
      </c>
      <c r="O355" s="193">
        <f t="shared" si="87"/>
        <v>11.361295850310261</v>
      </c>
      <c r="P355" s="193">
        <f t="shared" si="87"/>
        <v>2208.6032563465164</v>
      </c>
      <c r="Q355" s="126"/>
      <c r="R355" s="193">
        <f t="shared" si="88"/>
        <v>18030.478238646261</v>
      </c>
      <c r="S355" s="193">
        <f t="shared" si="88"/>
        <v>0</v>
      </c>
      <c r="T355" s="193">
        <f t="shared" si="88"/>
        <v>22467.003499999995</v>
      </c>
      <c r="U355" s="193">
        <f t="shared" si="88"/>
        <v>0</v>
      </c>
      <c r="V355" s="193">
        <f t="shared" si="88"/>
        <v>1267.7273</v>
      </c>
      <c r="W355" s="193">
        <f t="shared" si="88"/>
        <v>0</v>
      </c>
      <c r="X355" s="193">
        <f t="shared" si="88"/>
        <v>457934.66330000001</v>
      </c>
      <c r="Y355" s="193">
        <f t="shared" si="88"/>
        <v>0</v>
      </c>
      <c r="AQ355" s="3"/>
    </row>
    <row r="356" spans="3:43" x14ac:dyDescent="0.25">
      <c r="E356" s="75"/>
      <c r="F356" s="118" t="s">
        <v>210</v>
      </c>
      <c r="G356" s="118" t="s">
        <v>210</v>
      </c>
      <c r="J356" s="126"/>
      <c r="K356" s="193">
        <f t="shared" si="87"/>
        <v>7577.1293347193641</v>
      </c>
      <c r="L356" s="193">
        <f t="shared" si="87"/>
        <v>9.9596740630511906</v>
      </c>
      <c r="M356" s="193">
        <f t="shared" si="87"/>
        <v>589.96666666666681</v>
      </c>
      <c r="N356" s="193">
        <f t="shared" si="87"/>
        <v>14.217631648321902</v>
      </c>
      <c r="O356" s="193">
        <f t="shared" si="87"/>
        <v>1.1300558635282172</v>
      </c>
      <c r="P356" s="193">
        <f t="shared" si="87"/>
        <v>79.202625039218034</v>
      </c>
      <c r="Q356" s="126"/>
      <c r="R356" s="193">
        <f t="shared" si="88"/>
        <v>24062.24357489097</v>
      </c>
      <c r="S356" s="193">
        <f t="shared" si="88"/>
        <v>0</v>
      </c>
      <c r="T356" s="193">
        <f t="shared" si="88"/>
        <v>372</v>
      </c>
      <c r="U356" s="193">
        <f t="shared" si="88"/>
        <v>0</v>
      </c>
      <c r="V356" s="193">
        <f t="shared" si="88"/>
        <v>36</v>
      </c>
      <c r="W356" s="193">
        <f t="shared" si="88"/>
        <v>0</v>
      </c>
      <c r="X356" s="193">
        <f t="shared" si="88"/>
        <v>176</v>
      </c>
      <c r="Y356" s="193">
        <f t="shared" si="88"/>
        <v>0</v>
      </c>
      <c r="AQ356" s="3"/>
    </row>
    <row r="357" spans="3:43" x14ac:dyDescent="0.25">
      <c r="E357" s="75"/>
      <c r="F357" s="118" t="s">
        <v>248</v>
      </c>
      <c r="G357" s="118" t="s">
        <v>249</v>
      </c>
      <c r="J357" s="126"/>
      <c r="K357" s="193">
        <f t="shared" si="87"/>
        <v>0</v>
      </c>
      <c r="L357" s="193">
        <f t="shared" si="87"/>
        <v>0</v>
      </c>
      <c r="M357" s="193">
        <f t="shared" si="87"/>
        <v>0</v>
      </c>
      <c r="N357" s="193">
        <f t="shared" si="87"/>
        <v>843</v>
      </c>
      <c r="O357" s="193">
        <f t="shared" si="87"/>
        <v>40</v>
      </c>
      <c r="P357" s="193">
        <f t="shared" si="87"/>
        <v>18295</v>
      </c>
      <c r="Q357" s="126"/>
      <c r="R357" s="193">
        <f t="shared" si="88"/>
        <v>0</v>
      </c>
      <c r="S357" s="193">
        <f t="shared" si="88"/>
        <v>0</v>
      </c>
      <c r="T357" s="193">
        <f t="shared" si="88"/>
        <v>0</v>
      </c>
      <c r="U357" s="193">
        <f t="shared" si="88"/>
        <v>0</v>
      </c>
      <c r="V357" s="193">
        <f t="shared" si="88"/>
        <v>0</v>
      </c>
      <c r="W357" s="193">
        <f t="shared" si="88"/>
        <v>0</v>
      </c>
      <c r="X357" s="193">
        <f t="shared" si="88"/>
        <v>0</v>
      </c>
      <c r="Y357" s="193">
        <f t="shared" si="88"/>
        <v>0</v>
      </c>
      <c r="AQ357" s="3"/>
    </row>
    <row r="358" spans="3:43" x14ac:dyDescent="0.25">
      <c r="E358" s="75"/>
      <c r="F358" s="118" t="s">
        <v>250</v>
      </c>
      <c r="G358" s="118" t="s">
        <v>249</v>
      </c>
      <c r="J358" s="126"/>
      <c r="K358" s="193">
        <f t="shared" si="87"/>
        <v>0</v>
      </c>
      <c r="L358" s="193">
        <f t="shared" si="87"/>
        <v>0</v>
      </c>
      <c r="M358" s="193">
        <f t="shared" si="87"/>
        <v>0</v>
      </c>
      <c r="N358" s="193">
        <f t="shared" si="87"/>
        <v>94.747945205479454</v>
      </c>
      <c r="O358" s="193">
        <f t="shared" si="87"/>
        <v>0</v>
      </c>
      <c r="P358" s="193">
        <f t="shared" si="87"/>
        <v>1900.6575342465753</v>
      </c>
      <c r="Q358" s="126"/>
      <c r="R358" s="193">
        <f t="shared" si="88"/>
        <v>0</v>
      </c>
      <c r="S358" s="193">
        <f t="shared" si="88"/>
        <v>0</v>
      </c>
      <c r="T358" s="193">
        <f t="shared" si="88"/>
        <v>0</v>
      </c>
      <c r="U358" s="193">
        <f t="shared" si="88"/>
        <v>0</v>
      </c>
      <c r="V358" s="193">
        <f t="shared" si="88"/>
        <v>0</v>
      </c>
      <c r="W358" s="193">
        <f t="shared" si="88"/>
        <v>0</v>
      </c>
      <c r="X358" s="193">
        <f t="shared" si="88"/>
        <v>0</v>
      </c>
      <c r="Y358" s="193">
        <f t="shared" si="88"/>
        <v>0</v>
      </c>
      <c r="AQ358" s="3"/>
    </row>
    <row r="359" spans="3:43" x14ac:dyDescent="0.25">
      <c r="E359" s="75"/>
      <c r="F359" s="120" t="s">
        <v>251</v>
      </c>
      <c r="G359" s="120" t="s">
        <v>252</v>
      </c>
      <c r="H359" s="96"/>
      <c r="I359" s="96"/>
      <c r="J359" s="121"/>
      <c r="K359" s="172">
        <f t="shared" si="87"/>
        <v>0</v>
      </c>
      <c r="L359" s="172">
        <f t="shared" si="87"/>
        <v>0</v>
      </c>
      <c r="M359" s="172">
        <f t="shared" si="87"/>
        <v>0</v>
      </c>
      <c r="N359" s="172">
        <f t="shared" si="87"/>
        <v>81.983999999999995</v>
      </c>
      <c r="O359" s="172">
        <f t="shared" si="87"/>
        <v>0.121</v>
      </c>
      <c r="P359" s="172">
        <f t="shared" si="87"/>
        <v>2734.0590000000002</v>
      </c>
      <c r="Q359" s="121"/>
      <c r="R359" s="172">
        <f t="shared" si="88"/>
        <v>0</v>
      </c>
      <c r="S359" s="172">
        <f t="shared" si="88"/>
        <v>0</v>
      </c>
      <c r="T359" s="172">
        <f t="shared" si="88"/>
        <v>3123.047</v>
      </c>
      <c r="U359" s="172">
        <f t="shared" si="88"/>
        <v>0</v>
      </c>
      <c r="V359" s="172">
        <f t="shared" si="88"/>
        <v>450.37600000000003</v>
      </c>
      <c r="W359" s="172">
        <f t="shared" si="88"/>
        <v>0</v>
      </c>
      <c r="X359" s="172">
        <f t="shared" si="88"/>
        <v>19742.777000000002</v>
      </c>
      <c r="Y359" s="172">
        <f t="shared" si="88"/>
        <v>0</v>
      </c>
      <c r="AQ359" s="3"/>
    </row>
    <row r="360" spans="3:43" x14ac:dyDescent="0.25">
      <c r="AQ360" s="3"/>
    </row>
    <row r="361" spans="3:43" x14ac:dyDescent="0.2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25">
      <c r="C362" s="75"/>
      <c r="AQ362" s="3"/>
    </row>
    <row r="363" spans="3:43" x14ac:dyDescent="0.25">
      <c r="E363" s="75" t="s">
        <v>910</v>
      </c>
      <c r="G363" s="61"/>
      <c r="I363" t="s">
        <v>152</v>
      </c>
      <c r="AQ363" s="3"/>
    </row>
    <row r="364" spans="3:43" x14ac:dyDescent="0.25">
      <c r="E364" s="75"/>
      <c r="F364" s="116" t="s">
        <v>245</v>
      </c>
      <c r="G364" s="116" t="s">
        <v>205</v>
      </c>
      <c r="H364" s="95"/>
      <c r="I364" s="95"/>
      <c r="J364" s="147">
        <f t="shared" ref="J364:J370" si="89">(1 - J315) * J114</f>
        <v>9515.2792068689614</v>
      </c>
      <c r="K364" s="117"/>
      <c r="L364" s="147">
        <f t="shared" ref="L364:L370" si="90">(1 - L315) * L114</f>
        <v>194.15732053654204</v>
      </c>
      <c r="M364" s="117"/>
      <c r="N364" s="147">
        <f t="shared" ref="N364:Q370" si="91">(1 - N315) * N114</f>
        <v>40.792261027243072</v>
      </c>
      <c r="O364" s="147">
        <f t="shared" si="91"/>
        <v>0</v>
      </c>
      <c r="P364" s="147">
        <f t="shared" si="91"/>
        <v>0</v>
      </c>
      <c r="Q364" s="147">
        <f t="shared" si="91"/>
        <v>8.2746504407193999</v>
      </c>
      <c r="R364" s="117"/>
      <c r="S364" s="117"/>
      <c r="T364" s="117"/>
      <c r="U364" s="117"/>
      <c r="V364" s="117"/>
      <c r="W364" s="117"/>
      <c r="X364" s="117"/>
      <c r="Y364" s="117"/>
      <c r="AQ364" s="3"/>
    </row>
    <row r="365" spans="3:43" x14ac:dyDescent="0.25">
      <c r="E365" s="75"/>
      <c r="F365" s="118" t="s">
        <v>246</v>
      </c>
      <c r="G365" s="118" t="s">
        <v>205</v>
      </c>
      <c r="J365" s="193">
        <f t="shared" si="89"/>
        <v>23367.794840799947</v>
      </c>
      <c r="K365" s="126"/>
      <c r="L365" s="193">
        <f t="shared" si="90"/>
        <v>728.73870719507033</v>
      </c>
      <c r="M365" s="126"/>
      <c r="N365" s="193">
        <f t="shared" si="91"/>
        <v>132.70107842090607</v>
      </c>
      <c r="O365" s="193">
        <f t="shared" si="91"/>
        <v>0</v>
      </c>
      <c r="P365" s="193">
        <f t="shared" si="91"/>
        <v>0</v>
      </c>
      <c r="Q365" s="193">
        <f t="shared" si="91"/>
        <v>71.801247328446678</v>
      </c>
      <c r="R365" s="126"/>
      <c r="S365" s="126"/>
      <c r="T365" s="126"/>
      <c r="U365" s="126"/>
      <c r="V365" s="126"/>
      <c r="W365" s="126"/>
      <c r="X365" s="126"/>
      <c r="Y365" s="126"/>
      <c r="AQ365" s="3"/>
    </row>
    <row r="366" spans="3:43" x14ac:dyDescent="0.25">
      <c r="E366" s="75"/>
      <c r="F366" s="118" t="s">
        <v>247</v>
      </c>
      <c r="G366" s="118" t="s">
        <v>205</v>
      </c>
      <c r="J366" s="193">
        <f t="shared" si="89"/>
        <v>33309.560457624102</v>
      </c>
      <c r="K366" s="126"/>
      <c r="L366" s="193">
        <f t="shared" si="90"/>
        <v>716.20316745715036</v>
      </c>
      <c r="M366" s="126"/>
      <c r="N366" s="193">
        <f t="shared" si="91"/>
        <v>191.38840142572562</v>
      </c>
      <c r="O366" s="193">
        <f t="shared" si="91"/>
        <v>0</v>
      </c>
      <c r="P366" s="193">
        <f t="shared" si="91"/>
        <v>0</v>
      </c>
      <c r="Q366" s="193">
        <f t="shared" si="91"/>
        <v>111.46174951794167</v>
      </c>
      <c r="R366" s="126"/>
      <c r="S366" s="126"/>
      <c r="T366" s="126"/>
      <c r="U366" s="126"/>
      <c r="V366" s="126"/>
      <c r="W366" s="126"/>
      <c r="X366" s="126"/>
      <c r="Y366" s="126"/>
      <c r="AQ366" s="3"/>
    </row>
    <row r="367" spans="3:43" x14ac:dyDescent="0.25">
      <c r="E367" s="75"/>
      <c r="F367" s="118" t="s">
        <v>210</v>
      </c>
      <c r="G367" s="118" t="s">
        <v>210</v>
      </c>
      <c r="J367" s="193">
        <f t="shared" si="89"/>
        <v>23672.818078562301</v>
      </c>
      <c r="K367" s="126"/>
      <c r="L367" s="193">
        <f t="shared" si="90"/>
        <v>192.27484819195595</v>
      </c>
      <c r="M367" s="126"/>
      <c r="N367" s="193">
        <f t="shared" si="91"/>
        <v>9.7868951703031648</v>
      </c>
      <c r="O367" s="193">
        <f t="shared" si="91"/>
        <v>0</v>
      </c>
      <c r="P367" s="193">
        <f t="shared" si="91"/>
        <v>0</v>
      </c>
      <c r="Q367" s="193">
        <f t="shared" si="91"/>
        <v>99.173871059072027</v>
      </c>
      <c r="R367" s="126"/>
      <c r="S367" s="126"/>
      <c r="T367" s="126"/>
      <c r="U367" s="126"/>
      <c r="V367" s="126"/>
      <c r="W367" s="126"/>
      <c r="X367" s="126"/>
      <c r="Y367" s="126"/>
      <c r="AQ367" s="3"/>
    </row>
    <row r="368" spans="3:43" x14ac:dyDescent="0.25">
      <c r="E368" s="75"/>
      <c r="F368" s="118" t="s">
        <v>248</v>
      </c>
      <c r="G368" s="118" t="s">
        <v>249</v>
      </c>
      <c r="J368" s="193">
        <f t="shared" si="89"/>
        <v>0</v>
      </c>
      <c r="K368" s="126"/>
      <c r="L368" s="193">
        <f t="shared" si="90"/>
        <v>0</v>
      </c>
      <c r="M368" s="126"/>
      <c r="N368" s="193">
        <f t="shared" si="91"/>
        <v>440.14232560023925</v>
      </c>
      <c r="O368" s="193">
        <f t="shared" si="91"/>
        <v>0</v>
      </c>
      <c r="P368" s="193">
        <f t="shared" si="91"/>
        <v>0</v>
      </c>
      <c r="Q368" s="193">
        <f t="shared" si="91"/>
        <v>0</v>
      </c>
      <c r="R368" s="126"/>
      <c r="S368" s="126"/>
      <c r="T368" s="126"/>
      <c r="U368" s="126"/>
      <c r="V368" s="126"/>
      <c r="W368" s="126"/>
      <c r="X368" s="126"/>
      <c r="Y368" s="126"/>
      <c r="AQ368" s="3"/>
    </row>
    <row r="369" spans="5:43" x14ac:dyDescent="0.25">
      <c r="E369" s="75"/>
      <c r="F369" s="118" t="s">
        <v>250</v>
      </c>
      <c r="G369" s="118" t="s">
        <v>249</v>
      </c>
      <c r="J369" s="193">
        <f t="shared" si="89"/>
        <v>0</v>
      </c>
      <c r="K369" s="126"/>
      <c r="L369" s="193">
        <f t="shared" si="90"/>
        <v>0</v>
      </c>
      <c r="M369" s="126"/>
      <c r="N369" s="193">
        <f t="shared" si="91"/>
        <v>9.5968452278402463</v>
      </c>
      <c r="O369" s="193">
        <f t="shared" si="91"/>
        <v>0</v>
      </c>
      <c r="P369" s="193">
        <f t="shared" si="91"/>
        <v>0</v>
      </c>
      <c r="Q369" s="193">
        <f t="shared" si="91"/>
        <v>0</v>
      </c>
      <c r="R369" s="126"/>
      <c r="S369" s="126"/>
      <c r="T369" s="126"/>
      <c r="U369" s="126"/>
      <c r="V369" s="126"/>
      <c r="W369" s="126"/>
      <c r="X369" s="126"/>
      <c r="Y369" s="126"/>
      <c r="AQ369" s="3"/>
    </row>
    <row r="370" spans="5:43" x14ac:dyDescent="0.25">
      <c r="E370" s="75"/>
      <c r="F370" s="120" t="s">
        <v>251</v>
      </c>
      <c r="G370" s="120" t="s">
        <v>252</v>
      </c>
      <c r="H370" s="96"/>
      <c r="I370" s="96"/>
      <c r="J370" s="172">
        <f t="shared" si="89"/>
        <v>0</v>
      </c>
      <c r="K370" s="121"/>
      <c r="L370" s="172">
        <f t="shared" si="90"/>
        <v>0</v>
      </c>
      <c r="M370" s="121"/>
      <c r="N370" s="172">
        <f t="shared" si="91"/>
        <v>6.1189223308312082</v>
      </c>
      <c r="O370" s="172">
        <f t="shared" si="91"/>
        <v>0</v>
      </c>
      <c r="P370" s="172">
        <f t="shared" si="91"/>
        <v>0</v>
      </c>
      <c r="Q370" s="172">
        <f t="shared" si="91"/>
        <v>0</v>
      </c>
      <c r="R370" s="121"/>
      <c r="S370" s="121"/>
      <c r="T370" s="121"/>
      <c r="U370" s="121"/>
      <c r="V370" s="121"/>
      <c r="W370" s="121"/>
      <c r="X370" s="121"/>
      <c r="Y370" s="121"/>
      <c r="AQ370" s="3"/>
    </row>
    <row r="371" spans="5:43" x14ac:dyDescent="0.25">
      <c r="AQ371" s="3"/>
    </row>
    <row r="372" spans="5:43" x14ac:dyDescent="0.25">
      <c r="E372" s="75" t="s">
        <v>911</v>
      </c>
      <c r="G372" s="61"/>
      <c r="I372" t="s">
        <v>152</v>
      </c>
      <c r="AQ372" s="3"/>
    </row>
    <row r="373" spans="5:43" x14ac:dyDescent="0.25">
      <c r="E373" s="75"/>
      <c r="F373" s="116" t="s">
        <v>245</v>
      </c>
      <c r="G373" s="116" t="s">
        <v>205</v>
      </c>
      <c r="H373" s="95"/>
      <c r="I373" s="95"/>
      <c r="J373" s="147">
        <f t="shared" ref="J373:J379" si="92">(1 - J324) * J161</f>
        <v>12611.796323670675</v>
      </c>
      <c r="K373" s="117"/>
      <c r="L373" s="147">
        <f t="shared" ref="L373:L379" si="93">(1 - L324) * L161</f>
        <v>255.1043857238121</v>
      </c>
      <c r="M373" s="117"/>
      <c r="N373" s="147">
        <f t="shared" ref="N373:Q379" si="94">(1 - N324) * N161</f>
        <v>140.7726790798551</v>
      </c>
      <c r="O373" s="147">
        <f t="shared" si="94"/>
        <v>14.803412397906968</v>
      </c>
      <c r="P373" s="147">
        <f t="shared" si="94"/>
        <v>58.341522023660723</v>
      </c>
      <c r="Q373" s="147">
        <f t="shared" si="94"/>
        <v>16.12989778964285</v>
      </c>
      <c r="R373" s="117"/>
      <c r="S373" s="117"/>
      <c r="T373" s="117"/>
      <c r="U373" s="117"/>
      <c r="V373" s="117"/>
      <c r="W373" s="117"/>
      <c r="X373" s="117"/>
      <c r="Y373" s="117"/>
      <c r="AQ373" s="3"/>
    </row>
    <row r="374" spans="5:43" x14ac:dyDescent="0.25">
      <c r="E374" s="75"/>
      <c r="F374" s="118" t="s">
        <v>246</v>
      </c>
      <c r="G374" s="118" t="s">
        <v>205</v>
      </c>
      <c r="J374" s="193">
        <f t="shared" si="92"/>
        <v>31334.478320211951</v>
      </c>
      <c r="K374" s="126"/>
      <c r="L374" s="193">
        <f t="shared" si="93"/>
        <v>952.96711359491223</v>
      </c>
      <c r="M374" s="126"/>
      <c r="N374" s="193">
        <f t="shared" si="94"/>
        <v>473.572084916189</v>
      </c>
      <c r="O374" s="193">
        <f t="shared" si="94"/>
        <v>53.82238231634841</v>
      </c>
      <c r="P374" s="193">
        <f t="shared" si="94"/>
        <v>174.17617002937166</v>
      </c>
      <c r="Q374" s="193">
        <f t="shared" si="94"/>
        <v>149.71693893019662</v>
      </c>
      <c r="R374" s="126"/>
      <c r="S374" s="126"/>
      <c r="T374" s="126"/>
      <c r="U374" s="126"/>
      <c r="V374" s="126"/>
      <c r="W374" s="126"/>
      <c r="X374" s="126"/>
      <c r="Y374" s="126"/>
      <c r="AQ374" s="3"/>
    </row>
    <row r="375" spans="5:43" x14ac:dyDescent="0.25">
      <c r="E375" s="75"/>
      <c r="F375" s="118" t="s">
        <v>247</v>
      </c>
      <c r="G375" s="118" t="s">
        <v>205</v>
      </c>
      <c r="J375" s="193">
        <f t="shared" si="92"/>
        <v>46818.323852753841</v>
      </c>
      <c r="K375" s="126"/>
      <c r="L375" s="193">
        <f t="shared" si="93"/>
        <v>976.06032650998111</v>
      </c>
      <c r="M375" s="126"/>
      <c r="N375" s="193">
        <f t="shared" si="94"/>
        <v>594.35782715218318</v>
      </c>
      <c r="O375" s="193">
        <f t="shared" si="94"/>
        <v>54.272146826870227</v>
      </c>
      <c r="P375" s="193">
        <f t="shared" si="94"/>
        <v>146.18792958931837</v>
      </c>
      <c r="Q375" s="193">
        <f t="shared" si="94"/>
        <v>239.32916952029953</v>
      </c>
      <c r="R375" s="126"/>
      <c r="S375" s="126"/>
      <c r="T375" s="126"/>
      <c r="U375" s="126"/>
      <c r="V375" s="126"/>
      <c r="W375" s="126"/>
      <c r="X375" s="126"/>
      <c r="Y375" s="126"/>
      <c r="AQ375" s="3"/>
    </row>
    <row r="376" spans="5:43" x14ac:dyDescent="0.25">
      <c r="E376" s="75"/>
      <c r="F376" s="118" t="s">
        <v>210</v>
      </c>
      <c r="G376" s="118" t="s">
        <v>210</v>
      </c>
      <c r="J376" s="193">
        <f t="shared" si="92"/>
        <v>30297.064473092207</v>
      </c>
      <c r="K376" s="126"/>
      <c r="L376" s="193">
        <f t="shared" si="93"/>
        <v>219.49460743385103</v>
      </c>
      <c r="M376" s="126"/>
      <c r="N376" s="193">
        <f t="shared" si="94"/>
        <v>22.751667693158694</v>
      </c>
      <c r="O376" s="193">
        <f t="shared" si="94"/>
        <v>0.67531980635964195</v>
      </c>
      <c r="P376" s="193">
        <f t="shared" si="94"/>
        <v>6.3574030480447403</v>
      </c>
      <c r="Q376" s="193">
        <f t="shared" si="94"/>
        <v>115.27511631200406</v>
      </c>
      <c r="R376" s="126"/>
      <c r="S376" s="126"/>
      <c r="T376" s="126"/>
      <c r="U376" s="126"/>
      <c r="V376" s="126"/>
      <c r="W376" s="126"/>
      <c r="X376" s="126"/>
      <c r="Y376" s="126"/>
      <c r="AQ376" s="3"/>
    </row>
    <row r="377" spans="5:43" x14ac:dyDescent="0.25">
      <c r="E377" s="75"/>
      <c r="F377" s="118" t="s">
        <v>248</v>
      </c>
      <c r="G377" s="118" t="s">
        <v>249</v>
      </c>
      <c r="J377" s="193">
        <f t="shared" si="92"/>
        <v>0</v>
      </c>
      <c r="K377" s="126"/>
      <c r="L377" s="193">
        <f t="shared" si="93"/>
        <v>0</v>
      </c>
      <c r="M377" s="126"/>
      <c r="N377" s="193">
        <f t="shared" si="94"/>
        <v>2265.2786740892393</v>
      </c>
      <c r="O377" s="193">
        <f t="shared" si="94"/>
        <v>0</v>
      </c>
      <c r="P377" s="193">
        <f t="shared" si="94"/>
        <v>1258.038263292847</v>
      </c>
      <c r="Q377" s="193">
        <f t="shared" si="94"/>
        <v>0</v>
      </c>
      <c r="R377" s="126"/>
      <c r="S377" s="126"/>
      <c r="T377" s="126"/>
      <c r="U377" s="126"/>
      <c r="V377" s="126"/>
      <c r="W377" s="126"/>
      <c r="X377" s="126"/>
      <c r="Y377" s="126"/>
      <c r="AQ377" s="3"/>
    </row>
    <row r="378" spans="5:43" x14ac:dyDescent="0.25">
      <c r="E378" s="75"/>
      <c r="F378" s="118" t="s">
        <v>250</v>
      </c>
      <c r="G378" s="118" t="s">
        <v>249</v>
      </c>
      <c r="J378" s="193">
        <f t="shared" si="92"/>
        <v>0</v>
      </c>
      <c r="K378" s="126"/>
      <c r="L378" s="193">
        <f t="shared" si="93"/>
        <v>0</v>
      </c>
      <c r="M378" s="126"/>
      <c r="N378" s="193">
        <f t="shared" si="94"/>
        <v>2.4240931416952902</v>
      </c>
      <c r="O378" s="193">
        <f t="shared" si="94"/>
        <v>0</v>
      </c>
      <c r="P378" s="193">
        <f t="shared" si="94"/>
        <v>0</v>
      </c>
      <c r="Q378" s="193">
        <f t="shared" si="94"/>
        <v>0</v>
      </c>
      <c r="R378" s="126"/>
      <c r="S378" s="126"/>
      <c r="T378" s="126"/>
      <c r="U378" s="126"/>
      <c r="V378" s="126"/>
      <c r="W378" s="126"/>
      <c r="X378" s="126"/>
      <c r="Y378" s="126"/>
      <c r="AQ378" s="3"/>
    </row>
    <row r="379" spans="5:43" x14ac:dyDescent="0.25">
      <c r="E379" s="75"/>
      <c r="F379" s="120" t="s">
        <v>251</v>
      </c>
      <c r="G379" s="120" t="s">
        <v>252</v>
      </c>
      <c r="H379" s="96"/>
      <c r="I379" s="96"/>
      <c r="J379" s="172">
        <f t="shared" si="92"/>
        <v>0</v>
      </c>
      <c r="K379" s="121"/>
      <c r="L379" s="172">
        <f t="shared" si="93"/>
        <v>0</v>
      </c>
      <c r="M379" s="121"/>
      <c r="N379" s="172">
        <f t="shared" si="94"/>
        <v>53.540933279278356</v>
      </c>
      <c r="O379" s="172">
        <f t="shared" si="94"/>
        <v>15.171734769675718</v>
      </c>
      <c r="P379" s="172">
        <f t="shared" si="94"/>
        <v>4.2881251429995126</v>
      </c>
      <c r="Q379" s="172">
        <f t="shared" si="94"/>
        <v>0</v>
      </c>
      <c r="R379" s="121"/>
      <c r="S379" s="121"/>
      <c r="T379" s="121"/>
      <c r="U379" s="121"/>
      <c r="V379" s="121"/>
      <c r="W379" s="121"/>
      <c r="X379" s="121"/>
      <c r="Y379" s="121"/>
      <c r="AQ379" s="3"/>
    </row>
    <row r="380" spans="5:43" x14ac:dyDescent="0.25">
      <c r="AQ380" s="3"/>
    </row>
    <row r="381" spans="5:43" x14ac:dyDescent="0.25">
      <c r="E381" s="75" t="s">
        <v>909</v>
      </c>
      <c r="G381" s="61"/>
      <c r="I381" t="s">
        <v>152</v>
      </c>
      <c r="AQ381" s="3"/>
    </row>
    <row r="382" spans="5:43" x14ac:dyDescent="0.25">
      <c r="E382" s="75"/>
      <c r="F382" s="116" t="s">
        <v>245</v>
      </c>
      <c r="G382" s="116" t="s">
        <v>205</v>
      </c>
      <c r="H382" s="95"/>
      <c r="I382" s="95"/>
      <c r="J382" s="147">
        <f t="shared" ref="J382:J388" si="95">J67+J364+J373</f>
        <v>602010.79580819397</v>
      </c>
      <c r="K382" s="117"/>
      <c r="L382" s="147">
        <f t="shared" ref="L382:L388" si="96">L67+L364+L373</f>
        <v>12707.339973037098</v>
      </c>
      <c r="M382" s="117"/>
      <c r="N382" s="147">
        <f t="shared" ref="N382:Q388" si="97">N67+N364+N373</f>
        <v>52316.889447630383</v>
      </c>
      <c r="O382" s="147">
        <f t="shared" si="97"/>
        <v>217.79555482583385</v>
      </c>
      <c r="P382" s="147">
        <f t="shared" si="97"/>
        <v>12835.630644695153</v>
      </c>
      <c r="Q382" s="147">
        <f t="shared" si="97"/>
        <v>5961.8800051746312</v>
      </c>
      <c r="R382" s="117"/>
      <c r="S382" s="117"/>
      <c r="T382" s="117"/>
      <c r="U382" s="117"/>
      <c r="V382" s="117"/>
      <c r="W382" s="117"/>
      <c r="X382" s="117"/>
      <c r="Y382" s="117"/>
      <c r="AQ382" s="3"/>
    </row>
    <row r="383" spans="5:43" x14ac:dyDescent="0.25">
      <c r="E383" s="75"/>
      <c r="F383" s="118" t="s">
        <v>246</v>
      </c>
      <c r="G383" s="118" t="s">
        <v>205</v>
      </c>
      <c r="J383" s="193">
        <f t="shared" si="95"/>
        <v>1485357.3777113075</v>
      </c>
      <c r="K383" s="126"/>
      <c r="L383" s="193">
        <f t="shared" si="96"/>
        <v>47217.024014175433</v>
      </c>
      <c r="M383" s="126"/>
      <c r="N383" s="193">
        <f t="shared" si="97"/>
        <v>184596.24993942573</v>
      </c>
      <c r="O383" s="193">
        <f t="shared" si="97"/>
        <v>704.53490666034918</v>
      </c>
      <c r="P383" s="193">
        <f t="shared" si="97"/>
        <v>45372.127970731373</v>
      </c>
      <c r="Q383" s="193">
        <f t="shared" si="97"/>
        <v>24728.581351992561</v>
      </c>
      <c r="R383" s="126"/>
      <c r="S383" s="126"/>
      <c r="T383" s="126"/>
      <c r="U383" s="126"/>
      <c r="V383" s="126"/>
      <c r="W383" s="126"/>
      <c r="X383" s="126"/>
      <c r="Y383" s="126"/>
      <c r="AQ383" s="3"/>
    </row>
    <row r="384" spans="5:43" x14ac:dyDescent="0.25">
      <c r="E384" s="75"/>
      <c r="F384" s="118" t="s">
        <v>247</v>
      </c>
      <c r="G384" s="118" t="s">
        <v>205</v>
      </c>
      <c r="J384" s="193">
        <f t="shared" si="95"/>
        <v>2224654.7633966957</v>
      </c>
      <c r="K384" s="126"/>
      <c r="L384" s="193">
        <f t="shared" si="96"/>
        <v>48972.297940638353</v>
      </c>
      <c r="M384" s="126"/>
      <c r="N384" s="193">
        <f t="shared" si="97"/>
        <v>208340.13991075184</v>
      </c>
      <c r="O384" s="193">
        <f t="shared" si="97"/>
        <v>1024.0707684571598</v>
      </c>
      <c r="P384" s="193">
        <f t="shared" si="97"/>
        <v>59645.352949352302</v>
      </c>
      <c r="Q384" s="193">
        <f t="shared" si="97"/>
        <v>74346.95288920337</v>
      </c>
      <c r="R384" s="126"/>
      <c r="S384" s="126"/>
      <c r="T384" s="126"/>
      <c r="U384" s="126"/>
      <c r="V384" s="126"/>
      <c r="W384" s="126"/>
      <c r="X384" s="126"/>
      <c r="Y384" s="126"/>
      <c r="AQ384" s="3"/>
    </row>
    <row r="385" spans="3:43" x14ac:dyDescent="0.25">
      <c r="E385" s="75"/>
      <c r="F385" s="118" t="s">
        <v>210</v>
      </c>
      <c r="G385" s="118" t="s">
        <v>210</v>
      </c>
      <c r="J385" s="193">
        <f t="shared" si="95"/>
        <v>1547748.3978608586</v>
      </c>
      <c r="K385" s="126"/>
      <c r="L385" s="193">
        <f t="shared" si="96"/>
        <v>37579.546715428587</v>
      </c>
      <c r="M385" s="126"/>
      <c r="N385" s="193">
        <f t="shared" si="97"/>
        <v>5844.503271673907</v>
      </c>
      <c r="O385" s="193">
        <f t="shared" si="97"/>
        <v>10.845822578113598</v>
      </c>
      <c r="P385" s="193">
        <f t="shared" si="97"/>
        <v>224.67233104076109</v>
      </c>
      <c r="Q385" s="193">
        <f t="shared" si="97"/>
        <v>1129.7489873710761</v>
      </c>
      <c r="R385" s="126"/>
      <c r="S385" s="126"/>
      <c r="T385" s="126"/>
      <c r="U385" s="126"/>
      <c r="V385" s="126"/>
      <c r="W385" s="126"/>
      <c r="X385" s="126"/>
      <c r="Y385" s="126"/>
      <c r="AQ385" s="3"/>
    </row>
    <row r="386" spans="3:43" x14ac:dyDescent="0.25">
      <c r="E386" s="75"/>
      <c r="F386" s="118" t="s">
        <v>248</v>
      </c>
      <c r="G386" s="118" t="s">
        <v>249</v>
      </c>
      <c r="J386" s="193">
        <f t="shared" si="95"/>
        <v>0</v>
      </c>
      <c r="K386" s="126"/>
      <c r="L386" s="193">
        <f t="shared" si="96"/>
        <v>0</v>
      </c>
      <c r="M386" s="126"/>
      <c r="N386" s="193">
        <f t="shared" si="97"/>
        <v>256944.42099968946</v>
      </c>
      <c r="O386" s="193">
        <f t="shared" si="97"/>
        <v>465</v>
      </c>
      <c r="P386" s="193">
        <f t="shared" si="97"/>
        <v>59240.038263292845</v>
      </c>
      <c r="Q386" s="193">
        <f t="shared" si="97"/>
        <v>0</v>
      </c>
      <c r="R386" s="126"/>
      <c r="S386" s="126"/>
      <c r="T386" s="126"/>
      <c r="U386" s="126"/>
      <c r="V386" s="126"/>
      <c r="W386" s="126"/>
      <c r="X386" s="126"/>
      <c r="Y386" s="126"/>
      <c r="AQ386" s="3"/>
    </row>
    <row r="387" spans="3:43" x14ac:dyDescent="0.25">
      <c r="E387" s="75"/>
      <c r="F387" s="118" t="s">
        <v>250</v>
      </c>
      <c r="G387" s="118" t="s">
        <v>249</v>
      </c>
      <c r="J387" s="193">
        <f t="shared" si="95"/>
        <v>0</v>
      </c>
      <c r="K387" s="126"/>
      <c r="L387" s="193">
        <f t="shared" si="96"/>
        <v>0</v>
      </c>
      <c r="M387" s="126"/>
      <c r="N387" s="193">
        <f t="shared" si="97"/>
        <v>15283.993541109261</v>
      </c>
      <c r="O387" s="193">
        <f t="shared" si="97"/>
        <v>104.53150684931506</v>
      </c>
      <c r="P387" s="193">
        <f t="shared" si="97"/>
        <v>2483.0904109589042</v>
      </c>
      <c r="Q387" s="193">
        <f t="shared" si="97"/>
        <v>0</v>
      </c>
      <c r="R387" s="126"/>
      <c r="S387" s="126"/>
      <c r="T387" s="126"/>
      <c r="U387" s="126"/>
      <c r="V387" s="126"/>
      <c r="W387" s="126"/>
      <c r="X387" s="126"/>
      <c r="Y387" s="126"/>
      <c r="AQ387" s="3"/>
    </row>
    <row r="388" spans="3:43" x14ac:dyDescent="0.25">
      <c r="E388" s="75"/>
      <c r="F388" s="120" t="s">
        <v>251</v>
      </c>
      <c r="G388" s="120" t="s">
        <v>252</v>
      </c>
      <c r="H388" s="96"/>
      <c r="I388" s="96"/>
      <c r="J388" s="172">
        <f t="shared" si="95"/>
        <v>0</v>
      </c>
      <c r="K388" s="121"/>
      <c r="L388" s="172">
        <f t="shared" si="96"/>
        <v>0</v>
      </c>
      <c r="M388" s="121"/>
      <c r="N388" s="172">
        <f t="shared" si="97"/>
        <v>30951.974855610108</v>
      </c>
      <c r="O388" s="172">
        <f t="shared" si="97"/>
        <v>129.57873476967572</v>
      </c>
      <c r="P388" s="172">
        <f t="shared" si="97"/>
        <v>10429.701125142999</v>
      </c>
      <c r="Q388" s="172">
        <f t="shared" si="97"/>
        <v>0</v>
      </c>
      <c r="R388" s="121"/>
      <c r="S388" s="121"/>
      <c r="T388" s="121"/>
      <c r="U388" s="121"/>
      <c r="V388" s="121"/>
      <c r="W388" s="121"/>
      <c r="X388" s="121"/>
      <c r="Y388" s="121"/>
      <c r="AQ388" s="3"/>
    </row>
    <row r="389" spans="3:43" x14ac:dyDescent="0.25">
      <c r="AQ389" s="3"/>
    </row>
    <row r="390" spans="3:43" x14ac:dyDescent="0.2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25">
      <c r="C391" s="75"/>
      <c r="AQ391" s="3"/>
    </row>
    <row r="392" spans="3:43" x14ac:dyDescent="0.25">
      <c r="E392" s="75" t="s">
        <v>921</v>
      </c>
      <c r="G392" s="61"/>
      <c r="I392" t="s">
        <v>152</v>
      </c>
      <c r="AQ392" s="3"/>
    </row>
    <row r="393" spans="3:43" x14ac:dyDescent="0.25">
      <c r="E393" s="75"/>
      <c r="F393" s="116" t="s">
        <v>245</v>
      </c>
      <c r="G393" s="116" t="s">
        <v>205</v>
      </c>
      <c r="H393" s="95"/>
      <c r="I393" s="95"/>
      <c r="J393" s="117"/>
      <c r="K393" s="117"/>
      <c r="L393" s="147">
        <f t="shared" ref="L393:L399" si="98">(1 - L315) * L123</f>
        <v>55.358455261062183</v>
      </c>
      <c r="M393" s="117"/>
      <c r="N393" s="147">
        <f t="shared" ref="N393:P399" si="99">(1 - N315) * N123</f>
        <v>425.30587144055164</v>
      </c>
      <c r="O393" s="147">
        <f t="shared" si="99"/>
        <v>0</v>
      </c>
      <c r="P393" s="147">
        <f t="shared" si="99"/>
        <v>0</v>
      </c>
      <c r="Q393" s="117"/>
      <c r="R393" s="117"/>
      <c r="S393" s="117"/>
      <c r="T393" s="117"/>
      <c r="U393" s="117"/>
      <c r="V393" s="117"/>
      <c r="W393" s="117"/>
      <c r="X393" s="117"/>
      <c r="Y393" s="117"/>
      <c r="AQ393" s="3"/>
    </row>
    <row r="394" spans="3:43" x14ac:dyDescent="0.25">
      <c r="E394" s="75"/>
      <c r="F394" s="118" t="s">
        <v>246</v>
      </c>
      <c r="G394" s="118" t="s">
        <v>205</v>
      </c>
      <c r="J394" s="126"/>
      <c r="K394" s="126"/>
      <c r="L394" s="193">
        <f t="shared" si="98"/>
        <v>206.50852438723953</v>
      </c>
      <c r="M394" s="126"/>
      <c r="N394" s="193">
        <f t="shared" si="99"/>
        <v>1122.520926684972</v>
      </c>
      <c r="O394" s="193">
        <f t="shared" si="99"/>
        <v>0</v>
      </c>
      <c r="P394" s="193">
        <f t="shared" si="99"/>
        <v>0</v>
      </c>
      <c r="Q394" s="126"/>
      <c r="R394" s="126"/>
      <c r="S394" s="126"/>
      <c r="T394" s="126"/>
      <c r="U394" s="126"/>
      <c r="V394" s="126"/>
      <c r="W394" s="126"/>
      <c r="X394" s="126"/>
      <c r="Y394" s="126"/>
      <c r="AQ394" s="3"/>
    </row>
    <row r="395" spans="3:43" x14ac:dyDescent="0.25">
      <c r="E395" s="75"/>
      <c r="F395" s="118" t="s">
        <v>247</v>
      </c>
      <c r="G395" s="118" t="s">
        <v>205</v>
      </c>
      <c r="J395" s="126"/>
      <c r="K395" s="126"/>
      <c r="L395" s="193">
        <f t="shared" si="98"/>
        <v>205.21126398213886</v>
      </c>
      <c r="M395" s="126"/>
      <c r="N395" s="193">
        <f t="shared" si="99"/>
        <v>1411.0738217948594</v>
      </c>
      <c r="O395" s="193">
        <f t="shared" si="99"/>
        <v>0</v>
      </c>
      <c r="P395" s="193">
        <f t="shared" si="99"/>
        <v>0</v>
      </c>
      <c r="Q395" s="126"/>
      <c r="R395" s="126"/>
      <c r="S395" s="126"/>
      <c r="T395" s="126"/>
      <c r="U395" s="126"/>
      <c r="V395" s="126"/>
      <c r="W395" s="126"/>
      <c r="X395" s="126"/>
      <c r="Y395" s="126"/>
      <c r="AQ395" s="3"/>
    </row>
    <row r="396" spans="3:43" x14ac:dyDescent="0.25">
      <c r="E396" s="75"/>
      <c r="F396" s="118" t="s">
        <v>210</v>
      </c>
      <c r="G396" s="118" t="s">
        <v>210</v>
      </c>
      <c r="J396" s="126"/>
      <c r="K396" s="126"/>
      <c r="L396" s="193">
        <f t="shared" si="98"/>
        <v>44.141406678367339</v>
      </c>
      <c r="M396" s="126"/>
      <c r="N396" s="193">
        <f t="shared" si="99"/>
        <v>40.653256861259301</v>
      </c>
      <c r="O396" s="193">
        <f t="shared" si="99"/>
        <v>0</v>
      </c>
      <c r="P396" s="193">
        <f t="shared" si="99"/>
        <v>0</v>
      </c>
      <c r="Q396" s="126"/>
      <c r="R396" s="126"/>
      <c r="S396" s="126"/>
      <c r="T396" s="126"/>
      <c r="U396" s="126"/>
      <c r="V396" s="126"/>
      <c r="W396" s="126"/>
      <c r="X396" s="126"/>
      <c r="Y396" s="126"/>
      <c r="AQ396" s="3"/>
    </row>
    <row r="397" spans="3:43" x14ac:dyDescent="0.25">
      <c r="E397" s="75"/>
      <c r="F397" s="118" t="s">
        <v>248</v>
      </c>
      <c r="G397" s="118" t="s">
        <v>249</v>
      </c>
      <c r="J397" s="126"/>
      <c r="K397" s="126"/>
      <c r="L397" s="193">
        <f t="shared" si="98"/>
        <v>0</v>
      </c>
      <c r="M397" s="126"/>
      <c r="N397" s="193">
        <f t="shared" si="99"/>
        <v>3539.4287014421384</v>
      </c>
      <c r="O397" s="193">
        <f t="shared" si="99"/>
        <v>0</v>
      </c>
      <c r="P397" s="193">
        <f t="shared" si="99"/>
        <v>0</v>
      </c>
      <c r="Q397" s="126"/>
      <c r="R397" s="126"/>
      <c r="S397" s="126"/>
      <c r="T397" s="126"/>
      <c r="U397" s="126"/>
      <c r="V397" s="126"/>
      <c r="W397" s="126"/>
      <c r="X397" s="126"/>
      <c r="Y397" s="126"/>
      <c r="AQ397" s="3"/>
    </row>
    <row r="398" spans="3:43" x14ac:dyDescent="0.25">
      <c r="E398" s="75"/>
      <c r="F398" s="118" t="s">
        <v>250</v>
      </c>
      <c r="G398" s="118" t="s">
        <v>249</v>
      </c>
      <c r="J398" s="126"/>
      <c r="K398" s="126"/>
      <c r="L398" s="193">
        <f t="shared" si="98"/>
        <v>0</v>
      </c>
      <c r="M398" s="126"/>
      <c r="N398" s="193">
        <f t="shared" si="99"/>
        <v>0</v>
      </c>
      <c r="O398" s="193">
        <f t="shared" si="99"/>
        <v>0</v>
      </c>
      <c r="P398" s="193">
        <f t="shared" si="99"/>
        <v>0</v>
      </c>
      <c r="Q398" s="126"/>
      <c r="R398" s="126"/>
      <c r="S398" s="126"/>
      <c r="T398" s="126"/>
      <c r="U398" s="126"/>
      <c r="V398" s="126"/>
      <c r="W398" s="126"/>
      <c r="X398" s="126"/>
      <c r="Y398" s="126"/>
      <c r="AQ398" s="3"/>
    </row>
    <row r="399" spans="3:43" x14ac:dyDescent="0.25">
      <c r="E399" s="75"/>
      <c r="F399" s="120" t="s">
        <v>251</v>
      </c>
      <c r="G399" s="120" t="s">
        <v>252</v>
      </c>
      <c r="H399" s="96"/>
      <c r="I399" s="96"/>
      <c r="J399" s="121"/>
      <c r="K399" s="121"/>
      <c r="L399" s="172">
        <f t="shared" si="98"/>
        <v>0</v>
      </c>
      <c r="M399" s="121"/>
      <c r="N399" s="172">
        <f t="shared" si="99"/>
        <v>224.84369801698335</v>
      </c>
      <c r="O399" s="172">
        <f t="shared" si="99"/>
        <v>0</v>
      </c>
      <c r="P399" s="172">
        <f t="shared" si="99"/>
        <v>0</v>
      </c>
      <c r="Q399" s="121"/>
      <c r="R399" s="121"/>
      <c r="S399" s="121"/>
      <c r="T399" s="121"/>
      <c r="U399" s="121"/>
      <c r="V399" s="121"/>
      <c r="W399" s="121"/>
      <c r="X399" s="121"/>
      <c r="Y399" s="121"/>
      <c r="AQ399" s="3"/>
    </row>
    <row r="400" spans="3:43" x14ac:dyDescent="0.25">
      <c r="AQ400" s="3"/>
    </row>
    <row r="401" spans="5:43" x14ac:dyDescent="0.25">
      <c r="E401" s="75" t="s">
        <v>922</v>
      </c>
      <c r="G401" s="61"/>
      <c r="I401" t="s">
        <v>152</v>
      </c>
      <c r="AQ401" s="3"/>
    </row>
    <row r="402" spans="5:43" x14ac:dyDescent="0.25">
      <c r="E402" s="75"/>
      <c r="F402" s="116" t="s">
        <v>245</v>
      </c>
      <c r="G402" s="116" t="s">
        <v>205</v>
      </c>
      <c r="H402" s="95"/>
      <c r="I402" s="95"/>
      <c r="J402" s="117"/>
      <c r="K402" s="117"/>
      <c r="L402" s="147">
        <f t="shared" ref="L402:L408" si="100">(1 - L324) * L170</f>
        <v>25.271001104441982</v>
      </c>
      <c r="M402" s="117"/>
      <c r="N402" s="147">
        <f t="shared" ref="N402:P408" si="101">(1 - N324) * N170</f>
        <v>793.16051076425106</v>
      </c>
      <c r="O402" s="147">
        <f t="shared" si="101"/>
        <v>15.599612664567612</v>
      </c>
      <c r="P402" s="147">
        <f t="shared" si="101"/>
        <v>620.16184569613972</v>
      </c>
      <c r="Q402" s="117"/>
      <c r="R402" s="117"/>
      <c r="S402" s="117"/>
      <c r="T402" s="117"/>
      <c r="U402" s="117"/>
      <c r="V402" s="117"/>
      <c r="W402" s="117"/>
      <c r="X402" s="117"/>
      <c r="Y402" s="117"/>
      <c r="AQ402" s="3"/>
    </row>
    <row r="403" spans="5:43" x14ac:dyDescent="0.25">
      <c r="E403" s="75"/>
      <c r="F403" s="118" t="s">
        <v>246</v>
      </c>
      <c r="G403" s="118" t="s">
        <v>205</v>
      </c>
      <c r="J403" s="126"/>
      <c r="K403" s="126"/>
      <c r="L403" s="193">
        <f t="shared" si="100"/>
        <v>92.558450788164023</v>
      </c>
      <c r="M403" s="126"/>
      <c r="N403" s="193">
        <f t="shared" si="101"/>
        <v>2336.1747532831537</v>
      </c>
      <c r="O403" s="193">
        <f t="shared" si="101"/>
        <v>40.019228832661213</v>
      </c>
      <c r="P403" s="193">
        <f t="shared" si="101"/>
        <v>1661.6416355457</v>
      </c>
      <c r="Q403" s="126"/>
      <c r="R403" s="126"/>
      <c r="S403" s="126"/>
      <c r="T403" s="126"/>
      <c r="U403" s="126"/>
      <c r="V403" s="126"/>
      <c r="W403" s="126"/>
      <c r="X403" s="126"/>
      <c r="Y403" s="126"/>
      <c r="AQ403" s="3"/>
    </row>
    <row r="404" spans="5:43" x14ac:dyDescent="0.25">
      <c r="E404" s="75"/>
      <c r="F404" s="118" t="s">
        <v>247</v>
      </c>
      <c r="G404" s="118" t="s">
        <v>205</v>
      </c>
      <c r="J404" s="126"/>
      <c r="K404" s="126"/>
      <c r="L404" s="193">
        <f t="shared" si="100"/>
        <v>91.121662578397576</v>
      </c>
      <c r="M404" s="126"/>
      <c r="N404" s="193">
        <f t="shared" si="101"/>
        <v>2500.1397992521165</v>
      </c>
      <c r="O404" s="193">
        <f t="shared" si="101"/>
        <v>69.459680459761387</v>
      </c>
      <c r="P404" s="193">
        <f t="shared" si="101"/>
        <v>2667.6844261048277</v>
      </c>
      <c r="Q404" s="126"/>
      <c r="R404" s="126"/>
      <c r="S404" s="126"/>
      <c r="T404" s="126"/>
      <c r="U404" s="126"/>
      <c r="V404" s="126"/>
      <c r="W404" s="126"/>
      <c r="X404" s="126"/>
      <c r="Y404" s="126"/>
      <c r="AQ404" s="3"/>
    </row>
    <row r="405" spans="5:43" x14ac:dyDescent="0.25">
      <c r="E405" s="75"/>
      <c r="F405" s="118" t="s">
        <v>210</v>
      </c>
      <c r="G405" s="118" t="s">
        <v>210</v>
      </c>
      <c r="J405" s="126"/>
      <c r="K405" s="126"/>
      <c r="L405" s="193">
        <f t="shared" si="100"/>
        <v>24.774038154772807</v>
      </c>
      <c r="M405" s="126"/>
      <c r="N405" s="193">
        <f t="shared" si="101"/>
        <v>47.525705847931498</v>
      </c>
      <c r="O405" s="193">
        <f t="shared" si="101"/>
        <v>0.86170133370179214</v>
      </c>
      <c r="P405" s="193">
        <f t="shared" si="101"/>
        <v>5.2978358733706168</v>
      </c>
      <c r="Q405" s="126"/>
      <c r="R405" s="126"/>
      <c r="S405" s="126"/>
      <c r="T405" s="126"/>
      <c r="U405" s="126"/>
      <c r="V405" s="126"/>
      <c r="W405" s="126"/>
      <c r="X405" s="126"/>
      <c r="Y405" s="126"/>
      <c r="AQ405" s="3"/>
    </row>
    <row r="406" spans="5:43" x14ac:dyDescent="0.25">
      <c r="E406" s="75"/>
      <c r="F406" s="118" t="s">
        <v>248</v>
      </c>
      <c r="G406" s="118" t="s">
        <v>249</v>
      </c>
      <c r="J406" s="126"/>
      <c r="K406" s="126"/>
      <c r="L406" s="193">
        <f t="shared" si="100"/>
        <v>0</v>
      </c>
      <c r="M406" s="126"/>
      <c r="N406" s="193">
        <f t="shared" si="101"/>
        <v>5255.6684157984382</v>
      </c>
      <c r="O406" s="193">
        <f t="shared" si="101"/>
        <v>101.29797095394629</v>
      </c>
      <c r="P406" s="193">
        <f t="shared" si="101"/>
        <v>3160.4578416452641</v>
      </c>
      <c r="Q406" s="126"/>
      <c r="R406" s="126"/>
      <c r="S406" s="126"/>
      <c r="T406" s="126"/>
      <c r="U406" s="126"/>
      <c r="V406" s="126"/>
      <c r="W406" s="126"/>
      <c r="X406" s="126"/>
      <c r="Y406" s="126"/>
      <c r="AQ406" s="3"/>
    </row>
    <row r="407" spans="5:43" x14ac:dyDescent="0.25">
      <c r="E407" s="75"/>
      <c r="F407" s="118" t="s">
        <v>250</v>
      </c>
      <c r="G407" s="118" t="s">
        <v>249</v>
      </c>
      <c r="J407" s="126"/>
      <c r="K407" s="126"/>
      <c r="L407" s="193">
        <f t="shared" si="100"/>
        <v>0</v>
      </c>
      <c r="M407" s="126"/>
      <c r="N407" s="193">
        <f t="shared" si="101"/>
        <v>0.1346115313794071</v>
      </c>
      <c r="O407" s="193">
        <f t="shared" si="101"/>
        <v>0</v>
      </c>
      <c r="P407" s="193">
        <f t="shared" si="101"/>
        <v>0</v>
      </c>
      <c r="Q407" s="126"/>
      <c r="R407" s="126"/>
      <c r="S407" s="126"/>
      <c r="T407" s="126"/>
      <c r="U407" s="126"/>
      <c r="V407" s="126"/>
      <c r="W407" s="126"/>
      <c r="X407" s="126"/>
      <c r="Y407" s="126"/>
      <c r="AQ407" s="3"/>
    </row>
    <row r="408" spans="5:43" x14ac:dyDescent="0.25">
      <c r="E408" s="75"/>
      <c r="F408" s="120" t="s">
        <v>251</v>
      </c>
      <c r="G408" s="120" t="s">
        <v>252</v>
      </c>
      <c r="H408" s="96"/>
      <c r="I408" s="96"/>
      <c r="J408" s="121"/>
      <c r="K408" s="121"/>
      <c r="L408" s="172">
        <f t="shared" si="100"/>
        <v>0</v>
      </c>
      <c r="M408" s="121"/>
      <c r="N408" s="172">
        <f t="shared" si="101"/>
        <v>143.76931669567804</v>
      </c>
      <c r="O408" s="172">
        <f t="shared" si="101"/>
        <v>3.2861061777460177</v>
      </c>
      <c r="P408" s="172">
        <f t="shared" si="101"/>
        <v>17.327712501737185</v>
      </c>
      <c r="Q408" s="121"/>
      <c r="R408" s="121"/>
      <c r="S408" s="121"/>
      <c r="T408" s="121"/>
      <c r="U408" s="121"/>
      <c r="V408" s="121"/>
      <c r="W408" s="121"/>
      <c r="X408" s="121"/>
      <c r="Y408" s="121"/>
      <c r="AQ408" s="3"/>
    </row>
    <row r="409" spans="5:43" x14ac:dyDescent="0.25">
      <c r="AQ409" s="3"/>
    </row>
    <row r="410" spans="5:43" x14ac:dyDescent="0.25">
      <c r="E410" s="75" t="s">
        <v>923</v>
      </c>
      <c r="G410" s="61"/>
      <c r="I410" t="s">
        <v>152</v>
      </c>
      <c r="AQ410" s="3"/>
    </row>
    <row r="411" spans="5:43" x14ac:dyDescent="0.25">
      <c r="E411" s="75"/>
      <c r="F411" s="116" t="s">
        <v>245</v>
      </c>
      <c r="G411" s="116" t="s">
        <v>205</v>
      </c>
      <c r="H411" s="95"/>
      <c r="I411" s="95"/>
      <c r="J411" s="117"/>
      <c r="K411" s="117"/>
      <c r="L411" s="147">
        <f t="shared" ref="L411:L417" si="102">L76+L393+L402</f>
        <v>29239.036394881394</v>
      </c>
      <c r="M411" s="117"/>
      <c r="N411" s="147">
        <f t="shared" ref="N411:P417" si="103">N76+N393+N402</f>
        <v>61314.012209823435</v>
      </c>
      <c r="O411" s="147">
        <f t="shared" si="103"/>
        <v>1251.9314886475556</v>
      </c>
      <c r="P411" s="147">
        <f t="shared" si="103"/>
        <v>46630.95866177616</v>
      </c>
      <c r="Q411" s="117"/>
      <c r="R411" s="117"/>
      <c r="S411" s="117"/>
      <c r="T411" s="117"/>
      <c r="U411" s="117"/>
      <c r="V411" s="117"/>
      <c r="W411" s="117"/>
      <c r="X411" s="117"/>
      <c r="Y411" s="117"/>
      <c r="AQ411" s="3"/>
    </row>
    <row r="412" spans="5:43" x14ac:dyDescent="0.25">
      <c r="E412" s="75"/>
      <c r="F412" s="118" t="s">
        <v>246</v>
      </c>
      <c r="G412" s="118" t="s">
        <v>205</v>
      </c>
      <c r="J412" s="126"/>
      <c r="K412" s="126"/>
      <c r="L412" s="193">
        <f t="shared" si="102"/>
        <v>109112.81907394057</v>
      </c>
      <c r="M412" s="126"/>
      <c r="N412" s="193">
        <f t="shared" si="103"/>
        <v>203749.23801086581</v>
      </c>
      <c r="O412" s="193">
        <f t="shared" si="103"/>
        <v>3999.9312058479591</v>
      </c>
      <c r="P412" s="193">
        <f t="shared" si="103"/>
        <v>154419.18043087015</v>
      </c>
      <c r="Q412" s="126"/>
      <c r="R412" s="126"/>
      <c r="S412" s="126"/>
      <c r="T412" s="126"/>
      <c r="U412" s="126"/>
      <c r="V412" s="126"/>
      <c r="W412" s="126"/>
      <c r="X412" s="126"/>
      <c r="Y412" s="126"/>
      <c r="AQ412" s="3"/>
    </row>
    <row r="413" spans="5:43" x14ac:dyDescent="0.25">
      <c r="E413" s="75"/>
      <c r="F413" s="118" t="s">
        <v>247</v>
      </c>
      <c r="G413" s="118" t="s">
        <v>205</v>
      </c>
      <c r="J413" s="126"/>
      <c r="K413" s="126"/>
      <c r="L413" s="193">
        <f t="shared" si="102"/>
        <v>112908.00413609308</v>
      </c>
      <c r="M413" s="126"/>
      <c r="N413" s="193">
        <f t="shared" si="103"/>
        <v>238232.71538326287</v>
      </c>
      <c r="O413" s="193">
        <f t="shared" si="103"/>
        <v>5606.1926268730349</v>
      </c>
      <c r="P413" s="193">
        <f t="shared" si="103"/>
        <v>212103.76671936832</v>
      </c>
      <c r="Q413" s="126"/>
      <c r="R413" s="126"/>
      <c r="S413" s="126"/>
      <c r="T413" s="126"/>
      <c r="U413" s="126"/>
      <c r="V413" s="126"/>
      <c r="W413" s="126"/>
      <c r="X413" s="126"/>
      <c r="Y413" s="126"/>
      <c r="AQ413" s="3"/>
    </row>
    <row r="414" spans="5:43" x14ac:dyDescent="0.25">
      <c r="E414" s="75"/>
      <c r="F414" s="118" t="s">
        <v>210</v>
      </c>
      <c r="G414" s="118" t="s">
        <v>210</v>
      </c>
      <c r="J414" s="126"/>
      <c r="K414" s="126"/>
      <c r="L414" s="193">
        <f t="shared" si="102"/>
        <v>31884.297465325126</v>
      </c>
      <c r="M414" s="126"/>
      <c r="N414" s="193">
        <f t="shared" si="103"/>
        <v>3086.0681502696375</v>
      </c>
      <c r="O414" s="193">
        <f t="shared" si="103"/>
        <v>34.763377239548305</v>
      </c>
      <c r="P414" s="193">
        <f t="shared" si="103"/>
        <v>287.58411485930162</v>
      </c>
      <c r="Q414" s="126"/>
      <c r="R414" s="126"/>
      <c r="S414" s="126"/>
      <c r="T414" s="126"/>
      <c r="U414" s="126"/>
      <c r="V414" s="126"/>
      <c r="W414" s="126"/>
      <c r="X414" s="126"/>
      <c r="Y414" s="126"/>
      <c r="AQ414" s="3"/>
    </row>
    <row r="415" spans="5:43" x14ac:dyDescent="0.25">
      <c r="E415" s="75"/>
      <c r="F415" s="118" t="s">
        <v>248</v>
      </c>
      <c r="G415" s="118" t="s">
        <v>249</v>
      </c>
      <c r="J415" s="126"/>
      <c r="K415" s="126"/>
      <c r="L415" s="193">
        <f t="shared" si="102"/>
        <v>0</v>
      </c>
      <c r="M415" s="126"/>
      <c r="N415" s="193">
        <f t="shared" si="103"/>
        <v>346800.0971172406</v>
      </c>
      <c r="O415" s="193">
        <f t="shared" si="103"/>
        <v>4621.2979709539459</v>
      </c>
      <c r="P415" s="193">
        <f t="shared" si="103"/>
        <v>200017.45784164526</v>
      </c>
      <c r="Q415" s="126"/>
      <c r="R415" s="126"/>
      <c r="S415" s="126"/>
      <c r="T415" s="126"/>
      <c r="U415" s="126"/>
      <c r="V415" s="126"/>
      <c r="W415" s="126"/>
      <c r="X415" s="126"/>
      <c r="Y415" s="126"/>
      <c r="AQ415" s="3"/>
    </row>
    <row r="416" spans="5:43" x14ac:dyDescent="0.25">
      <c r="E416" s="75"/>
      <c r="F416" s="118" t="s">
        <v>250</v>
      </c>
      <c r="G416" s="118" t="s">
        <v>249</v>
      </c>
      <c r="J416" s="126"/>
      <c r="K416" s="126"/>
      <c r="L416" s="193">
        <f t="shared" si="102"/>
        <v>0</v>
      </c>
      <c r="M416" s="126"/>
      <c r="N416" s="193">
        <f t="shared" si="103"/>
        <v>3904.4962553669961</v>
      </c>
      <c r="O416" s="193">
        <f t="shared" si="103"/>
        <v>66.739726027397253</v>
      </c>
      <c r="P416" s="193">
        <f t="shared" si="103"/>
        <v>2999.0904109589042</v>
      </c>
      <c r="Q416" s="126"/>
      <c r="R416" s="126"/>
      <c r="S416" s="126"/>
      <c r="T416" s="126"/>
      <c r="U416" s="126"/>
      <c r="V416" s="126"/>
      <c r="W416" s="126"/>
      <c r="X416" s="126"/>
      <c r="Y416" s="126"/>
      <c r="AQ416" s="3"/>
    </row>
    <row r="417" spans="3:43" x14ac:dyDescent="0.25">
      <c r="E417" s="75"/>
      <c r="F417" s="120" t="s">
        <v>251</v>
      </c>
      <c r="G417" s="120" t="s">
        <v>252</v>
      </c>
      <c r="H417" s="96"/>
      <c r="I417" s="96"/>
      <c r="J417" s="121"/>
      <c r="K417" s="121"/>
      <c r="L417" s="172">
        <f t="shared" si="102"/>
        <v>0</v>
      </c>
      <c r="M417" s="121"/>
      <c r="N417" s="172">
        <f t="shared" si="103"/>
        <v>37909.002014712671</v>
      </c>
      <c r="O417" s="172">
        <f t="shared" si="103"/>
        <v>859.70410617774598</v>
      </c>
      <c r="P417" s="172">
        <f t="shared" si="103"/>
        <v>29986.734712501737</v>
      </c>
      <c r="Q417" s="121"/>
      <c r="R417" s="121"/>
      <c r="S417" s="121"/>
      <c r="T417" s="121"/>
      <c r="U417" s="121"/>
      <c r="V417" s="121"/>
      <c r="W417" s="121"/>
      <c r="X417" s="121"/>
      <c r="Y417" s="121"/>
      <c r="AQ417" s="3"/>
    </row>
    <row r="418" spans="3:43" x14ac:dyDescent="0.25">
      <c r="AQ418" s="3"/>
    </row>
    <row r="419" spans="3:43" x14ac:dyDescent="0.2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25">
      <c r="C420" s="75"/>
      <c r="AQ420" s="3"/>
    </row>
    <row r="421" spans="3:43" x14ac:dyDescent="0.25">
      <c r="E421" s="75" t="s">
        <v>918</v>
      </c>
      <c r="G421" s="61"/>
      <c r="I421" t="s">
        <v>152</v>
      </c>
      <c r="AQ421" s="3"/>
    </row>
    <row r="422" spans="3:43" x14ac:dyDescent="0.25">
      <c r="E422" s="75"/>
      <c r="F422" s="116" t="s">
        <v>245</v>
      </c>
      <c r="G422" s="116" t="s">
        <v>205</v>
      </c>
      <c r="H422" s="95"/>
      <c r="I422" s="95"/>
      <c r="J422" s="117"/>
      <c r="K422" s="117"/>
      <c r="L422" s="147">
        <f t="shared" ref="L422:L428" si="104">(1 - L315) * L132</f>
        <v>69.721823902616478</v>
      </c>
      <c r="M422" s="117"/>
      <c r="N422" s="147">
        <f t="shared" ref="N422:P428" si="105">(1 - N315) * N132</f>
        <v>725.68698640580362</v>
      </c>
      <c r="O422" s="147">
        <f t="shared" si="105"/>
        <v>0</v>
      </c>
      <c r="P422" s="147">
        <f t="shared" si="105"/>
        <v>0</v>
      </c>
      <c r="Q422" s="117"/>
      <c r="R422" s="117"/>
      <c r="S422" s="117"/>
      <c r="T422" s="117"/>
      <c r="U422" s="117"/>
      <c r="V422" s="117"/>
      <c r="W422" s="117"/>
      <c r="X422" s="117"/>
      <c r="Y422" s="117"/>
      <c r="AQ422" s="3"/>
    </row>
    <row r="423" spans="3:43" x14ac:dyDescent="0.25">
      <c r="E423" s="75"/>
      <c r="F423" s="118" t="s">
        <v>246</v>
      </c>
      <c r="G423" s="118" t="s">
        <v>205</v>
      </c>
      <c r="J423" s="126"/>
      <c r="K423" s="126"/>
      <c r="L423" s="193">
        <f t="shared" si="104"/>
        <v>259.03657757198005</v>
      </c>
      <c r="M423" s="126"/>
      <c r="N423" s="193">
        <f t="shared" si="105"/>
        <v>2153.2428748447487</v>
      </c>
      <c r="O423" s="193">
        <f t="shared" si="105"/>
        <v>0</v>
      </c>
      <c r="P423" s="193">
        <f t="shared" si="105"/>
        <v>0</v>
      </c>
      <c r="Q423" s="126"/>
      <c r="R423" s="126"/>
      <c r="S423" s="126"/>
      <c r="T423" s="126"/>
      <c r="U423" s="126"/>
      <c r="V423" s="126"/>
      <c r="W423" s="126"/>
      <c r="X423" s="126"/>
      <c r="Y423" s="126"/>
      <c r="AQ423" s="3"/>
    </row>
    <row r="424" spans="3:43" x14ac:dyDescent="0.25">
      <c r="E424" s="75"/>
      <c r="F424" s="118" t="s">
        <v>247</v>
      </c>
      <c r="G424" s="118" t="s">
        <v>205</v>
      </c>
      <c r="J424" s="126"/>
      <c r="K424" s="126"/>
      <c r="L424" s="193">
        <f t="shared" si="104"/>
        <v>265.31771291344904</v>
      </c>
      <c r="M424" s="126"/>
      <c r="N424" s="193">
        <f t="shared" si="105"/>
        <v>2614.5781063022578</v>
      </c>
      <c r="O424" s="193">
        <f t="shared" si="105"/>
        <v>0</v>
      </c>
      <c r="P424" s="193">
        <f t="shared" si="105"/>
        <v>0</v>
      </c>
      <c r="Q424" s="126"/>
      <c r="R424" s="126"/>
      <c r="S424" s="126"/>
      <c r="T424" s="126"/>
      <c r="U424" s="126"/>
      <c r="V424" s="126"/>
      <c r="W424" s="126"/>
      <c r="X424" s="126"/>
      <c r="Y424" s="126"/>
      <c r="AQ424" s="3"/>
    </row>
    <row r="425" spans="3:43" x14ac:dyDescent="0.25">
      <c r="E425" s="75"/>
      <c r="F425" s="118" t="s">
        <v>210</v>
      </c>
      <c r="G425" s="118" t="s">
        <v>210</v>
      </c>
      <c r="J425" s="126"/>
      <c r="K425" s="126"/>
      <c r="L425" s="193">
        <f t="shared" si="104"/>
        <v>56.462856751749015</v>
      </c>
      <c r="M425" s="126"/>
      <c r="N425" s="193">
        <f t="shared" si="105"/>
        <v>37.641904501165996</v>
      </c>
      <c r="O425" s="193">
        <f t="shared" si="105"/>
        <v>0</v>
      </c>
      <c r="P425" s="193">
        <f t="shared" si="105"/>
        <v>0</v>
      </c>
      <c r="Q425" s="126"/>
      <c r="R425" s="126"/>
      <c r="S425" s="126"/>
      <c r="T425" s="126"/>
      <c r="U425" s="126"/>
      <c r="V425" s="126"/>
      <c r="W425" s="126"/>
      <c r="X425" s="126"/>
      <c r="Y425" s="126"/>
      <c r="AQ425" s="3"/>
    </row>
    <row r="426" spans="3:43" x14ac:dyDescent="0.25">
      <c r="E426" s="75"/>
      <c r="F426" s="118" t="s">
        <v>248</v>
      </c>
      <c r="G426" s="118" t="s">
        <v>249</v>
      </c>
      <c r="J426" s="126"/>
      <c r="K426" s="126"/>
      <c r="L426" s="193">
        <f t="shared" si="104"/>
        <v>0</v>
      </c>
      <c r="M426" s="126"/>
      <c r="N426" s="193">
        <f t="shared" si="105"/>
        <v>5264.007813680073</v>
      </c>
      <c r="O426" s="193">
        <f t="shared" si="105"/>
        <v>0</v>
      </c>
      <c r="P426" s="193">
        <f t="shared" si="105"/>
        <v>0</v>
      </c>
      <c r="Q426" s="126"/>
      <c r="R426" s="126"/>
      <c r="S426" s="126"/>
      <c r="T426" s="126"/>
      <c r="U426" s="126"/>
      <c r="V426" s="126"/>
      <c r="W426" s="126"/>
      <c r="X426" s="126"/>
      <c r="Y426" s="126"/>
      <c r="AQ426" s="3"/>
    </row>
    <row r="427" spans="3:43" x14ac:dyDescent="0.25">
      <c r="E427" s="75"/>
      <c r="F427" s="118" t="s">
        <v>250</v>
      </c>
      <c r="G427" s="118" t="s">
        <v>249</v>
      </c>
      <c r="J427" s="126"/>
      <c r="K427" s="126"/>
      <c r="L427" s="193">
        <f t="shared" si="104"/>
        <v>0</v>
      </c>
      <c r="M427" s="126"/>
      <c r="N427" s="193">
        <f t="shared" si="105"/>
        <v>2.1046138599710291</v>
      </c>
      <c r="O427" s="193">
        <f t="shared" si="105"/>
        <v>0</v>
      </c>
      <c r="P427" s="193">
        <f t="shared" si="105"/>
        <v>0</v>
      </c>
      <c r="Q427" s="126"/>
      <c r="R427" s="126"/>
      <c r="S427" s="126"/>
      <c r="T427" s="126"/>
      <c r="U427" s="126"/>
      <c r="V427" s="126"/>
      <c r="W427" s="126"/>
      <c r="X427" s="126"/>
      <c r="Y427" s="126"/>
      <c r="AQ427" s="3"/>
    </row>
    <row r="428" spans="3:43" x14ac:dyDescent="0.25">
      <c r="E428" s="75"/>
      <c r="F428" s="120" t="s">
        <v>251</v>
      </c>
      <c r="G428" s="120" t="s">
        <v>252</v>
      </c>
      <c r="H428" s="96"/>
      <c r="I428" s="96"/>
      <c r="J428" s="121"/>
      <c r="K428" s="121"/>
      <c r="L428" s="172">
        <f t="shared" si="104"/>
        <v>0</v>
      </c>
      <c r="M428" s="121"/>
      <c r="N428" s="172">
        <f t="shared" si="105"/>
        <v>304.88859495388499</v>
      </c>
      <c r="O428" s="172">
        <f t="shared" si="105"/>
        <v>0</v>
      </c>
      <c r="P428" s="172">
        <f t="shared" si="105"/>
        <v>0</v>
      </c>
      <c r="Q428" s="121"/>
      <c r="R428" s="121"/>
      <c r="S428" s="121"/>
      <c r="T428" s="121"/>
      <c r="U428" s="121"/>
      <c r="V428" s="121"/>
      <c r="W428" s="121"/>
      <c r="X428" s="121"/>
      <c r="Y428" s="121"/>
      <c r="AQ428" s="3"/>
    </row>
    <row r="429" spans="3:43" x14ac:dyDescent="0.25">
      <c r="AQ429" s="3"/>
    </row>
    <row r="430" spans="3:43" x14ac:dyDescent="0.25">
      <c r="E430" s="75" t="s">
        <v>919</v>
      </c>
      <c r="G430" s="61"/>
      <c r="I430" t="s">
        <v>152</v>
      </c>
      <c r="AQ430" s="3"/>
    </row>
    <row r="431" spans="3:43" x14ac:dyDescent="0.25">
      <c r="E431" s="75"/>
      <c r="F431" s="116" t="s">
        <v>245</v>
      </c>
      <c r="G431" s="116" t="s">
        <v>205</v>
      </c>
      <c r="H431" s="95"/>
      <c r="I431" s="95"/>
      <c r="J431" s="117"/>
      <c r="K431" s="117"/>
      <c r="L431" s="147">
        <f t="shared" ref="L431:L437" si="106">(1 - L324) * L179</f>
        <v>10.001778846915148</v>
      </c>
      <c r="M431" s="117"/>
      <c r="N431" s="147">
        <f t="shared" ref="N431:P437" si="107">(1 - N324) * N179</f>
        <v>956.27617223742493</v>
      </c>
      <c r="O431" s="147">
        <f t="shared" si="107"/>
        <v>229.78881377044527</v>
      </c>
      <c r="P431" s="147">
        <f t="shared" si="107"/>
        <v>761.65288960730402</v>
      </c>
      <c r="Q431" s="117"/>
      <c r="R431" s="117"/>
      <c r="S431" s="117"/>
      <c r="T431" s="117"/>
      <c r="U431" s="117"/>
      <c r="V431" s="117"/>
      <c r="W431" s="117"/>
      <c r="X431" s="117"/>
      <c r="Y431" s="117"/>
      <c r="AQ431" s="3"/>
    </row>
    <row r="432" spans="3:43" x14ac:dyDescent="0.25">
      <c r="E432" s="75"/>
      <c r="F432" s="118" t="s">
        <v>246</v>
      </c>
      <c r="G432" s="118" t="s">
        <v>205</v>
      </c>
      <c r="J432" s="126"/>
      <c r="K432" s="126"/>
      <c r="L432" s="193">
        <f t="shared" si="106"/>
        <v>37.356353052115097</v>
      </c>
      <c r="M432" s="126"/>
      <c r="N432" s="193">
        <f t="shared" si="107"/>
        <v>2741.7461031320759</v>
      </c>
      <c r="O432" s="193">
        <f t="shared" si="107"/>
        <v>660.07150889190882</v>
      </c>
      <c r="P432" s="193">
        <f t="shared" si="107"/>
        <v>2381.7313661031617</v>
      </c>
      <c r="Q432" s="126"/>
      <c r="R432" s="126"/>
      <c r="S432" s="126"/>
      <c r="T432" s="126"/>
      <c r="U432" s="126"/>
      <c r="V432" s="126"/>
      <c r="W432" s="126"/>
      <c r="X432" s="126"/>
      <c r="Y432" s="126"/>
      <c r="AQ432" s="3"/>
    </row>
    <row r="433" spans="3:43" x14ac:dyDescent="0.25">
      <c r="E433" s="75"/>
      <c r="F433" s="118" t="s">
        <v>247</v>
      </c>
      <c r="G433" s="118" t="s">
        <v>205</v>
      </c>
      <c r="J433" s="126"/>
      <c r="K433" s="126"/>
      <c r="L433" s="193">
        <f t="shared" si="106"/>
        <v>39.312833346085114</v>
      </c>
      <c r="M433" s="126"/>
      <c r="N433" s="193">
        <f t="shared" si="107"/>
        <v>3646.2096854000383</v>
      </c>
      <c r="O433" s="193">
        <f t="shared" si="107"/>
        <v>835.0343197273736</v>
      </c>
      <c r="P433" s="193">
        <f t="shared" si="107"/>
        <v>3038.1919186592395</v>
      </c>
      <c r="Q433" s="126"/>
      <c r="R433" s="126"/>
      <c r="S433" s="126"/>
      <c r="T433" s="126"/>
      <c r="U433" s="126"/>
      <c r="V433" s="126"/>
      <c r="W433" s="126"/>
      <c r="X433" s="126"/>
      <c r="Y433" s="126"/>
      <c r="AQ433" s="3"/>
    </row>
    <row r="434" spans="3:43" x14ac:dyDescent="0.25">
      <c r="E434" s="75"/>
      <c r="F434" s="118" t="s">
        <v>210</v>
      </c>
      <c r="G434" s="118" t="s">
        <v>210</v>
      </c>
      <c r="J434" s="126"/>
      <c r="K434" s="126"/>
      <c r="L434" s="193">
        <f t="shared" si="106"/>
        <v>4.044740923228213</v>
      </c>
      <c r="M434" s="126"/>
      <c r="N434" s="193">
        <f t="shared" si="107"/>
        <v>31.852334770422171</v>
      </c>
      <c r="O434" s="193">
        <f t="shared" si="107"/>
        <v>6.0319093359125455</v>
      </c>
      <c r="P434" s="193">
        <f t="shared" si="107"/>
        <v>4.2382686986964941</v>
      </c>
      <c r="Q434" s="126"/>
      <c r="R434" s="126"/>
      <c r="S434" s="126"/>
      <c r="T434" s="126"/>
      <c r="U434" s="126"/>
      <c r="V434" s="126"/>
      <c r="W434" s="126"/>
      <c r="X434" s="126"/>
      <c r="Y434" s="126"/>
      <c r="AQ434" s="3"/>
    </row>
    <row r="435" spans="3:43" x14ac:dyDescent="0.25">
      <c r="E435" s="75"/>
      <c r="F435" s="118" t="s">
        <v>248</v>
      </c>
      <c r="G435" s="118" t="s">
        <v>249</v>
      </c>
      <c r="J435" s="126"/>
      <c r="K435" s="126"/>
      <c r="L435" s="193">
        <f t="shared" si="106"/>
        <v>0</v>
      </c>
      <c r="M435" s="126"/>
      <c r="N435" s="193">
        <f t="shared" si="107"/>
        <v>4580.8792638001914</v>
      </c>
      <c r="O435" s="193">
        <f t="shared" si="107"/>
        <v>1006.9018312822261</v>
      </c>
      <c r="P435" s="193">
        <f t="shared" si="107"/>
        <v>4276.4997069030769</v>
      </c>
      <c r="Q435" s="126"/>
      <c r="R435" s="126"/>
      <c r="S435" s="126"/>
      <c r="T435" s="126"/>
      <c r="U435" s="126"/>
      <c r="V435" s="126"/>
      <c r="W435" s="126"/>
      <c r="X435" s="126"/>
      <c r="Y435" s="126"/>
      <c r="AQ435" s="3"/>
    </row>
    <row r="436" spans="3:43" x14ac:dyDescent="0.25">
      <c r="E436" s="75"/>
      <c r="F436" s="118" t="s">
        <v>250</v>
      </c>
      <c r="G436" s="118" t="s">
        <v>249</v>
      </c>
      <c r="J436" s="126"/>
      <c r="K436" s="126"/>
      <c r="L436" s="193">
        <f t="shared" si="106"/>
        <v>0</v>
      </c>
      <c r="M436" s="126"/>
      <c r="N436" s="193">
        <f t="shared" si="107"/>
        <v>0</v>
      </c>
      <c r="O436" s="193">
        <f t="shared" si="107"/>
        <v>0</v>
      </c>
      <c r="P436" s="193">
        <f t="shared" si="107"/>
        <v>0</v>
      </c>
      <c r="Q436" s="126"/>
      <c r="R436" s="126"/>
      <c r="S436" s="126"/>
      <c r="T436" s="126"/>
      <c r="U436" s="126"/>
      <c r="V436" s="126"/>
      <c r="W436" s="126"/>
      <c r="X436" s="126"/>
      <c r="Y436" s="126"/>
      <c r="AQ436" s="3"/>
    </row>
    <row r="437" spans="3:43" x14ac:dyDescent="0.25">
      <c r="E437" s="75"/>
      <c r="F437" s="120" t="s">
        <v>251</v>
      </c>
      <c r="G437" s="120" t="s">
        <v>252</v>
      </c>
      <c r="H437" s="96"/>
      <c r="I437" s="96"/>
      <c r="J437" s="121"/>
      <c r="K437" s="121"/>
      <c r="L437" s="172">
        <f t="shared" si="106"/>
        <v>0</v>
      </c>
      <c r="M437" s="121"/>
      <c r="N437" s="172">
        <f t="shared" si="107"/>
        <v>176.53165741430576</v>
      </c>
      <c r="O437" s="172">
        <f t="shared" si="107"/>
        <v>12.288794516326403</v>
      </c>
      <c r="P437" s="172">
        <f t="shared" si="107"/>
        <v>836.50576315414207</v>
      </c>
      <c r="Q437" s="121"/>
      <c r="R437" s="121"/>
      <c r="S437" s="121"/>
      <c r="T437" s="121"/>
      <c r="U437" s="121"/>
      <c r="V437" s="121"/>
      <c r="W437" s="121"/>
      <c r="X437" s="121"/>
      <c r="Y437" s="121"/>
      <c r="AQ437" s="3"/>
    </row>
    <row r="438" spans="3:43" x14ac:dyDescent="0.25">
      <c r="AQ438" s="3"/>
    </row>
    <row r="439" spans="3:43" x14ac:dyDescent="0.25">
      <c r="E439" s="75" t="s">
        <v>920</v>
      </c>
      <c r="G439" s="61"/>
      <c r="I439" t="s">
        <v>152</v>
      </c>
      <c r="AQ439" s="3"/>
    </row>
    <row r="440" spans="3:43" x14ac:dyDescent="0.25">
      <c r="E440" s="75"/>
      <c r="F440" s="116" t="s">
        <v>245</v>
      </c>
      <c r="G440" s="116" t="s">
        <v>205</v>
      </c>
      <c r="H440" s="95"/>
      <c r="I440" s="95"/>
      <c r="J440" s="117"/>
      <c r="K440" s="117"/>
      <c r="L440" s="147">
        <f t="shared" ref="L440:L446" si="108">L85+L422+L431</f>
        <v>28605.852349137229</v>
      </c>
      <c r="M440" s="117"/>
      <c r="N440" s="147">
        <f t="shared" ref="N440:P446" si="109">N85+N422+N431</f>
        <v>38510.93599480675</v>
      </c>
      <c r="O440" s="147">
        <f t="shared" si="109"/>
        <v>4053.6480152288427</v>
      </c>
      <c r="P440" s="147">
        <f t="shared" si="109"/>
        <v>41853.039640886098</v>
      </c>
      <c r="Q440" s="117"/>
      <c r="R440" s="117"/>
      <c r="S440" s="117"/>
      <c r="T440" s="117"/>
      <c r="U440" s="117"/>
      <c r="V440" s="117"/>
      <c r="W440" s="117"/>
      <c r="X440" s="117"/>
      <c r="Y440" s="117"/>
      <c r="AQ440" s="3"/>
    </row>
    <row r="441" spans="3:43" x14ac:dyDescent="0.25">
      <c r="E441" s="75"/>
      <c r="F441" s="118" t="s">
        <v>246</v>
      </c>
      <c r="G441" s="118" t="s">
        <v>205</v>
      </c>
      <c r="J441" s="126"/>
      <c r="K441" s="126"/>
      <c r="L441" s="193">
        <f t="shared" si="108"/>
        <v>105822.07175925876</v>
      </c>
      <c r="M441" s="126"/>
      <c r="N441" s="193">
        <f t="shared" si="109"/>
        <v>132064.12884288066</v>
      </c>
      <c r="O441" s="193">
        <f t="shared" si="109"/>
        <v>12907.668532934176</v>
      </c>
      <c r="P441" s="193">
        <f t="shared" si="109"/>
        <v>137028.98154531448</v>
      </c>
      <c r="Q441" s="126"/>
      <c r="R441" s="126"/>
      <c r="S441" s="126"/>
      <c r="T441" s="126"/>
      <c r="U441" s="126"/>
      <c r="V441" s="126"/>
      <c r="W441" s="126"/>
      <c r="X441" s="126"/>
      <c r="Y441" s="126"/>
      <c r="AQ441" s="3"/>
    </row>
    <row r="442" spans="3:43" x14ac:dyDescent="0.25">
      <c r="E442" s="75"/>
      <c r="F442" s="118" t="s">
        <v>247</v>
      </c>
      <c r="G442" s="118" t="s">
        <v>205</v>
      </c>
      <c r="J442" s="126"/>
      <c r="K442" s="126"/>
      <c r="L442" s="193">
        <f t="shared" si="108"/>
        <v>114497.07361719586</v>
      </c>
      <c r="M442" s="126"/>
      <c r="N442" s="193">
        <f t="shared" si="109"/>
        <v>155389.03384342484</v>
      </c>
      <c r="O442" s="193">
        <f t="shared" si="109"/>
        <v>18498.087356707507</v>
      </c>
      <c r="P442" s="193">
        <f t="shared" si="109"/>
        <v>181361.67806814201</v>
      </c>
      <c r="Q442" s="126"/>
      <c r="R442" s="126"/>
      <c r="S442" s="126"/>
      <c r="T442" s="126"/>
      <c r="U442" s="126"/>
      <c r="V442" s="126"/>
      <c r="W442" s="126"/>
      <c r="X442" s="126"/>
      <c r="Y442" s="126"/>
      <c r="AQ442" s="3"/>
    </row>
    <row r="443" spans="3:43" x14ac:dyDescent="0.25">
      <c r="E443" s="75"/>
      <c r="F443" s="118" t="s">
        <v>210</v>
      </c>
      <c r="G443" s="118" t="s">
        <v>210</v>
      </c>
      <c r="J443" s="126"/>
      <c r="K443" s="126"/>
      <c r="L443" s="193">
        <f t="shared" si="108"/>
        <v>14685.790975562491</v>
      </c>
      <c r="M443" s="126"/>
      <c r="N443" s="193">
        <f t="shared" si="109"/>
        <v>1330.8012755012887</v>
      </c>
      <c r="O443" s="193">
        <f t="shared" si="109"/>
        <v>70.44509355702094</v>
      </c>
      <c r="P443" s="193">
        <f t="shared" si="109"/>
        <v>140.30431684299413</v>
      </c>
      <c r="Q443" s="126"/>
      <c r="R443" s="126"/>
      <c r="S443" s="126"/>
      <c r="T443" s="126"/>
      <c r="U443" s="126"/>
      <c r="V443" s="126"/>
      <c r="W443" s="126"/>
      <c r="X443" s="126"/>
      <c r="Y443" s="126"/>
      <c r="AQ443" s="3"/>
    </row>
    <row r="444" spans="3:43" x14ac:dyDescent="0.25">
      <c r="E444" s="75"/>
      <c r="F444" s="118" t="s">
        <v>248</v>
      </c>
      <c r="G444" s="118" t="s">
        <v>249</v>
      </c>
      <c r="J444" s="126"/>
      <c r="K444" s="126"/>
      <c r="L444" s="193">
        <f t="shared" si="108"/>
        <v>0</v>
      </c>
      <c r="M444" s="126"/>
      <c r="N444" s="193">
        <f t="shared" si="109"/>
        <v>241073.88707748026</v>
      </c>
      <c r="O444" s="193">
        <f t="shared" si="109"/>
        <v>12846.901831282226</v>
      </c>
      <c r="P444" s="193">
        <f t="shared" si="109"/>
        <v>192533.49970690307</v>
      </c>
      <c r="Q444" s="126"/>
      <c r="R444" s="126"/>
      <c r="S444" s="126"/>
      <c r="T444" s="126"/>
      <c r="U444" s="126"/>
      <c r="V444" s="126"/>
      <c r="W444" s="126"/>
      <c r="X444" s="126"/>
      <c r="Y444" s="126"/>
      <c r="AQ444" s="3"/>
    </row>
    <row r="445" spans="3:43" x14ac:dyDescent="0.25">
      <c r="E445" s="75"/>
      <c r="F445" s="118" t="s">
        <v>250</v>
      </c>
      <c r="G445" s="118" t="s">
        <v>249</v>
      </c>
      <c r="J445" s="126"/>
      <c r="K445" s="126"/>
      <c r="L445" s="193">
        <f t="shared" si="108"/>
        <v>0</v>
      </c>
      <c r="M445" s="126"/>
      <c r="N445" s="193">
        <f t="shared" si="109"/>
        <v>1583.7018741339436</v>
      </c>
      <c r="O445" s="193">
        <f t="shared" si="109"/>
        <v>129.77534246575343</v>
      </c>
      <c r="P445" s="193">
        <f t="shared" si="109"/>
        <v>1930.1698630136987</v>
      </c>
      <c r="Q445" s="126"/>
      <c r="R445" s="126"/>
      <c r="S445" s="126"/>
      <c r="T445" s="126"/>
      <c r="U445" s="126"/>
      <c r="V445" s="126"/>
      <c r="W445" s="126"/>
      <c r="X445" s="126"/>
      <c r="Y445" s="126"/>
      <c r="AQ445" s="3"/>
    </row>
    <row r="446" spans="3:43" x14ac:dyDescent="0.25">
      <c r="E446" s="75"/>
      <c r="F446" s="120" t="s">
        <v>251</v>
      </c>
      <c r="G446" s="120" t="s">
        <v>252</v>
      </c>
      <c r="H446" s="96"/>
      <c r="I446" s="96"/>
      <c r="J446" s="121"/>
      <c r="K446" s="121"/>
      <c r="L446" s="172">
        <f t="shared" si="108"/>
        <v>0</v>
      </c>
      <c r="M446" s="121"/>
      <c r="N446" s="172">
        <f t="shared" si="109"/>
        <v>22382.273252368192</v>
      </c>
      <c r="O446" s="172">
        <f t="shared" si="109"/>
        <v>2257.8437945163264</v>
      </c>
      <c r="P446" s="172">
        <f t="shared" si="109"/>
        <v>24491.119763154144</v>
      </c>
      <c r="Q446" s="121"/>
      <c r="R446" s="121"/>
      <c r="S446" s="121"/>
      <c r="T446" s="121"/>
      <c r="U446" s="121"/>
      <c r="V446" s="121"/>
      <c r="W446" s="121"/>
      <c r="X446" s="121"/>
      <c r="Y446" s="121"/>
      <c r="AQ446" s="3"/>
    </row>
    <row r="447" spans="3:43" x14ac:dyDescent="0.25">
      <c r="AQ447" s="3"/>
    </row>
    <row r="448" spans="3:43" x14ac:dyDescent="0.2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25">
      <c r="C449" s="75"/>
      <c r="AQ449" s="3"/>
    </row>
    <row r="450" spans="3:43" x14ac:dyDescent="0.25">
      <c r="E450" s="75" t="s">
        <v>915</v>
      </c>
      <c r="G450" s="61"/>
      <c r="I450" t="s">
        <v>152</v>
      </c>
      <c r="AQ450" s="3"/>
    </row>
    <row r="451" spans="3:43" x14ac:dyDescent="0.25">
      <c r="E451" s="75"/>
      <c r="F451" s="116" t="s">
        <v>245</v>
      </c>
      <c r="G451" s="116" t="s">
        <v>205</v>
      </c>
      <c r="H451" s="95"/>
      <c r="I451" s="95"/>
      <c r="J451" s="117"/>
      <c r="K451" s="117"/>
      <c r="L451" s="147">
        <f t="shared" ref="L451:L457" si="110">(1 - L315) * L141</f>
        <v>36.267701552162862</v>
      </c>
      <c r="M451" s="117"/>
      <c r="N451" s="147">
        <f t="shared" ref="N451:P457" si="111">(1 - N315) * N141</f>
        <v>384.59101995262432</v>
      </c>
      <c r="O451" s="147">
        <f t="shared" si="111"/>
        <v>0</v>
      </c>
      <c r="P451" s="147">
        <f t="shared" si="111"/>
        <v>0</v>
      </c>
      <c r="Q451" s="117"/>
      <c r="R451" s="117"/>
      <c r="S451" s="117"/>
      <c r="T451" s="117"/>
      <c r="U451" s="117"/>
      <c r="V451" s="117"/>
      <c r="W451" s="117"/>
      <c r="X451" s="117"/>
      <c r="Y451" s="117"/>
      <c r="AQ451" s="3"/>
    </row>
    <row r="452" spans="3:43" x14ac:dyDescent="0.25">
      <c r="E452" s="75"/>
      <c r="F452" s="118" t="s">
        <v>246</v>
      </c>
      <c r="G452" s="118" t="s">
        <v>205</v>
      </c>
      <c r="J452" s="126"/>
      <c r="K452" s="126"/>
      <c r="L452" s="193">
        <f t="shared" si="110"/>
        <v>132.49498644460132</v>
      </c>
      <c r="M452" s="126"/>
      <c r="N452" s="193">
        <f t="shared" si="111"/>
        <v>1391.5598013126009</v>
      </c>
      <c r="O452" s="193">
        <f t="shared" si="111"/>
        <v>0</v>
      </c>
      <c r="P452" s="193">
        <f t="shared" si="111"/>
        <v>0</v>
      </c>
      <c r="Q452" s="126"/>
      <c r="R452" s="126"/>
      <c r="S452" s="126"/>
      <c r="T452" s="126"/>
      <c r="U452" s="126"/>
      <c r="V452" s="126"/>
      <c r="W452" s="126"/>
      <c r="X452" s="126"/>
      <c r="Y452" s="126"/>
      <c r="AQ452" s="3"/>
    </row>
    <row r="453" spans="3:43" x14ac:dyDescent="0.25">
      <c r="E453" s="75"/>
      <c r="F453" s="118" t="s">
        <v>247</v>
      </c>
      <c r="G453" s="118" t="s">
        <v>205</v>
      </c>
      <c r="J453" s="126"/>
      <c r="K453" s="126"/>
      <c r="L453" s="193">
        <f t="shared" si="110"/>
        <v>135.79626567092362</v>
      </c>
      <c r="M453" s="126"/>
      <c r="N453" s="193">
        <f t="shared" si="111"/>
        <v>1603.3812106560188</v>
      </c>
      <c r="O453" s="193">
        <f t="shared" si="111"/>
        <v>0</v>
      </c>
      <c r="P453" s="193">
        <f t="shared" si="111"/>
        <v>0</v>
      </c>
      <c r="Q453" s="126"/>
      <c r="R453" s="126"/>
      <c r="S453" s="126"/>
      <c r="T453" s="126"/>
      <c r="U453" s="126"/>
      <c r="V453" s="126"/>
      <c r="W453" s="126"/>
      <c r="X453" s="126"/>
      <c r="Y453" s="126"/>
      <c r="AQ453" s="3"/>
    </row>
    <row r="454" spans="3:43" x14ac:dyDescent="0.25">
      <c r="E454" s="75"/>
      <c r="F454" s="118" t="s">
        <v>210</v>
      </c>
      <c r="G454" s="118" t="s">
        <v>210</v>
      </c>
      <c r="J454" s="126"/>
      <c r="K454" s="126"/>
      <c r="L454" s="193">
        <f t="shared" si="110"/>
        <v>30.188807409935134</v>
      </c>
      <c r="M454" s="126"/>
      <c r="N454" s="193">
        <f t="shared" si="111"/>
        <v>13.551085620419762</v>
      </c>
      <c r="O454" s="193">
        <f t="shared" si="111"/>
        <v>0</v>
      </c>
      <c r="P454" s="193">
        <f t="shared" si="111"/>
        <v>0</v>
      </c>
      <c r="Q454" s="126"/>
      <c r="R454" s="126"/>
      <c r="S454" s="126"/>
      <c r="T454" s="126"/>
      <c r="U454" s="126"/>
      <c r="V454" s="126"/>
      <c r="W454" s="126"/>
      <c r="X454" s="126"/>
      <c r="Y454" s="126"/>
      <c r="AQ454" s="3"/>
    </row>
    <row r="455" spans="3:43" x14ac:dyDescent="0.25">
      <c r="E455" s="75"/>
      <c r="F455" s="118" t="s">
        <v>248</v>
      </c>
      <c r="G455" s="118" t="s">
        <v>249</v>
      </c>
      <c r="J455" s="126"/>
      <c r="K455" s="126"/>
      <c r="L455" s="193">
        <f t="shared" si="110"/>
        <v>0</v>
      </c>
      <c r="M455" s="126"/>
      <c r="N455" s="193">
        <f t="shared" si="111"/>
        <v>3626.1591597038478</v>
      </c>
      <c r="O455" s="193">
        <f t="shared" si="111"/>
        <v>0</v>
      </c>
      <c r="P455" s="193">
        <f t="shared" si="111"/>
        <v>0</v>
      </c>
      <c r="Q455" s="126"/>
      <c r="R455" s="126"/>
      <c r="S455" s="126"/>
      <c r="T455" s="126"/>
      <c r="U455" s="126"/>
      <c r="V455" s="126"/>
      <c r="W455" s="126"/>
      <c r="X455" s="126"/>
      <c r="Y455" s="126"/>
      <c r="AQ455" s="3"/>
    </row>
    <row r="456" spans="3:43" x14ac:dyDescent="0.25">
      <c r="E456" s="75"/>
      <c r="F456" s="118" t="s">
        <v>250</v>
      </c>
      <c r="G456" s="118" t="s">
        <v>249</v>
      </c>
      <c r="J456" s="126"/>
      <c r="K456" s="126"/>
      <c r="L456" s="193">
        <f t="shared" si="110"/>
        <v>0</v>
      </c>
      <c r="M456" s="126"/>
      <c r="N456" s="193">
        <f t="shared" si="111"/>
        <v>0</v>
      </c>
      <c r="O456" s="193">
        <f t="shared" si="111"/>
        <v>0</v>
      </c>
      <c r="P456" s="193">
        <f t="shared" si="111"/>
        <v>0</v>
      </c>
      <c r="Q456" s="126"/>
      <c r="R456" s="126"/>
      <c r="S456" s="126"/>
      <c r="T456" s="126"/>
      <c r="U456" s="126"/>
      <c r="V456" s="126"/>
      <c r="W456" s="126"/>
      <c r="X456" s="126"/>
      <c r="Y456" s="126"/>
      <c r="AQ456" s="3"/>
    </row>
    <row r="457" spans="3:43" x14ac:dyDescent="0.25">
      <c r="E457" s="75"/>
      <c r="F457" s="120" t="s">
        <v>251</v>
      </c>
      <c r="G457" s="120" t="s">
        <v>252</v>
      </c>
      <c r="H457" s="96"/>
      <c r="I457" s="96"/>
      <c r="J457" s="121"/>
      <c r="K457" s="121"/>
      <c r="L457" s="172">
        <f t="shared" si="110"/>
        <v>0</v>
      </c>
      <c r="M457" s="121"/>
      <c r="N457" s="172">
        <f t="shared" si="111"/>
        <v>211.98930009761014</v>
      </c>
      <c r="O457" s="172">
        <f t="shared" si="111"/>
        <v>0</v>
      </c>
      <c r="P457" s="172">
        <f t="shared" si="111"/>
        <v>0</v>
      </c>
      <c r="Q457" s="121"/>
      <c r="R457" s="121"/>
      <c r="S457" s="121"/>
      <c r="T457" s="121"/>
      <c r="U457" s="121"/>
      <c r="V457" s="121"/>
      <c r="W457" s="121"/>
      <c r="X457" s="121"/>
      <c r="Y457" s="121"/>
      <c r="AQ457" s="3"/>
    </row>
    <row r="458" spans="3:43" x14ac:dyDescent="0.25">
      <c r="AQ458" s="3"/>
    </row>
    <row r="459" spans="3:43" x14ac:dyDescent="0.25">
      <c r="E459" s="75" t="s">
        <v>916</v>
      </c>
      <c r="G459" s="61"/>
      <c r="I459" t="s">
        <v>152</v>
      </c>
      <c r="AQ459" s="3"/>
    </row>
    <row r="460" spans="3:43" x14ac:dyDescent="0.25">
      <c r="E460" s="75"/>
      <c r="F460" s="116" t="s">
        <v>245</v>
      </c>
      <c r="G460" s="116" t="s">
        <v>205</v>
      </c>
      <c r="H460" s="95"/>
      <c r="I460" s="95"/>
      <c r="J460" s="117"/>
      <c r="K460" s="117"/>
      <c r="L460" s="147">
        <f t="shared" ref="L460:L466" si="112">(1 - L324) * L188</f>
        <v>59.623414642819348</v>
      </c>
      <c r="M460" s="117"/>
      <c r="N460" s="147">
        <f t="shared" ref="N460:P466" si="113">(1 - N324) * N188</f>
        <v>3070.3086752830859</v>
      </c>
      <c r="O460" s="147">
        <f t="shared" si="113"/>
        <v>2216.1183659775097</v>
      </c>
      <c r="P460" s="147">
        <f t="shared" si="113"/>
        <v>4922.3908564413659</v>
      </c>
      <c r="Q460" s="117"/>
      <c r="R460" s="117"/>
      <c r="S460" s="117"/>
      <c r="T460" s="117"/>
      <c r="U460" s="117"/>
      <c r="V460" s="117"/>
      <c r="W460" s="117"/>
      <c r="X460" s="117"/>
      <c r="Y460" s="117"/>
      <c r="AQ460" s="3"/>
    </row>
    <row r="461" spans="3:43" x14ac:dyDescent="0.25">
      <c r="E461" s="75"/>
      <c r="F461" s="118" t="s">
        <v>246</v>
      </c>
      <c r="G461" s="118" t="s">
        <v>205</v>
      </c>
      <c r="J461" s="126"/>
      <c r="K461" s="126"/>
      <c r="L461" s="193">
        <f t="shared" si="112"/>
        <v>222.17760670871263</v>
      </c>
      <c r="M461" s="126"/>
      <c r="N461" s="193">
        <f t="shared" si="113"/>
        <v>9845.1429180050382</v>
      </c>
      <c r="O461" s="193">
        <f t="shared" si="113"/>
        <v>7063.2634650024156</v>
      </c>
      <c r="P461" s="193">
        <f t="shared" si="113"/>
        <v>14783.492722336568</v>
      </c>
      <c r="Q461" s="126"/>
      <c r="R461" s="126"/>
      <c r="S461" s="126"/>
      <c r="T461" s="126"/>
      <c r="U461" s="126"/>
      <c r="V461" s="126"/>
      <c r="W461" s="126"/>
      <c r="X461" s="126"/>
      <c r="Y461" s="126"/>
      <c r="AQ461" s="3"/>
    </row>
    <row r="462" spans="3:43" x14ac:dyDescent="0.25">
      <c r="E462" s="75"/>
      <c r="F462" s="118" t="s">
        <v>247</v>
      </c>
      <c r="G462" s="118" t="s">
        <v>205</v>
      </c>
      <c r="J462" s="126"/>
      <c r="K462" s="126"/>
      <c r="L462" s="193">
        <f t="shared" si="112"/>
        <v>229.50674351691347</v>
      </c>
      <c r="M462" s="126"/>
      <c r="N462" s="193">
        <f t="shared" si="113"/>
        <v>12405.292327146693</v>
      </c>
      <c r="O462" s="193">
        <f t="shared" si="113"/>
        <v>7328.9052949888237</v>
      </c>
      <c r="P462" s="193">
        <f t="shared" si="113"/>
        <v>23607.063057003139</v>
      </c>
      <c r="Q462" s="126"/>
      <c r="R462" s="126"/>
      <c r="S462" s="126"/>
      <c r="T462" s="126"/>
      <c r="U462" s="126"/>
      <c r="V462" s="126"/>
      <c r="W462" s="126"/>
      <c r="X462" s="126"/>
      <c r="Y462" s="126"/>
      <c r="AQ462" s="3"/>
    </row>
    <row r="463" spans="3:43" x14ac:dyDescent="0.25">
      <c r="E463" s="75"/>
      <c r="F463" s="118" t="s">
        <v>210</v>
      </c>
      <c r="G463" s="118" t="s">
        <v>210</v>
      </c>
      <c r="J463" s="126"/>
      <c r="K463" s="126"/>
      <c r="L463" s="193">
        <f t="shared" si="112"/>
        <v>36.655464616755651</v>
      </c>
      <c r="M463" s="126"/>
      <c r="N463" s="193">
        <f t="shared" si="113"/>
        <v>57.637558156002008</v>
      </c>
      <c r="O463" s="193">
        <f t="shared" si="113"/>
        <v>31.882949346966292</v>
      </c>
      <c r="P463" s="193">
        <f t="shared" si="113"/>
        <v>7.4169702227188665</v>
      </c>
      <c r="Q463" s="126"/>
      <c r="R463" s="126"/>
      <c r="S463" s="126"/>
      <c r="T463" s="126"/>
      <c r="U463" s="126"/>
      <c r="V463" s="126"/>
      <c r="W463" s="126"/>
      <c r="X463" s="126"/>
      <c r="Y463" s="126"/>
      <c r="AQ463" s="3"/>
    </row>
    <row r="464" spans="3:43" x14ac:dyDescent="0.25">
      <c r="E464" s="75"/>
      <c r="F464" s="118" t="s">
        <v>248</v>
      </c>
      <c r="G464" s="118" t="s">
        <v>249</v>
      </c>
      <c r="J464" s="126"/>
      <c r="K464" s="126"/>
      <c r="L464" s="193">
        <f t="shared" si="112"/>
        <v>0</v>
      </c>
      <c r="M464" s="126"/>
      <c r="N464" s="193">
        <f t="shared" si="113"/>
        <v>25155.410513071442</v>
      </c>
      <c r="O464" s="193">
        <f t="shared" si="113"/>
        <v>16651.360465409693</v>
      </c>
      <c r="P464" s="193">
        <f t="shared" si="113"/>
        <v>28665.003860639652</v>
      </c>
      <c r="Q464" s="126"/>
      <c r="R464" s="126"/>
      <c r="S464" s="126"/>
      <c r="T464" s="126"/>
      <c r="U464" s="126"/>
      <c r="V464" s="126"/>
      <c r="W464" s="126"/>
      <c r="X464" s="126"/>
      <c r="Y464" s="126"/>
      <c r="AQ464" s="3"/>
    </row>
    <row r="465" spans="3:43" x14ac:dyDescent="0.25">
      <c r="E465" s="75"/>
      <c r="F465" s="118" t="s">
        <v>250</v>
      </c>
      <c r="G465" s="118" t="s">
        <v>249</v>
      </c>
      <c r="J465" s="126"/>
      <c r="K465" s="126"/>
      <c r="L465" s="193">
        <f t="shared" si="112"/>
        <v>0</v>
      </c>
      <c r="M465" s="126"/>
      <c r="N465" s="193">
        <f t="shared" si="113"/>
        <v>0</v>
      </c>
      <c r="O465" s="193">
        <f t="shared" si="113"/>
        <v>43.70521771459579</v>
      </c>
      <c r="P465" s="193">
        <f t="shared" si="113"/>
        <v>122.08072923108179</v>
      </c>
      <c r="Q465" s="126"/>
      <c r="R465" s="126"/>
      <c r="S465" s="126"/>
      <c r="T465" s="126"/>
      <c r="U465" s="126"/>
      <c r="V465" s="126"/>
      <c r="W465" s="126"/>
      <c r="X465" s="126"/>
      <c r="Y465" s="126"/>
      <c r="AQ465" s="3"/>
    </row>
    <row r="466" spans="3:43" x14ac:dyDescent="0.25">
      <c r="E466" s="75"/>
      <c r="F466" s="120" t="s">
        <v>251</v>
      </c>
      <c r="G466" s="120" t="s">
        <v>252</v>
      </c>
      <c r="H466" s="96"/>
      <c r="I466" s="96"/>
      <c r="J466" s="121"/>
      <c r="K466" s="121"/>
      <c r="L466" s="172">
        <f t="shared" si="112"/>
        <v>0</v>
      </c>
      <c r="M466" s="121"/>
      <c r="N466" s="172">
        <f t="shared" si="113"/>
        <v>2643.2517333861547</v>
      </c>
      <c r="O466" s="172">
        <f t="shared" si="113"/>
        <v>516.03414959301233</v>
      </c>
      <c r="P466" s="172">
        <f t="shared" si="113"/>
        <v>368.50224299652143</v>
      </c>
      <c r="Q466" s="121"/>
      <c r="R466" s="121"/>
      <c r="S466" s="121"/>
      <c r="T466" s="121"/>
      <c r="U466" s="121"/>
      <c r="V466" s="121"/>
      <c r="W466" s="121"/>
      <c r="X466" s="121"/>
      <c r="Y466" s="121"/>
      <c r="AQ466" s="3"/>
    </row>
    <row r="467" spans="3:43" x14ac:dyDescent="0.25">
      <c r="AQ467" s="3"/>
    </row>
    <row r="468" spans="3:43" x14ac:dyDescent="0.25">
      <c r="E468" s="75" t="s">
        <v>917</v>
      </c>
      <c r="G468" s="61"/>
      <c r="I468" t="s">
        <v>152</v>
      </c>
      <c r="AQ468" s="3"/>
    </row>
    <row r="469" spans="3:43" x14ac:dyDescent="0.25">
      <c r="E469" s="75"/>
      <c r="F469" s="116" t="s">
        <v>245</v>
      </c>
      <c r="G469" s="116" t="s">
        <v>205</v>
      </c>
      <c r="H469" s="95"/>
      <c r="I469" s="95"/>
      <c r="J469" s="117"/>
      <c r="K469" s="117"/>
      <c r="L469" s="147">
        <f t="shared" ref="L469:L475" si="114">L94+L451+L460</f>
        <v>88522.583875664699</v>
      </c>
      <c r="M469" s="117"/>
      <c r="N469" s="147">
        <f t="shared" ref="N469:P475" si="115">N94+N451+N460</f>
        <v>65803.196551790345</v>
      </c>
      <c r="O469" s="147">
        <f t="shared" si="115"/>
        <v>70225.945620110346</v>
      </c>
      <c r="P469" s="147">
        <f t="shared" si="115"/>
        <v>158773.74585845624</v>
      </c>
      <c r="Q469" s="117"/>
      <c r="R469" s="117"/>
      <c r="S469" s="117"/>
      <c r="T469" s="117"/>
      <c r="U469" s="117"/>
      <c r="V469" s="117"/>
      <c r="W469" s="117"/>
      <c r="X469" s="117"/>
      <c r="Y469" s="117"/>
      <c r="AQ469" s="3"/>
    </row>
    <row r="470" spans="3:43" x14ac:dyDescent="0.25">
      <c r="E470" s="75"/>
      <c r="F470" s="118" t="s">
        <v>246</v>
      </c>
      <c r="G470" s="118" t="s">
        <v>205</v>
      </c>
      <c r="J470" s="126"/>
      <c r="K470" s="126"/>
      <c r="L470" s="193">
        <f t="shared" si="114"/>
        <v>313160.90630431421</v>
      </c>
      <c r="M470" s="126"/>
      <c r="N470" s="193">
        <f t="shared" si="115"/>
        <v>236043.88158161152</v>
      </c>
      <c r="O470" s="193">
        <f t="shared" si="115"/>
        <v>231352.27727013108</v>
      </c>
      <c r="P470" s="193">
        <f t="shared" si="115"/>
        <v>502287.34974950884</v>
      </c>
      <c r="Q470" s="126"/>
      <c r="R470" s="126"/>
      <c r="S470" s="126"/>
      <c r="T470" s="126"/>
      <c r="U470" s="126"/>
      <c r="V470" s="126"/>
      <c r="W470" s="126"/>
      <c r="X470" s="126"/>
      <c r="Y470" s="126"/>
      <c r="AQ470" s="3"/>
    </row>
    <row r="471" spans="3:43" x14ac:dyDescent="0.25">
      <c r="E471" s="75"/>
      <c r="F471" s="118" t="s">
        <v>247</v>
      </c>
      <c r="G471" s="118" t="s">
        <v>205</v>
      </c>
      <c r="J471" s="126"/>
      <c r="K471" s="126"/>
      <c r="L471" s="193">
        <f t="shared" si="114"/>
        <v>357018.86205892108</v>
      </c>
      <c r="M471" s="126"/>
      <c r="N471" s="193">
        <f t="shared" si="115"/>
        <v>271089.34187011985</v>
      </c>
      <c r="O471" s="193">
        <f t="shared" si="115"/>
        <v>314512.15231592895</v>
      </c>
      <c r="P471" s="193">
        <f t="shared" si="115"/>
        <v>746829.47003421444</v>
      </c>
      <c r="Q471" s="126"/>
      <c r="R471" s="126"/>
      <c r="S471" s="126"/>
      <c r="T471" s="126"/>
      <c r="U471" s="126"/>
      <c r="V471" s="126"/>
      <c r="W471" s="126"/>
      <c r="X471" s="126"/>
      <c r="Y471" s="126"/>
      <c r="AQ471" s="3"/>
    </row>
    <row r="472" spans="3:43" x14ac:dyDescent="0.25">
      <c r="E472" s="75"/>
      <c r="F472" s="118" t="s">
        <v>210</v>
      </c>
      <c r="G472" s="118" t="s">
        <v>210</v>
      </c>
      <c r="J472" s="126"/>
      <c r="K472" s="126"/>
      <c r="L472" s="193">
        <f t="shared" si="114"/>
        <v>16616.104286500897</v>
      </c>
      <c r="M472" s="126"/>
      <c r="N472" s="193">
        <f t="shared" si="115"/>
        <v>1117.2001150458193</v>
      </c>
      <c r="O472" s="193">
        <f t="shared" si="115"/>
        <v>652.28361842395736</v>
      </c>
      <c r="P472" s="193">
        <f t="shared" si="115"/>
        <v>201.36185974182959</v>
      </c>
      <c r="Q472" s="126"/>
      <c r="R472" s="126"/>
      <c r="S472" s="126"/>
      <c r="T472" s="126"/>
      <c r="U472" s="126"/>
      <c r="V472" s="126"/>
      <c r="W472" s="126"/>
      <c r="X472" s="126"/>
      <c r="Y472" s="126"/>
      <c r="AQ472" s="3"/>
    </row>
    <row r="473" spans="3:43" x14ac:dyDescent="0.25">
      <c r="E473" s="75"/>
      <c r="F473" s="118" t="s">
        <v>248</v>
      </c>
      <c r="G473" s="118" t="s">
        <v>249</v>
      </c>
      <c r="J473" s="126"/>
      <c r="K473" s="126"/>
      <c r="L473" s="193">
        <f t="shared" si="114"/>
        <v>0</v>
      </c>
      <c r="M473" s="126"/>
      <c r="N473" s="193">
        <f t="shared" si="115"/>
        <v>425318.56967277528</v>
      </c>
      <c r="O473" s="193">
        <f t="shared" si="115"/>
        <v>325093.3604654097</v>
      </c>
      <c r="P473" s="193">
        <f t="shared" si="115"/>
        <v>747537.00386063964</v>
      </c>
      <c r="Q473" s="126"/>
      <c r="R473" s="126"/>
      <c r="S473" s="126"/>
      <c r="T473" s="126"/>
      <c r="U473" s="126"/>
      <c r="V473" s="126"/>
      <c r="W473" s="126"/>
      <c r="X473" s="126"/>
      <c r="Y473" s="126"/>
      <c r="AQ473" s="3"/>
    </row>
    <row r="474" spans="3:43" x14ac:dyDescent="0.25">
      <c r="E474" s="75"/>
      <c r="F474" s="118" t="s">
        <v>250</v>
      </c>
      <c r="G474" s="118" t="s">
        <v>249</v>
      </c>
      <c r="J474" s="126"/>
      <c r="K474" s="126"/>
      <c r="L474" s="193">
        <f t="shared" si="114"/>
        <v>0</v>
      </c>
      <c r="M474" s="126"/>
      <c r="N474" s="193">
        <f t="shared" si="115"/>
        <v>1918.6273972602739</v>
      </c>
      <c r="O474" s="193">
        <f t="shared" si="115"/>
        <v>1249.5106971666507</v>
      </c>
      <c r="P474" s="193">
        <f t="shared" si="115"/>
        <v>4044.7218251214931</v>
      </c>
      <c r="Q474" s="126"/>
      <c r="R474" s="126"/>
      <c r="S474" s="126"/>
      <c r="T474" s="126"/>
      <c r="U474" s="126"/>
      <c r="V474" s="126"/>
      <c r="W474" s="126"/>
      <c r="X474" s="126"/>
      <c r="Y474" s="126"/>
      <c r="AQ474" s="3"/>
    </row>
    <row r="475" spans="3:43" x14ac:dyDescent="0.25">
      <c r="E475" s="75"/>
      <c r="F475" s="120" t="s">
        <v>251</v>
      </c>
      <c r="G475" s="120" t="s">
        <v>252</v>
      </c>
      <c r="H475" s="96"/>
      <c r="I475" s="96"/>
      <c r="J475" s="121"/>
      <c r="K475" s="121"/>
      <c r="L475" s="172">
        <f t="shared" si="114"/>
        <v>0</v>
      </c>
      <c r="M475" s="121"/>
      <c r="N475" s="172">
        <f t="shared" si="115"/>
        <v>50996.895033483765</v>
      </c>
      <c r="O475" s="172">
        <f t="shared" si="115"/>
        <v>41615.626149593008</v>
      </c>
      <c r="P475" s="172">
        <f t="shared" si="115"/>
        <v>167805.01624299653</v>
      </c>
      <c r="Q475" s="121"/>
      <c r="R475" s="121"/>
      <c r="S475" s="121"/>
      <c r="T475" s="121"/>
      <c r="U475" s="121"/>
      <c r="V475" s="121"/>
      <c r="W475" s="121"/>
      <c r="X475" s="121"/>
      <c r="Y475" s="121"/>
      <c r="AQ475" s="3"/>
    </row>
    <row r="476" spans="3:43" x14ac:dyDescent="0.25">
      <c r="AQ476" s="3"/>
    </row>
    <row r="477" spans="3:43" x14ac:dyDescent="0.2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25">
      <c r="C478" s="75"/>
      <c r="AQ478" s="3"/>
    </row>
    <row r="479" spans="3:43" x14ac:dyDescent="0.25">
      <c r="D479" s="75" t="s">
        <v>957</v>
      </c>
      <c r="AQ479" s="3"/>
    </row>
    <row r="480" spans="3:43" x14ac:dyDescent="0.25">
      <c r="E480" s="116" t="s">
        <v>245</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25">
      <c r="E481" s="129"/>
      <c r="F481" s="2" t="s">
        <v>924</v>
      </c>
      <c r="G481" t="s">
        <v>205</v>
      </c>
      <c r="J481" s="150">
        <f t="shared" ref="J481:Y481" si="116">J353</f>
        <v>0</v>
      </c>
      <c r="K481" s="150">
        <f t="shared" si="116"/>
        <v>715.06892412151399</v>
      </c>
      <c r="L481" s="150">
        <f t="shared" si="116"/>
        <v>7.696930981475953</v>
      </c>
      <c r="M481" s="150">
        <f t="shared" si="116"/>
        <v>198.0273246193633</v>
      </c>
      <c r="N481" s="150">
        <f t="shared" si="116"/>
        <v>13.447644288179097</v>
      </c>
      <c r="O481" s="150">
        <f t="shared" si="116"/>
        <v>2.5664192228811378</v>
      </c>
      <c r="P481" s="150">
        <f t="shared" si="116"/>
        <v>242.40888698105309</v>
      </c>
      <c r="Q481" s="150">
        <f t="shared" si="116"/>
        <v>0</v>
      </c>
      <c r="R481" s="150">
        <f t="shared" si="116"/>
        <v>6989.1164284156448</v>
      </c>
      <c r="S481" s="150">
        <f t="shared" si="116"/>
        <v>0</v>
      </c>
      <c r="T481" s="150">
        <f t="shared" si="116"/>
        <v>4310.0455999999986</v>
      </c>
      <c r="U481" s="150">
        <f t="shared" si="116"/>
        <v>0</v>
      </c>
      <c r="V481" s="150">
        <f t="shared" si="116"/>
        <v>235.52749999999995</v>
      </c>
      <c r="W481" s="150">
        <f t="shared" si="116"/>
        <v>0</v>
      </c>
      <c r="X481" s="150">
        <f t="shared" si="116"/>
        <v>112429.61859999999</v>
      </c>
      <c r="Y481" s="150">
        <f t="shared" si="116"/>
        <v>0</v>
      </c>
      <c r="AQ481" s="3"/>
    </row>
    <row r="482" spans="5:43" x14ac:dyDescent="0.25">
      <c r="E482" s="129"/>
      <c r="F482" s="2" t="s">
        <v>925</v>
      </c>
      <c r="G482" t="s">
        <v>205</v>
      </c>
      <c r="J482" s="148">
        <f t="shared" ref="J482:Y482" si="117">J382</f>
        <v>602010.79580819397</v>
      </c>
      <c r="K482" s="148">
        <f t="shared" si="117"/>
        <v>0</v>
      </c>
      <c r="L482" s="148">
        <f t="shared" si="117"/>
        <v>12707.339973037098</v>
      </c>
      <c r="M482" s="148">
        <f t="shared" si="117"/>
        <v>0</v>
      </c>
      <c r="N482" s="148">
        <f t="shared" si="117"/>
        <v>52316.889447630383</v>
      </c>
      <c r="O482" s="148">
        <f t="shared" si="117"/>
        <v>217.79555482583385</v>
      </c>
      <c r="P482" s="148">
        <f t="shared" si="117"/>
        <v>12835.630644695153</v>
      </c>
      <c r="Q482" s="148">
        <f t="shared" si="117"/>
        <v>5961.8800051746312</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25">
      <c r="E483" s="129"/>
      <c r="F483" s="2" t="s">
        <v>926</v>
      </c>
      <c r="G483" t="s">
        <v>205</v>
      </c>
      <c r="J483" s="148">
        <f t="shared" ref="J483:Y483" si="118">J411</f>
        <v>0</v>
      </c>
      <c r="K483" s="148">
        <f t="shared" si="118"/>
        <v>0</v>
      </c>
      <c r="L483" s="148">
        <f t="shared" si="118"/>
        <v>29239.036394881394</v>
      </c>
      <c r="M483" s="148">
        <f t="shared" si="118"/>
        <v>0</v>
      </c>
      <c r="N483" s="148">
        <f t="shared" si="118"/>
        <v>61314.012209823435</v>
      </c>
      <c r="O483" s="148">
        <f t="shared" si="118"/>
        <v>1251.9314886475556</v>
      </c>
      <c r="P483" s="148">
        <f t="shared" si="118"/>
        <v>46630.95866177616</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25">
      <c r="E484" s="129"/>
      <c r="F484" s="2" t="s">
        <v>928</v>
      </c>
      <c r="G484" t="s">
        <v>205</v>
      </c>
      <c r="J484" s="149">
        <f t="shared" ref="J484:Y484" si="119">J440</f>
        <v>0</v>
      </c>
      <c r="K484" s="149">
        <f t="shared" si="119"/>
        <v>0</v>
      </c>
      <c r="L484" s="149">
        <f t="shared" si="119"/>
        <v>28605.852349137229</v>
      </c>
      <c r="M484" s="149">
        <f t="shared" si="119"/>
        <v>0</v>
      </c>
      <c r="N484" s="149">
        <f t="shared" si="119"/>
        <v>38510.93599480675</v>
      </c>
      <c r="O484" s="149">
        <f t="shared" si="119"/>
        <v>4053.6480152288427</v>
      </c>
      <c r="P484" s="149">
        <f t="shared" si="119"/>
        <v>41853.039640886098</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25">
      <c r="E485" s="129"/>
      <c r="F485" s="2" t="s">
        <v>927</v>
      </c>
      <c r="G485" t="s">
        <v>205</v>
      </c>
      <c r="J485" s="149">
        <f t="shared" ref="J485:Y485" si="120">J469</f>
        <v>0</v>
      </c>
      <c r="K485" s="149">
        <f t="shared" si="120"/>
        <v>0</v>
      </c>
      <c r="L485" s="149">
        <f t="shared" si="120"/>
        <v>88522.583875664699</v>
      </c>
      <c r="M485" s="149">
        <f t="shared" si="120"/>
        <v>0</v>
      </c>
      <c r="N485" s="149">
        <f t="shared" si="120"/>
        <v>65803.196551790345</v>
      </c>
      <c r="O485" s="149">
        <f t="shared" si="120"/>
        <v>70225.945620110346</v>
      </c>
      <c r="P485" s="149">
        <f t="shared" si="120"/>
        <v>158773.74585845624</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25">
      <c r="E486" s="118" t="s">
        <v>246</v>
      </c>
      <c r="F486" s="2"/>
      <c r="J486" s="200"/>
      <c r="K486" s="200"/>
      <c r="L486" s="200"/>
      <c r="M486" s="200"/>
      <c r="N486" s="200"/>
      <c r="O486" s="200"/>
      <c r="P486" s="200"/>
      <c r="Q486" s="200"/>
      <c r="R486" s="200"/>
      <c r="S486" s="200"/>
      <c r="T486" s="200"/>
      <c r="U486" s="200"/>
      <c r="V486" s="200"/>
      <c r="W486" s="200"/>
      <c r="X486" s="200"/>
      <c r="Y486" s="200"/>
      <c r="AQ486" s="3"/>
    </row>
    <row r="487" spans="5:43" x14ac:dyDescent="0.25">
      <c r="E487" s="129"/>
      <c r="F487" s="2" t="s">
        <v>924</v>
      </c>
      <c r="G487" t="s">
        <v>205</v>
      </c>
      <c r="J487" s="150">
        <f t="shared" ref="J487:Y487" si="121">J354</f>
        <v>0</v>
      </c>
      <c r="K487" s="150">
        <f t="shared" si="121"/>
        <v>4081.6408178065876</v>
      </c>
      <c r="L487" s="150">
        <f t="shared" si="121"/>
        <v>25.332240503208126</v>
      </c>
      <c r="M487" s="150">
        <f t="shared" si="121"/>
        <v>646.70434049451774</v>
      </c>
      <c r="N487" s="150">
        <f t="shared" si="121"/>
        <v>40.520219497595626</v>
      </c>
      <c r="O487" s="150">
        <f t="shared" si="121"/>
        <v>11.002529471759216</v>
      </c>
      <c r="P487" s="150">
        <f t="shared" si="121"/>
        <v>1161.2830145445171</v>
      </c>
      <c r="Q487" s="150">
        <f t="shared" si="121"/>
        <v>0</v>
      </c>
      <c r="R487" s="150">
        <f t="shared" si="121"/>
        <v>30411.928111830457</v>
      </c>
      <c r="S487" s="150">
        <f t="shared" si="121"/>
        <v>0</v>
      </c>
      <c r="T487" s="150">
        <f t="shared" si="121"/>
        <v>14714.395000000002</v>
      </c>
      <c r="U487" s="150">
        <f t="shared" si="121"/>
        <v>0</v>
      </c>
      <c r="V487" s="150">
        <f t="shared" si="121"/>
        <v>949.01109999999994</v>
      </c>
      <c r="W487" s="150">
        <f t="shared" si="121"/>
        <v>0</v>
      </c>
      <c r="X487" s="150">
        <f t="shared" si="121"/>
        <v>305558.88569999998</v>
      </c>
      <c r="Y487" s="150">
        <f t="shared" si="121"/>
        <v>0</v>
      </c>
      <c r="AQ487" s="3"/>
    </row>
    <row r="488" spans="5:43" x14ac:dyDescent="0.25">
      <c r="E488" s="129"/>
      <c r="F488" s="2" t="s">
        <v>925</v>
      </c>
      <c r="G488" t="s">
        <v>205</v>
      </c>
      <c r="J488" s="148">
        <f t="shared" ref="J488:Y488" si="122">J383</f>
        <v>1485357.3777113075</v>
      </c>
      <c r="K488" s="148">
        <f t="shared" si="122"/>
        <v>0</v>
      </c>
      <c r="L488" s="148">
        <f t="shared" si="122"/>
        <v>47217.024014175433</v>
      </c>
      <c r="M488" s="148">
        <f t="shared" si="122"/>
        <v>0</v>
      </c>
      <c r="N488" s="148">
        <f t="shared" si="122"/>
        <v>184596.24993942573</v>
      </c>
      <c r="O488" s="148">
        <f t="shared" si="122"/>
        <v>704.53490666034918</v>
      </c>
      <c r="P488" s="148">
        <f t="shared" si="122"/>
        <v>45372.127970731373</v>
      </c>
      <c r="Q488" s="148">
        <f t="shared" si="122"/>
        <v>24728.581351992561</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25">
      <c r="E489" s="129"/>
      <c r="F489" s="2" t="s">
        <v>926</v>
      </c>
      <c r="G489" t="s">
        <v>205</v>
      </c>
      <c r="J489" s="148">
        <f t="shared" ref="J489:Y489" si="123">J412</f>
        <v>0</v>
      </c>
      <c r="K489" s="148">
        <f t="shared" si="123"/>
        <v>0</v>
      </c>
      <c r="L489" s="148">
        <f t="shared" si="123"/>
        <v>109112.81907394057</v>
      </c>
      <c r="M489" s="148">
        <f t="shared" si="123"/>
        <v>0</v>
      </c>
      <c r="N489" s="148">
        <f t="shared" si="123"/>
        <v>203749.23801086581</v>
      </c>
      <c r="O489" s="148">
        <f t="shared" si="123"/>
        <v>3999.9312058479591</v>
      </c>
      <c r="P489" s="148">
        <f t="shared" si="123"/>
        <v>154419.18043087015</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25">
      <c r="E490" s="129"/>
      <c r="F490" s="2" t="s">
        <v>928</v>
      </c>
      <c r="G490" t="s">
        <v>205</v>
      </c>
      <c r="J490" s="149">
        <f t="shared" ref="J490:Y490" si="124">J441</f>
        <v>0</v>
      </c>
      <c r="K490" s="149">
        <f t="shared" si="124"/>
        <v>0</v>
      </c>
      <c r="L490" s="149">
        <f t="shared" si="124"/>
        <v>105822.07175925876</v>
      </c>
      <c r="M490" s="149">
        <f t="shared" si="124"/>
        <v>0</v>
      </c>
      <c r="N490" s="149">
        <f t="shared" si="124"/>
        <v>132064.12884288066</v>
      </c>
      <c r="O490" s="149">
        <f t="shared" si="124"/>
        <v>12907.668532934176</v>
      </c>
      <c r="P490" s="149">
        <f t="shared" si="124"/>
        <v>137028.98154531448</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25">
      <c r="E491" s="129"/>
      <c r="F491" s="2" t="s">
        <v>927</v>
      </c>
      <c r="G491" t="s">
        <v>205</v>
      </c>
      <c r="J491" s="149">
        <f t="shared" ref="J491:Y491" si="125">J470</f>
        <v>0</v>
      </c>
      <c r="K491" s="149">
        <f t="shared" si="125"/>
        <v>0</v>
      </c>
      <c r="L491" s="149">
        <f t="shared" si="125"/>
        <v>313160.90630431421</v>
      </c>
      <c r="M491" s="149">
        <f t="shared" si="125"/>
        <v>0</v>
      </c>
      <c r="N491" s="149">
        <f t="shared" si="125"/>
        <v>236043.88158161152</v>
      </c>
      <c r="O491" s="149">
        <f t="shared" si="125"/>
        <v>231352.27727013108</v>
      </c>
      <c r="P491" s="149">
        <f t="shared" si="125"/>
        <v>502287.34974950884</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25">
      <c r="E492" s="118" t="s">
        <v>247</v>
      </c>
      <c r="F492" s="2"/>
      <c r="J492" s="200"/>
      <c r="K492" s="200"/>
      <c r="L492" s="200"/>
      <c r="M492" s="200"/>
      <c r="N492" s="200"/>
      <c r="O492" s="200"/>
      <c r="P492" s="200"/>
      <c r="Q492" s="200"/>
      <c r="R492" s="200"/>
      <c r="S492" s="200"/>
      <c r="T492" s="200"/>
      <c r="U492" s="200"/>
      <c r="V492" s="200"/>
      <c r="W492" s="200"/>
      <c r="X492" s="200"/>
      <c r="Y492" s="200"/>
      <c r="AQ492" s="3"/>
    </row>
    <row r="493" spans="5:43" x14ac:dyDescent="0.25">
      <c r="E493" s="129"/>
      <c r="F493" s="2" t="s">
        <v>924</v>
      </c>
      <c r="G493" t="s">
        <v>205</v>
      </c>
      <c r="J493" s="150">
        <f t="shared" ref="J493:Y493" si="126">J355</f>
        <v>0</v>
      </c>
      <c r="K493" s="150">
        <f t="shared" si="126"/>
        <v>17683.252822043934</v>
      </c>
      <c r="L493" s="150">
        <f t="shared" si="126"/>
        <v>39.923331593029232</v>
      </c>
      <c r="M493" s="150">
        <f t="shared" si="126"/>
        <v>3204.1147499679787</v>
      </c>
      <c r="N493" s="150">
        <f t="shared" si="126"/>
        <v>70.471131041730487</v>
      </c>
      <c r="O493" s="150">
        <f t="shared" si="126"/>
        <v>11.361295850310261</v>
      </c>
      <c r="P493" s="150">
        <f t="shared" si="126"/>
        <v>2208.6032563465164</v>
      </c>
      <c r="Q493" s="150">
        <f t="shared" si="126"/>
        <v>0</v>
      </c>
      <c r="R493" s="150">
        <f t="shared" si="126"/>
        <v>18030.478238646261</v>
      </c>
      <c r="S493" s="150">
        <f t="shared" si="126"/>
        <v>0</v>
      </c>
      <c r="T493" s="150">
        <f t="shared" si="126"/>
        <v>22467.003499999995</v>
      </c>
      <c r="U493" s="150">
        <f t="shared" si="126"/>
        <v>0</v>
      </c>
      <c r="V493" s="150">
        <f t="shared" si="126"/>
        <v>1267.7273</v>
      </c>
      <c r="W493" s="150">
        <f t="shared" si="126"/>
        <v>0</v>
      </c>
      <c r="X493" s="150">
        <f t="shared" si="126"/>
        <v>457934.66330000001</v>
      </c>
      <c r="Y493" s="150">
        <f t="shared" si="126"/>
        <v>0</v>
      </c>
      <c r="AQ493" s="3"/>
    </row>
    <row r="494" spans="5:43" x14ac:dyDescent="0.25">
      <c r="E494" s="129"/>
      <c r="F494" s="2" t="s">
        <v>925</v>
      </c>
      <c r="G494" t="s">
        <v>205</v>
      </c>
      <c r="J494" s="148">
        <f t="shared" ref="J494:Y494" si="127">J384</f>
        <v>2224654.7633966957</v>
      </c>
      <c r="K494" s="148">
        <f t="shared" si="127"/>
        <v>0</v>
      </c>
      <c r="L494" s="148">
        <f t="shared" si="127"/>
        <v>48972.297940638353</v>
      </c>
      <c r="M494" s="148">
        <f t="shared" si="127"/>
        <v>0</v>
      </c>
      <c r="N494" s="148">
        <f t="shared" si="127"/>
        <v>208340.13991075184</v>
      </c>
      <c r="O494" s="148">
        <f t="shared" si="127"/>
        <v>1024.0707684571598</v>
      </c>
      <c r="P494" s="148">
        <f t="shared" si="127"/>
        <v>59645.352949352302</v>
      </c>
      <c r="Q494" s="148">
        <f t="shared" si="127"/>
        <v>74346.95288920337</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25">
      <c r="E495" s="129"/>
      <c r="F495" s="2" t="s">
        <v>926</v>
      </c>
      <c r="G495" t="s">
        <v>205</v>
      </c>
      <c r="J495" s="148">
        <f t="shared" ref="J495:Y495" si="128">J413</f>
        <v>0</v>
      </c>
      <c r="K495" s="148">
        <f t="shared" si="128"/>
        <v>0</v>
      </c>
      <c r="L495" s="148">
        <f t="shared" si="128"/>
        <v>112908.00413609308</v>
      </c>
      <c r="M495" s="148">
        <f t="shared" si="128"/>
        <v>0</v>
      </c>
      <c r="N495" s="148">
        <f t="shared" si="128"/>
        <v>238232.71538326287</v>
      </c>
      <c r="O495" s="148">
        <f t="shared" si="128"/>
        <v>5606.1926268730349</v>
      </c>
      <c r="P495" s="148">
        <f t="shared" si="128"/>
        <v>212103.76671936832</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25">
      <c r="E496" s="129"/>
      <c r="F496" s="2" t="s">
        <v>928</v>
      </c>
      <c r="G496" t="s">
        <v>205</v>
      </c>
      <c r="J496" s="149">
        <f t="shared" ref="J496:Y496" si="129">J442</f>
        <v>0</v>
      </c>
      <c r="K496" s="149">
        <f t="shared" si="129"/>
        <v>0</v>
      </c>
      <c r="L496" s="149">
        <f t="shared" si="129"/>
        <v>114497.07361719586</v>
      </c>
      <c r="M496" s="149">
        <f t="shared" si="129"/>
        <v>0</v>
      </c>
      <c r="N496" s="149">
        <f t="shared" si="129"/>
        <v>155389.03384342484</v>
      </c>
      <c r="O496" s="149">
        <f t="shared" si="129"/>
        <v>18498.087356707507</v>
      </c>
      <c r="P496" s="149">
        <f t="shared" si="129"/>
        <v>181361.67806814201</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25">
      <c r="E497" s="129"/>
      <c r="F497" s="2" t="s">
        <v>927</v>
      </c>
      <c r="G497" t="s">
        <v>205</v>
      </c>
      <c r="J497" s="149">
        <f t="shared" ref="J497:Y497" si="130">J471</f>
        <v>0</v>
      </c>
      <c r="K497" s="149">
        <f t="shared" si="130"/>
        <v>0</v>
      </c>
      <c r="L497" s="149">
        <f t="shared" si="130"/>
        <v>357018.86205892108</v>
      </c>
      <c r="M497" s="149">
        <f t="shared" si="130"/>
        <v>0</v>
      </c>
      <c r="N497" s="149">
        <f t="shared" si="130"/>
        <v>271089.34187011985</v>
      </c>
      <c r="O497" s="149">
        <f t="shared" si="130"/>
        <v>314512.15231592895</v>
      </c>
      <c r="P497" s="149">
        <f t="shared" si="130"/>
        <v>746829.47003421444</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25">
      <c r="E498" s="118" t="s">
        <v>210</v>
      </c>
      <c r="F498" s="2"/>
      <c r="J498" s="200"/>
      <c r="K498" s="200"/>
      <c r="L498" s="200"/>
      <c r="M498" s="200"/>
      <c r="N498" s="200"/>
      <c r="O498" s="200"/>
      <c r="P498" s="200"/>
      <c r="Q498" s="200"/>
      <c r="R498" s="200"/>
      <c r="S498" s="200"/>
      <c r="T498" s="200"/>
      <c r="U498" s="200"/>
      <c r="V498" s="200"/>
      <c r="W498" s="200"/>
      <c r="X498" s="200"/>
      <c r="Y498" s="200"/>
      <c r="AQ498" s="3"/>
    </row>
    <row r="499" spans="5:43" x14ac:dyDescent="0.25">
      <c r="E499" s="129"/>
      <c r="F499" s="2" t="s">
        <v>924</v>
      </c>
      <c r="G499" t="s">
        <v>210</v>
      </c>
      <c r="J499" s="150">
        <f t="shared" ref="J499:Y499" si="131">J356</f>
        <v>0</v>
      </c>
      <c r="K499" s="150">
        <f t="shared" si="131"/>
        <v>7577.1293347193641</v>
      </c>
      <c r="L499" s="150">
        <f t="shared" si="131"/>
        <v>9.9596740630511906</v>
      </c>
      <c r="M499" s="150">
        <f t="shared" si="131"/>
        <v>589.96666666666681</v>
      </c>
      <c r="N499" s="150">
        <f t="shared" si="131"/>
        <v>14.217631648321902</v>
      </c>
      <c r="O499" s="150">
        <f t="shared" si="131"/>
        <v>1.1300558635282172</v>
      </c>
      <c r="P499" s="150">
        <f t="shared" si="131"/>
        <v>79.202625039218034</v>
      </c>
      <c r="Q499" s="150">
        <f t="shared" si="131"/>
        <v>0</v>
      </c>
      <c r="R499" s="150">
        <f t="shared" si="131"/>
        <v>24062.24357489097</v>
      </c>
      <c r="S499" s="150">
        <f t="shared" si="131"/>
        <v>0</v>
      </c>
      <c r="T499" s="150">
        <f t="shared" si="131"/>
        <v>372</v>
      </c>
      <c r="U499" s="150">
        <f t="shared" si="131"/>
        <v>0</v>
      </c>
      <c r="V499" s="150">
        <f t="shared" si="131"/>
        <v>36</v>
      </c>
      <c r="W499" s="150">
        <f t="shared" si="131"/>
        <v>0</v>
      </c>
      <c r="X499" s="150">
        <f t="shared" si="131"/>
        <v>176</v>
      </c>
      <c r="Y499" s="150">
        <f t="shared" si="131"/>
        <v>0</v>
      </c>
      <c r="AQ499" s="3"/>
    </row>
    <row r="500" spans="5:43" x14ac:dyDescent="0.25">
      <c r="E500" s="129"/>
      <c r="F500" s="2" t="s">
        <v>925</v>
      </c>
      <c r="G500" t="s">
        <v>210</v>
      </c>
      <c r="J500" s="148">
        <f t="shared" ref="J500:Y500" si="132">J385</f>
        <v>1547748.3978608586</v>
      </c>
      <c r="K500" s="148">
        <f t="shared" si="132"/>
        <v>0</v>
      </c>
      <c r="L500" s="148">
        <f t="shared" si="132"/>
        <v>37579.546715428587</v>
      </c>
      <c r="M500" s="148">
        <f t="shared" si="132"/>
        <v>0</v>
      </c>
      <c r="N500" s="148">
        <f t="shared" si="132"/>
        <v>5844.503271673907</v>
      </c>
      <c r="O500" s="148">
        <f t="shared" si="132"/>
        <v>10.845822578113598</v>
      </c>
      <c r="P500" s="148">
        <f t="shared" si="132"/>
        <v>224.67233104076109</v>
      </c>
      <c r="Q500" s="148">
        <f t="shared" si="132"/>
        <v>1129.7489873710761</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25">
      <c r="E501" s="129"/>
      <c r="F501" s="2" t="s">
        <v>926</v>
      </c>
      <c r="G501" t="s">
        <v>210</v>
      </c>
      <c r="J501" s="148">
        <f t="shared" ref="J501:Y501" si="133">J414</f>
        <v>0</v>
      </c>
      <c r="K501" s="148">
        <f t="shared" si="133"/>
        <v>0</v>
      </c>
      <c r="L501" s="148">
        <f t="shared" si="133"/>
        <v>31884.297465325126</v>
      </c>
      <c r="M501" s="148">
        <f t="shared" si="133"/>
        <v>0</v>
      </c>
      <c r="N501" s="148">
        <f t="shared" si="133"/>
        <v>3086.0681502696375</v>
      </c>
      <c r="O501" s="148">
        <f t="shared" si="133"/>
        <v>34.763377239548305</v>
      </c>
      <c r="P501" s="148">
        <f t="shared" si="133"/>
        <v>287.58411485930162</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25">
      <c r="E502" s="129"/>
      <c r="F502" s="2" t="s">
        <v>928</v>
      </c>
      <c r="G502" t="s">
        <v>210</v>
      </c>
      <c r="J502" s="149">
        <f t="shared" ref="J502:Y502" si="134">J443</f>
        <v>0</v>
      </c>
      <c r="K502" s="149">
        <f t="shared" si="134"/>
        <v>0</v>
      </c>
      <c r="L502" s="149">
        <f t="shared" si="134"/>
        <v>14685.790975562491</v>
      </c>
      <c r="M502" s="149">
        <f t="shared" si="134"/>
        <v>0</v>
      </c>
      <c r="N502" s="149">
        <f t="shared" si="134"/>
        <v>1330.8012755012887</v>
      </c>
      <c r="O502" s="149">
        <f t="shared" si="134"/>
        <v>70.44509355702094</v>
      </c>
      <c r="P502" s="149">
        <f t="shared" si="134"/>
        <v>140.30431684299413</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25">
      <c r="E503" s="129"/>
      <c r="F503" s="2" t="s">
        <v>927</v>
      </c>
      <c r="G503" t="s">
        <v>210</v>
      </c>
      <c r="J503" s="149">
        <f t="shared" ref="J503:Y503" si="135">J472</f>
        <v>0</v>
      </c>
      <c r="K503" s="149">
        <f t="shared" si="135"/>
        <v>0</v>
      </c>
      <c r="L503" s="149">
        <f t="shared" si="135"/>
        <v>16616.104286500897</v>
      </c>
      <c r="M503" s="149">
        <f t="shared" si="135"/>
        <v>0</v>
      </c>
      <c r="N503" s="149">
        <f t="shared" si="135"/>
        <v>1117.2001150458193</v>
      </c>
      <c r="O503" s="149">
        <f t="shared" si="135"/>
        <v>652.28361842395736</v>
      </c>
      <c r="P503" s="149">
        <f t="shared" si="135"/>
        <v>201.36185974182959</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25">
      <c r="E504" s="118" t="s">
        <v>248</v>
      </c>
      <c r="F504" s="2"/>
      <c r="J504" s="200"/>
      <c r="K504" s="200"/>
      <c r="L504" s="200"/>
      <c r="M504" s="200"/>
      <c r="N504" s="200"/>
      <c r="O504" s="200"/>
      <c r="P504" s="200"/>
      <c r="Q504" s="200"/>
      <c r="R504" s="200"/>
      <c r="S504" s="200"/>
      <c r="T504" s="200"/>
      <c r="U504" s="200"/>
      <c r="V504" s="200"/>
      <c r="W504" s="200"/>
      <c r="X504" s="200"/>
      <c r="Y504" s="200"/>
      <c r="AQ504" s="3"/>
    </row>
    <row r="505" spans="5:43" x14ac:dyDescent="0.25">
      <c r="E505" s="129"/>
      <c r="F505" s="2" t="s">
        <v>924</v>
      </c>
      <c r="G505" t="s">
        <v>249</v>
      </c>
      <c r="J505" s="150">
        <f t="shared" ref="J505:Y505" si="136">J357</f>
        <v>0</v>
      </c>
      <c r="K505" s="150">
        <f t="shared" si="136"/>
        <v>0</v>
      </c>
      <c r="L505" s="150">
        <f t="shared" si="136"/>
        <v>0</v>
      </c>
      <c r="M505" s="150">
        <f t="shared" si="136"/>
        <v>0</v>
      </c>
      <c r="N505" s="150">
        <f t="shared" si="136"/>
        <v>843</v>
      </c>
      <c r="O505" s="150">
        <f t="shared" si="136"/>
        <v>40</v>
      </c>
      <c r="P505" s="150">
        <f t="shared" si="136"/>
        <v>18295</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25">
      <c r="E506" s="129"/>
      <c r="F506" s="2" t="s">
        <v>925</v>
      </c>
      <c r="G506" t="s">
        <v>249</v>
      </c>
      <c r="J506" s="148">
        <f t="shared" ref="J506:Y506" si="137">J386</f>
        <v>0</v>
      </c>
      <c r="K506" s="148">
        <f t="shared" si="137"/>
        <v>0</v>
      </c>
      <c r="L506" s="148">
        <f t="shared" si="137"/>
        <v>0</v>
      </c>
      <c r="M506" s="148">
        <f t="shared" si="137"/>
        <v>0</v>
      </c>
      <c r="N506" s="148">
        <f t="shared" si="137"/>
        <v>256944.42099968946</v>
      </c>
      <c r="O506" s="148">
        <f t="shared" si="137"/>
        <v>465</v>
      </c>
      <c r="P506" s="148">
        <f t="shared" si="137"/>
        <v>59240.038263292845</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25">
      <c r="E507" s="129"/>
      <c r="F507" s="2" t="s">
        <v>926</v>
      </c>
      <c r="G507" t="s">
        <v>249</v>
      </c>
      <c r="J507" s="148">
        <f t="shared" ref="J507:Y507" si="138">J415</f>
        <v>0</v>
      </c>
      <c r="K507" s="148">
        <f t="shared" si="138"/>
        <v>0</v>
      </c>
      <c r="L507" s="148">
        <f t="shared" si="138"/>
        <v>0</v>
      </c>
      <c r="M507" s="148">
        <f t="shared" si="138"/>
        <v>0</v>
      </c>
      <c r="N507" s="148">
        <f t="shared" si="138"/>
        <v>346800.0971172406</v>
      </c>
      <c r="O507" s="148">
        <f t="shared" si="138"/>
        <v>4621.2979709539459</v>
      </c>
      <c r="P507" s="148">
        <f t="shared" si="138"/>
        <v>200017.45784164526</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25">
      <c r="E508" s="129"/>
      <c r="F508" s="2" t="s">
        <v>928</v>
      </c>
      <c r="G508" t="s">
        <v>249</v>
      </c>
      <c r="J508" s="149">
        <f t="shared" ref="J508:Y508" si="139">J444</f>
        <v>0</v>
      </c>
      <c r="K508" s="149">
        <f t="shared" si="139"/>
        <v>0</v>
      </c>
      <c r="L508" s="149">
        <f t="shared" si="139"/>
        <v>0</v>
      </c>
      <c r="M508" s="149">
        <f t="shared" si="139"/>
        <v>0</v>
      </c>
      <c r="N508" s="149">
        <f t="shared" si="139"/>
        <v>241073.88707748026</v>
      </c>
      <c r="O508" s="149">
        <f t="shared" si="139"/>
        <v>12846.901831282226</v>
      </c>
      <c r="P508" s="149">
        <f t="shared" si="139"/>
        <v>192533.49970690307</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25">
      <c r="E509" s="129"/>
      <c r="F509" s="2" t="s">
        <v>927</v>
      </c>
      <c r="G509" t="s">
        <v>249</v>
      </c>
      <c r="J509" s="149">
        <f>J473</f>
        <v>0</v>
      </c>
      <c r="K509" s="149">
        <f t="shared" ref="K509:Y509" si="140">K473</f>
        <v>0</v>
      </c>
      <c r="L509" s="149">
        <f t="shared" si="140"/>
        <v>0</v>
      </c>
      <c r="M509" s="149">
        <f t="shared" si="140"/>
        <v>0</v>
      </c>
      <c r="N509" s="149">
        <f t="shared" si="140"/>
        <v>425318.56967277528</v>
      </c>
      <c r="O509" s="149">
        <f t="shared" si="140"/>
        <v>325093.3604654097</v>
      </c>
      <c r="P509" s="149">
        <f t="shared" si="140"/>
        <v>747537.00386063964</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25">
      <c r="E510" s="118" t="s">
        <v>250</v>
      </c>
      <c r="F510" s="2"/>
      <c r="J510" s="200"/>
      <c r="K510" s="200"/>
      <c r="L510" s="200"/>
      <c r="M510" s="200"/>
      <c r="N510" s="200"/>
      <c r="O510" s="200"/>
      <c r="P510" s="200"/>
      <c r="Q510" s="200"/>
      <c r="R510" s="200"/>
      <c r="S510" s="200"/>
      <c r="T510" s="200"/>
      <c r="U510" s="200"/>
      <c r="V510" s="200"/>
      <c r="W510" s="200"/>
      <c r="X510" s="200"/>
      <c r="Y510" s="200"/>
      <c r="AQ510" s="3"/>
    </row>
    <row r="511" spans="5:43" x14ac:dyDescent="0.25">
      <c r="E511" s="129"/>
      <c r="F511" s="2" t="s">
        <v>924</v>
      </c>
      <c r="G511" t="s">
        <v>249</v>
      </c>
      <c r="J511" s="150">
        <f t="shared" ref="J511:Y511" si="141">J358</f>
        <v>0</v>
      </c>
      <c r="K511" s="150">
        <f t="shared" si="141"/>
        <v>0</v>
      </c>
      <c r="L511" s="150">
        <f t="shared" si="141"/>
        <v>0</v>
      </c>
      <c r="M511" s="150">
        <f t="shared" si="141"/>
        <v>0</v>
      </c>
      <c r="N511" s="150">
        <f t="shared" si="141"/>
        <v>94.747945205479454</v>
      </c>
      <c r="O511" s="150">
        <f t="shared" si="141"/>
        <v>0</v>
      </c>
      <c r="P511" s="150">
        <f t="shared" si="141"/>
        <v>1900.6575342465753</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25">
      <c r="E512" s="129"/>
      <c r="F512" s="2" t="s">
        <v>925</v>
      </c>
      <c r="G512" t="s">
        <v>249</v>
      </c>
      <c r="J512" s="148">
        <f t="shared" ref="J512:Y512" si="142">J387</f>
        <v>0</v>
      </c>
      <c r="K512" s="148">
        <f t="shared" si="142"/>
        <v>0</v>
      </c>
      <c r="L512" s="148">
        <f t="shared" si="142"/>
        <v>0</v>
      </c>
      <c r="M512" s="148">
        <f t="shared" si="142"/>
        <v>0</v>
      </c>
      <c r="N512" s="148">
        <f t="shared" si="142"/>
        <v>15283.993541109261</v>
      </c>
      <c r="O512" s="148">
        <f t="shared" si="142"/>
        <v>104.53150684931506</v>
      </c>
      <c r="P512" s="148">
        <f t="shared" si="142"/>
        <v>2483.0904109589042</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25">
      <c r="E513" s="129"/>
      <c r="F513" s="2" t="s">
        <v>926</v>
      </c>
      <c r="G513" t="s">
        <v>249</v>
      </c>
      <c r="J513" s="148">
        <f t="shared" ref="J513:Y513" si="143">J416</f>
        <v>0</v>
      </c>
      <c r="K513" s="148">
        <f t="shared" si="143"/>
        <v>0</v>
      </c>
      <c r="L513" s="148">
        <f t="shared" si="143"/>
        <v>0</v>
      </c>
      <c r="M513" s="148">
        <f t="shared" si="143"/>
        <v>0</v>
      </c>
      <c r="N513" s="148">
        <f t="shared" si="143"/>
        <v>3904.4962553669961</v>
      </c>
      <c r="O513" s="148">
        <f t="shared" si="143"/>
        <v>66.739726027397253</v>
      </c>
      <c r="P513" s="148">
        <f t="shared" si="143"/>
        <v>2999.0904109589042</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25">
      <c r="E514" s="129"/>
      <c r="F514" s="2" t="s">
        <v>928</v>
      </c>
      <c r="G514" t="s">
        <v>249</v>
      </c>
      <c r="J514" s="149">
        <f t="shared" ref="J514:Y514" si="144">J445</f>
        <v>0</v>
      </c>
      <c r="K514" s="149">
        <f t="shared" si="144"/>
        <v>0</v>
      </c>
      <c r="L514" s="149">
        <f t="shared" si="144"/>
        <v>0</v>
      </c>
      <c r="M514" s="149">
        <f t="shared" si="144"/>
        <v>0</v>
      </c>
      <c r="N514" s="149">
        <f t="shared" si="144"/>
        <v>1583.7018741339436</v>
      </c>
      <c r="O514" s="149">
        <f t="shared" si="144"/>
        <v>129.77534246575343</v>
      </c>
      <c r="P514" s="149">
        <f t="shared" si="144"/>
        <v>1930.1698630136987</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25">
      <c r="E515" s="129"/>
      <c r="F515" s="2" t="s">
        <v>927</v>
      </c>
      <c r="G515" t="s">
        <v>249</v>
      </c>
      <c r="J515" s="149">
        <f t="shared" ref="J515:Y515" si="145">J474</f>
        <v>0</v>
      </c>
      <c r="K515" s="149">
        <f t="shared" si="145"/>
        <v>0</v>
      </c>
      <c r="L515" s="149">
        <f t="shared" si="145"/>
        <v>0</v>
      </c>
      <c r="M515" s="149">
        <f t="shared" si="145"/>
        <v>0</v>
      </c>
      <c r="N515" s="149">
        <f t="shared" si="145"/>
        <v>1918.6273972602739</v>
      </c>
      <c r="O515" s="149">
        <f t="shared" si="145"/>
        <v>1249.5106971666507</v>
      </c>
      <c r="P515" s="149">
        <f t="shared" si="145"/>
        <v>4044.7218251214931</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25">
      <c r="E516" s="129" t="s">
        <v>251</v>
      </c>
      <c r="F516" s="2"/>
      <c r="J516" s="200"/>
      <c r="K516" s="200"/>
      <c r="L516" s="200"/>
      <c r="M516" s="200"/>
      <c r="N516" s="200"/>
      <c r="O516" s="200"/>
      <c r="P516" s="200"/>
      <c r="Q516" s="200"/>
      <c r="R516" s="200"/>
      <c r="S516" s="200"/>
      <c r="T516" s="200"/>
      <c r="U516" s="200"/>
      <c r="V516" s="200"/>
      <c r="W516" s="200"/>
      <c r="X516" s="200"/>
      <c r="Y516" s="200"/>
      <c r="AQ516" s="3"/>
    </row>
    <row r="517" spans="3:43" x14ac:dyDescent="0.25">
      <c r="E517" s="129"/>
      <c r="F517" s="2" t="s">
        <v>924</v>
      </c>
      <c r="G517" t="s">
        <v>252</v>
      </c>
      <c r="J517" s="150">
        <f t="shared" ref="J517:Y517" si="146">J359</f>
        <v>0</v>
      </c>
      <c r="K517" s="150">
        <f t="shared" si="146"/>
        <v>0</v>
      </c>
      <c r="L517" s="150">
        <f t="shared" si="146"/>
        <v>0</v>
      </c>
      <c r="M517" s="150">
        <f t="shared" si="146"/>
        <v>0</v>
      </c>
      <c r="N517" s="150">
        <f t="shared" si="146"/>
        <v>81.983999999999995</v>
      </c>
      <c r="O517" s="150">
        <f t="shared" si="146"/>
        <v>0.121</v>
      </c>
      <c r="P517" s="150">
        <f t="shared" si="146"/>
        <v>2734.0590000000002</v>
      </c>
      <c r="Q517" s="150">
        <f t="shared" si="146"/>
        <v>0</v>
      </c>
      <c r="R517" s="150">
        <f t="shared" si="146"/>
        <v>0</v>
      </c>
      <c r="S517" s="150">
        <f t="shared" si="146"/>
        <v>0</v>
      </c>
      <c r="T517" s="150">
        <f t="shared" si="146"/>
        <v>3123.047</v>
      </c>
      <c r="U517" s="150">
        <f t="shared" si="146"/>
        <v>0</v>
      </c>
      <c r="V517" s="150">
        <f t="shared" si="146"/>
        <v>450.37600000000003</v>
      </c>
      <c r="W517" s="150">
        <f t="shared" si="146"/>
        <v>0</v>
      </c>
      <c r="X517" s="150">
        <f t="shared" si="146"/>
        <v>19742.777000000002</v>
      </c>
      <c r="Y517" s="150">
        <f t="shared" si="146"/>
        <v>0</v>
      </c>
      <c r="AQ517" s="3"/>
    </row>
    <row r="518" spans="3:43" x14ac:dyDescent="0.25">
      <c r="E518" s="129"/>
      <c r="F518" s="2" t="s">
        <v>925</v>
      </c>
      <c r="G518" t="s">
        <v>252</v>
      </c>
      <c r="J518" s="148">
        <f t="shared" ref="J518:Y518" si="147">J388</f>
        <v>0</v>
      </c>
      <c r="K518" s="148">
        <f t="shared" si="147"/>
        <v>0</v>
      </c>
      <c r="L518" s="148">
        <f t="shared" si="147"/>
        <v>0</v>
      </c>
      <c r="M518" s="148">
        <f t="shared" si="147"/>
        <v>0</v>
      </c>
      <c r="N518" s="148">
        <f t="shared" si="147"/>
        <v>30951.974855610108</v>
      </c>
      <c r="O518" s="148">
        <f t="shared" si="147"/>
        <v>129.57873476967572</v>
      </c>
      <c r="P518" s="148">
        <f t="shared" si="147"/>
        <v>10429.701125142999</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25">
      <c r="E519" s="129"/>
      <c r="F519" s="2" t="s">
        <v>926</v>
      </c>
      <c r="G519" t="s">
        <v>252</v>
      </c>
      <c r="J519" s="148">
        <f t="shared" ref="J519:Y519" si="148">J417</f>
        <v>0</v>
      </c>
      <c r="K519" s="148">
        <f t="shared" si="148"/>
        <v>0</v>
      </c>
      <c r="L519" s="148">
        <f t="shared" si="148"/>
        <v>0</v>
      </c>
      <c r="M519" s="148">
        <f t="shared" si="148"/>
        <v>0</v>
      </c>
      <c r="N519" s="148">
        <f t="shared" si="148"/>
        <v>37909.002014712671</v>
      </c>
      <c r="O519" s="148">
        <f t="shared" si="148"/>
        <v>859.70410617774598</v>
      </c>
      <c r="P519" s="148">
        <f t="shared" si="148"/>
        <v>29986.734712501737</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25">
      <c r="E520" s="129"/>
      <c r="F520" s="2" t="s">
        <v>928</v>
      </c>
      <c r="G520" t="s">
        <v>252</v>
      </c>
      <c r="J520" s="149">
        <f t="shared" ref="J520:Y520" si="149">J446</f>
        <v>0</v>
      </c>
      <c r="K520" s="149">
        <f t="shared" si="149"/>
        <v>0</v>
      </c>
      <c r="L520" s="149">
        <f t="shared" si="149"/>
        <v>0</v>
      </c>
      <c r="M520" s="149">
        <f t="shared" si="149"/>
        <v>0</v>
      </c>
      <c r="N520" s="149">
        <f t="shared" si="149"/>
        <v>22382.273252368192</v>
      </c>
      <c r="O520" s="149">
        <f t="shared" si="149"/>
        <v>2257.8437945163264</v>
      </c>
      <c r="P520" s="149">
        <f t="shared" si="149"/>
        <v>24491.119763154144</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25">
      <c r="E521" s="120"/>
      <c r="F521" s="201" t="s">
        <v>927</v>
      </c>
      <c r="G521" s="96" t="s">
        <v>252</v>
      </c>
      <c r="H521" s="96"/>
      <c r="I521" s="96"/>
      <c r="J521" s="148">
        <f t="shared" ref="J521:Y521" si="150">J475</f>
        <v>0</v>
      </c>
      <c r="K521" s="148">
        <f t="shared" si="150"/>
        <v>0</v>
      </c>
      <c r="L521" s="148">
        <f t="shared" si="150"/>
        <v>0</v>
      </c>
      <c r="M521" s="148">
        <f t="shared" si="150"/>
        <v>0</v>
      </c>
      <c r="N521" s="148">
        <f t="shared" si="150"/>
        <v>50996.895033483765</v>
      </c>
      <c r="O521" s="148">
        <f t="shared" si="150"/>
        <v>41615.626149593008</v>
      </c>
      <c r="P521" s="148">
        <f t="shared" si="150"/>
        <v>167805.01624299653</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25">
      <c r="AQ522" s="3"/>
    </row>
    <row r="523" spans="3:43" x14ac:dyDescent="0.2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25">
      <c r="C524" s="75"/>
      <c r="AQ524" s="3"/>
    </row>
    <row r="525" spans="3:43" x14ac:dyDescent="0.25">
      <c r="D525" s="75" t="s">
        <v>1076</v>
      </c>
      <c r="AQ525" s="3"/>
    </row>
    <row r="526" spans="3:43" x14ac:dyDescent="0.25">
      <c r="E526" s="116" t="s">
        <v>245</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25">
      <c r="E527" s="129"/>
      <c r="F527" s="2" t="s">
        <v>924</v>
      </c>
      <c r="G527" t="s">
        <v>205</v>
      </c>
      <c r="J527" s="150">
        <f>J58</f>
        <v>0</v>
      </c>
      <c r="K527" s="150">
        <f t="shared" ref="K527:Y527" si="151">K58</f>
        <v>715.06892412151399</v>
      </c>
      <c r="L527" s="150">
        <f t="shared" si="151"/>
        <v>7.696930981475953</v>
      </c>
      <c r="M527" s="150">
        <f t="shared" si="151"/>
        <v>198.0273246193633</v>
      </c>
      <c r="N527" s="150">
        <f t="shared" si="151"/>
        <v>13.447644288179097</v>
      </c>
      <c r="O527" s="150">
        <f t="shared" si="151"/>
        <v>2.5664192228811378</v>
      </c>
      <c r="P527" s="150">
        <f t="shared" si="151"/>
        <v>242.40888698105309</v>
      </c>
      <c r="Q527" s="150">
        <f t="shared" si="151"/>
        <v>0</v>
      </c>
      <c r="R527" s="150">
        <f t="shared" si="151"/>
        <v>6599.1284284156445</v>
      </c>
      <c r="S527" s="150">
        <f t="shared" si="151"/>
        <v>0</v>
      </c>
      <c r="T527" s="150">
        <f t="shared" si="151"/>
        <v>4225.230599999999</v>
      </c>
      <c r="U527" s="150">
        <f t="shared" si="151"/>
        <v>0</v>
      </c>
      <c r="V527" s="150">
        <f t="shared" si="151"/>
        <v>235.35749999999996</v>
      </c>
      <c r="W527" s="150">
        <f t="shared" si="151"/>
        <v>0</v>
      </c>
      <c r="X527" s="150">
        <f t="shared" si="151"/>
        <v>112429.61859999999</v>
      </c>
      <c r="Y527" s="150">
        <f t="shared" si="151"/>
        <v>0</v>
      </c>
      <c r="AQ527" s="3"/>
    </row>
    <row r="528" spans="3:43" x14ac:dyDescent="0.25">
      <c r="E528" s="129"/>
      <c r="F528" s="2" t="s">
        <v>925</v>
      </c>
      <c r="G528" t="s">
        <v>205</v>
      </c>
      <c r="J528" s="148">
        <f>J67</f>
        <v>579883.72027765436</v>
      </c>
      <c r="K528" s="148">
        <f t="shared" ref="K528:Y528" si="152">K67</f>
        <v>0</v>
      </c>
      <c r="L528" s="148">
        <f t="shared" si="152"/>
        <v>12258.078266776743</v>
      </c>
      <c r="M528" s="148">
        <f t="shared" si="152"/>
        <v>0</v>
      </c>
      <c r="N528" s="148">
        <f t="shared" si="152"/>
        <v>52135.324507523284</v>
      </c>
      <c r="O528" s="148">
        <f t="shared" si="152"/>
        <v>202.99214242792689</v>
      </c>
      <c r="P528" s="148">
        <f t="shared" si="152"/>
        <v>12777.289122671493</v>
      </c>
      <c r="Q528" s="148">
        <f t="shared" si="152"/>
        <v>5937.4754569442684</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25">
      <c r="E529" s="129"/>
      <c r="F529" s="2" t="s">
        <v>926</v>
      </c>
      <c r="G529" t="s">
        <v>205</v>
      </c>
      <c r="J529" s="148">
        <f>J76</f>
        <v>0</v>
      </c>
      <c r="K529" s="148">
        <f t="shared" ref="K529:Y529" si="153">K76</f>
        <v>0</v>
      </c>
      <c r="L529" s="148">
        <f t="shared" si="153"/>
        <v>29158.406938515887</v>
      </c>
      <c r="M529" s="148">
        <f t="shared" si="153"/>
        <v>0</v>
      </c>
      <c r="N529" s="148">
        <f t="shared" si="153"/>
        <v>60095.545827618633</v>
      </c>
      <c r="O529" s="148">
        <f t="shared" si="153"/>
        <v>1236.3318759829881</v>
      </c>
      <c r="P529" s="148">
        <f t="shared" si="153"/>
        <v>46010.796816080023</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25">
      <c r="E530" s="129"/>
      <c r="F530" s="2" t="s">
        <v>928</v>
      </c>
      <c r="G530" t="s">
        <v>205</v>
      </c>
      <c r="J530" s="149">
        <f>J85</f>
        <v>0</v>
      </c>
      <c r="K530" s="149">
        <f t="shared" ref="K530:Y530" si="154">K85</f>
        <v>0</v>
      </c>
      <c r="L530" s="149">
        <f t="shared" si="154"/>
        <v>28526.128746387698</v>
      </c>
      <c r="M530" s="149">
        <f t="shared" si="154"/>
        <v>0</v>
      </c>
      <c r="N530" s="149">
        <f t="shared" si="154"/>
        <v>36828.972836163521</v>
      </c>
      <c r="O530" s="149">
        <f t="shared" si="154"/>
        <v>3823.8592014583974</v>
      </c>
      <c r="P530" s="149">
        <f t="shared" si="154"/>
        <v>41091.386751278791</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25">
      <c r="E531" s="129"/>
      <c r="F531" s="2" t="s">
        <v>927</v>
      </c>
      <c r="G531" t="s">
        <v>205</v>
      </c>
      <c r="J531" s="149">
        <f>J94</f>
        <v>0</v>
      </c>
      <c r="K531" s="149">
        <f t="shared" ref="K531:Y531" si="155">K94</f>
        <v>0</v>
      </c>
      <c r="L531" s="149">
        <f t="shared" si="155"/>
        <v>88426.692759469719</v>
      </c>
      <c r="M531" s="149">
        <f t="shared" si="155"/>
        <v>0</v>
      </c>
      <c r="N531" s="149">
        <f t="shared" si="155"/>
        <v>62348.29685655464</v>
      </c>
      <c r="O531" s="149">
        <f t="shared" si="155"/>
        <v>68009.827254132833</v>
      </c>
      <c r="P531" s="149">
        <f t="shared" si="155"/>
        <v>153851.35500201487</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25">
      <c r="E532" s="118" t="s">
        <v>246</v>
      </c>
      <c r="F532" s="2"/>
      <c r="J532" s="200"/>
      <c r="K532" s="200"/>
      <c r="L532" s="200"/>
      <c r="M532" s="200"/>
      <c r="N532" s="200"/>
      <c r="O532" s="200"/>
      <c r="P532" s="200"/>
      <c r="Q532" s="200"/>
      <c r="R532" s="200"/>
      <c r="S532" s="200"/>
      <c r="T532" s="200"/>
      <c r="U532" s="200"/>
      <c r="V532" s="200"/>
      <c r="W532" s="200"/>
      <c r="X532" s="200"/>
      <c r="Y532" s="200"/>
      <c r="AQ532" s="3"/>
    </row>
    <row r="533" spans="5:43" x14ac:dyDescent="0.25">
      <c r="E533" s="129"/>
      <c r="F533" s="2" t="s">
        <v>924</v>
      </c>
      <c r="G533" t="s">
        <v>205</v>
      </c>
      <c r="J533" s="150">
        <f>J59</f>
        <v>0</v>
      </c>
      <c r="K533" s="150">
        <f t="shared" ref="K533:Y533" si="156">K59</f>
        <v>4081.6408178065876</v>
      </c>
      <c r="L533" s="150">
        <f t="shared" si="156"/>
        <v>25.332240503208126</v>
      </c>
      <c r="M533" s="150">
        <f t="shared" si="156"/>
        <v>646.70434049451774</v>
      </c>
      <c r="N533" s="150">
        <f t="shared" si="156"/>
        <v>40.520219497595626</v>
      </c>
      <c r="O533" s="150">
        <f t="shared" si="156"/>
        <v>11.002529471759216</v>
      </c>
      <c r="P533" s="150">
        <f t="shared" si="156"/>
        <v>1161.2830145445171</v>
      </c>
      <c r="Q533" s="150">
        <f t="shared" si="156"/>
        <v>0</v>
      </c>
      <c r="R533" s="150">
        <f t="shared" si="156"/>
        <v>28720.756111830458</v>
      </c>
      <c r="S533" s="150">
        <f t="shared" si="156"/>
        <v>0</v>
      </c>
      <c r="T533" s="150">
        <f t="shared" si="156"/>
        <v>14462.468000000003</v>
      </c>
      <c r="U533" s="150">
        <f t="shared" si="156"/>
        <v>0</v>
      </c>
      <c r="V533" s="150">
        <f t="shared" si="156"/>
        <v>947.41909999999996</v>
      </c>
      <c r="W533" s="150">
        <f t="shared" si="156"/>
        <v>0</v>
      </c>
      <c r="X533" s="150">
        <f t="shared" si="156"/>
        <v>305558.88569999998</v>
      </c>
      <c r="Y533" s="150">
        <f t="shared" si="156"/>
        <v>0</v>
      </c>
      <c r="AQ533" s="3"/>
    </row>
    <row r="534" spans="5:43" x14ac:dyDescent="0.25">
      <c r="E534" s="129"/>
      <c r="F534" s="2" t="s">
        <v>925</v>
      </c>
      <c r="G534" t="s">
        <v>205</v>
      </c>
      <c r="J534" s="148">
        <f>J68</f>
        <v>1430655.1045502957</v>
      </c>
      <c r="K534" s="148">
        <f t="shared" ref="K534:Y534" si="157">K68</f>
        <v>0</v>
      </c>
      <c r="L534" s="148">
        <f t="shared" si="157"/>
        <v>45535.31819338545</v>
      </c>
      <c r="M534" s="148">
        <f t="shared" si="157"/>
        <v>0</v>
      </c>
      <c r="N534" s="148">
        <f t="shared" si="157"/>
        <v>183989.97677608862</v>
      </c>
      <c r="O534" s="148">
        <f t="shared" si="157"/>
        <v>650.71252434400071</v>
      </c>
      <c r="P534" s="148">
        <f t="shared" si="157"/>
        <v>45197.951800702001</v>
      </c>
      <c r="Q534" s="148">
        <f t="shared" si="157"/>
        <v>24507.063165733918</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25">
      <c r="E535" s="129"/>
      <c r="F535" s="2" t="s">
        <v>926</v>
      </c>
      <c r="G535" t="s">
        <v>205</v>
      </c>
      <c r="J535" s="148">
        <f>J77</f>
        <v>0</v>
      </c>
      <c r="K535" s="148">
        <f t="shared" ref="K535:Y535" si="158">K77</f>
        <v>0</v>
      </c>
      <c r="L535" s="148">
        <f t="shared" si="158"/>
        <v>108813.75209876517</v>
      </c>
      <c r="M535" s="148">
        <f t="shared" si="158"/>
        <v>0</v>
      </c>
      <c r="N535" s="148">
        <f t="shared" si="158"/>
        <v>200290.54233089768</v>
      </c>
      <c r="O535" s="148">
        <f t="shared" si="158"/>
        <v>3959.9119770152979</v>
      </c>
      <c r="P535" s="148">
        <f t="shared" si="158"/>
        <v>152757.53879532445</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25">
      <c r="E536" s="129"/>
      <c r="F536" s="2" t="s">
        <v>928</v>
      </c>
      <c r="G536" t="s">
        <v>205</v>
      </c>
      <c r="J536" s="149">
        <f>J86</f>
        <v>0</v>
      </c>
      <c r="K536" s="149">
        <f t="shared" ref="K536:Y536" si="159">K86</f>
        <v>0</v>
      </c>
      <c r="L536" s="149">
        <f t="shared" si="159"/>
        <v>105525.67882863466</v>
      </c>
      <c r="M536" s="149">
        <f t="shared" si="159"/>
        <v>0</v>
      </c>
      <c r="N536" s="149">
        <f t="shared" si="159"/>
        <v>127169.13986490383</v>
      </c>
      <c r="O536" s="149">
        <f t="shared" si="159"/>
        <v>12247.597024042267</v>
      </c>
      <c r="P536" s="149">
        <f t="shared" si="159"/>
        <v>134647.25017921132</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25">
      <c r="E537" s="129"/>
      <c r="F537" s="2" t="s">
        <v>927</v>
      </c>
      <c r="G537" t="s">
        <v>205</v>
      </c>
      <c r="J537" s="149">
        <f>J95</f>
        <v>0</v>
      </c>
      <c r="K537" s="149">
        <f t="shared" ref="K537:Y537" si="160">K95</f>
        <v>0</v>
      </c>
      <c r="L537" s="149">
        <f t="shared" si="160"/>
        <v>312806.23371116089</v>
      </c>
      <c r="M537" s="149">
        <f t="shared" si="160"/>
        <v>0</v>
      </c>
      <c r="N537" s="149">
        <f t="shared" si="160"/>
        <v>224807.17886229389</v>
      </c>
      <c r="O537" s="149">
        <f t="shared" si="160"/>
        <v>224289.01380512866</v>
      </c>
      <c r="P537" s="149">
        <f t="shared" si="160"/>
        <v>487503.85702717229</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25">
      <c r="E538" s="118" t="s">
        <v>247</v>
      </c>
      <c r="F538" s="2"/>
      <c r="J538" s="200"/>
      <c r="K538" s="200"/>
      <c r="L538" s="200"/>
      <c r="M538" s="200"/>
      <c r="N538" s="200"/>
      <c r="O538" s="200"/>
      <c r="P538" s="200"/>
      <c r="Q538" s="200"/>
      <c r="R538" s="200"/>
      <c r="S538" s="200"/>
      <c r="T538" s="200"/>
      <c r="U538" s="200"/>
      <c r="V538" s="200"/>
      <c r="W538" s="200"/>
      <c r="X538" s="200"/>
      <c r="Y538" s="200"/>
      <c r="AQ538" s="3"/>
    </row>
    <row r="539" spans="5:43" x14ac:dyDescent="0.25">
      <c r="E539" s="129"/>
      <c r="F539" s="2" t="s">
        <v>924</v>
      </c>
      <c r="G539" t="s">
        <v>205</v>
      </c>
      <c r="J539" s="150">
        <f>J60</f>
        <v>0</v>
      </c>
      <c r="K539" s="150">
        <f t="shared" ref="K539:Y539" si="161">K60</f>
        <v>17683.252822043934</v>
      </c>
      <c r="L539" s="150">
        <f t="shared" si="161"/>
        <v>39.923331593029232</v>
      </c>
      <c r="M539" s="150">
        <f t="shared" si="161"/>
        <v>3204.1147499679787</v>
      </c>
      <c r="N539" s="150">
        <f t="shared" si="161"/>
        <v>70.471131041730487</v>
      </c>
      <c r="O539" s="150">
        <f t="shared" si="161"/>
        <v>11.361295850310261</v>
      </c>
      <c r="P539" s="150">
        <f t="shared" si="161"/>
        <v>2208.6032563465164</v>
      </c>
      <c r="Q539" s="150">
        <f t="shared" si="161"/>
        <v>0</v>
      </c>
      <c r="R539" s="150">
        <f t="shared" si="161"/>
        <v>17040.400238646263</v>
      </c>
      <c r="S539" s="150">
        <f t="shared" si="161"/>
        <v>0</v>
      </c>
      <c r="T539" s="150">
        <f t="shared" si="161"/>
        <v>21962.315499999997</v>
      </c>
      <c r="U539" s="150">
        <f t="shared" si="161"/>
        <v>0</v>
      </c>
      <c r="V539" s="150">
        <f t="shared" si="161"/>
        <v>1266.3393000000001</v>
      </c>
      <c r="W539" s="150">
        <f t="shared" si="161"/>
        <v>0</v>
      </c>
      <c r="X539" s="150">
        <f t="shared" si="161"/>
        <v>457934.66330000001</v>
      </c>
      <c r="Y539" s="150">
        <f t="shared" si="161"/>
        <v>0</v>
      </c>
      <c r="AQ539" s="3"/>
    </row>
    <row r="540" spans="5:43" x14ac:dyDescent="0.25">
      <c r="E540" s="129"/>
      <c r="F540" s="2" t="s">
        <v>925</v>
      </c>
      <c r="G540" t="s">
        <v>205</v>
      </c>
      <c r="J540" s="148">
        <f>J69</f>
        <v>2144526.879086318</v>
      </c>
      <c r="K540" s="148">
        <f t="shared" ref="K540:Y540" si="162">K69</f>
        <v>0</v>
      </c>
      <c r="L540" s="148">
        <f t="shared" si="162"/>
        <v>47280.034446671227</v>
      </c>
      <c r="M540" s="148">
        <f t="shared" si="162"/>
        <v>0</v>
      </c>
      <c r="N540" s="148">
        <f t="shared" si="162"/>
        <v>207554.39368217392</v>
      </c>
      <c r="O540" s="148">
        <f t="shared" si="162"/>
        <v>969.79862163028963</v>
      </c>
      <c r="P540" s="148">
        <f t="shared" si="162"/>
        <v>59499.165019762986</v>
      </c>
      <c r="Q540" s="148">
        <f t="shared" si="162"/>
        <v>73996.161970165136</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25">
      <c r="E541" s="129"/>
      <c r="F541" s="2" t="s">
        <v>926</v>
      </c>
      <c r="G541" t="s">
        <v>205</v>
      </c>
      <c r="J541" s="148">
        <f>J78</f>
        <v>0</v>
      </c>
      <c r="K541" s="148">
        <f t="shared" ref="K541:Y541" si="163">K78</f>
        <v>0</v>
      </c>
      <c r="L541" s="148">
        <f t="shared" si="163"/>
        <v>112611.67120953253</v>
      </c>
      <c r="M541" s="148">
        <f t="shared" si="163"/>
        <v>0</v>
      </c>
      <c r="N541" s="148">
        <f t="shared" si="163"/>
        <v>234321.50176221589</v>
      </c>
      <c r="O541" s="148">
        <f t="shared" si="163"/>
        <v>5536.7329464132736</v>
      </c>
      <c r="P541" s="148">
        <f t="shared" si="163"/>
        <v>209436.08229326349</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25">
      <c r="E542" s="129"/>
      <c r="F542" s="2" t="s">
        <v>928</v>
      </c>
      <c r="G542" t="s">
        <v>205</v>
      </c>
      <c r="J542" s="149">
        <f>J87</f>
        <v>0</v>
      </c>
      <c r="K542" s="149">
        <f t="shared" ref="K542:Y542" si="164">K87</f>
        <v>0</v>
      </c>
      <c r="L542" s="149">
        <f t="shared" si="164"/>
        <v>114192.44307093632</v>
      </c>
      <c r="M542" s="149">
        <f t="shared" si="164"/>
        <v>0</v>
      </c>
      <c r="N542" s="149">
        <f t="shared" si="164"/>
        <v>149128.24605172256</v>
      </c>
      <c r="O542" s="149">
        <f t="shared" si="164"/>
        <v>17663.053036980134</v>
      </c>
      <c r="P542" s="149">
        <f t="shared" si="164"/>
        <v>178323.48614948278</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25">
      <c r="E543" s="129"/>
      <c r="F543" s="2" t="s">
        <v>927</v>
      </c>
      <c r="G543" t="s">
        <v>205</v>
      </c>
      <c r="J543" s="149">
        <f>J96</f>
        <v>0</v>
      </c>
      <c r="K543" s="149">
        <f t="shared" ref="K543:Y543" si="165">K96</f>
        <v>0</v>
      </c>
      <c r="L543" s="149">
        <f t="shared" si="165"/>
        <v>356653.55904973327</v>
      </c>
      <c r="M543" s="149">
        <f t="shared" si="165"/>
        <v>0</v>
      </c>
      <c r="N543" s="149">
        <f t="shared" si="165"/>
        <v>257080.66833231715</v>
      </c>
      <c r="O543" s="149">
        <f t="shared" si="165"/>
        <v>307183.24702094012</v>
      </c>
      <c r="P543" s="149">
        <f t="shared" si="165"/>
        <v>723222.40697721124</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25">
      <c r="E544" s="118" t="s">
        <v>210</v>
      </c>
      <c r="F544" s="2"/>
      <c r="J544" s="200"/>
      <c r="K544" s="200"/>
      <c r="L544" s="200"/>
      <c r="M544" s="200"/>
      <c r="N544" s="200"/>
      <c r="O544" s="200"/>
      <c r="P544" s="200"/>
      <c r="Q544" s="200"/>
      <c r="R544" s="200"/>
      <c r="S544" s="200"/>
      <c r="T544" s="200"/>
      <c r="U544" s="200"/>
      <c r="V544" s="200"/>
      <c r="W544" s="200"/>
      <c r="X544" s="200"/>
      <c r="Y544" s="200"/>
      <c r="AQ544" s="3"/>
    </row>
    <row r="545" spans="5:43" x14ac:dyDescent="0.25">
      <c r="E545" s="129"/>
      <c r="F545" s="2" t="s">
        <v>924</v>
      </c>
      <c r="G545" t="s">
        <v>210</v>
      </c>
      <c r="J545" s="150">
        <f>J61</f>
        <v>0</v>
      </c>
      <c r="K545" s="150">
        <f t="shared" ref="K545:Y545" si="166">K61</f>
        <v>7577.1293347193641</v>
      </c>
      <c r="L545" s="150">
        <f t="shared" si="166"/>
        <v>9.9596740630511906</v>
      </c>
      <c r="M545" s="150">
        <f t="shared" si="166"/>
        <v>589.96666666666681</v>
      </c>
      <c r="N545" s="150">
        <f t="shared" si="166"/>
        <v>14.217631648321902</v>
      </c>
      <c r="O545" s="150">
        <f t="shared" si="166"/>
        <v>1.1300558635282172</v>
      </c>
      <c r="P545" s="150">
        <f t="shared" si="166"/>
        <v>79.202625039218034</v>
      </c>
      <c r="Q545" s="150">
        <f t="shared" si="166"/>
        <v>0</v>
      </c>
      <c r="R545" s="150">
        <f t="shared" si="166"/>
        <v>24062.24357489097</v>
      </c>
      <c r="S545" s="150">
        <f t="shared" si="166"/>
        <v>0</v>
      </c>
      <c r="T545" s="150">
        <f t="shared" si="166"/>
        <v>372</v>
      </c>
      <c r="U545" s="150">
        <f t="shared" si="166"/>
        <v>0</v>
      </c>
      <c r="V545" s="150">
        <f t="shared" si="166"/>
        <v>36</v>
      </c>
      <c r="W545" s="150">
        <f t="shared" si="166"/>
        <v>0</v>
      </c>
      <c r="X545" s="150">
        <f t="shared" si="166"/>
        <v>176</v>
      </c>
      <c r="Y545" s="150">
        <f t="shared" si="166"/>
        <v>0</v>
      </c>
      <c r="AQ545" s="3"/>
    </row>
    <row r="546" spans="5:43" x14ac:dyDescent="0.25">
      <c r="E546" s="129"/>
      <c r="F546" s="2" t="s">
        <v>925</v>
      </c>
      <c r="G546" t="s">
        <v>210</v>
      </c>
      <c r="J546" s="148">
        <f>J70</f>
        <v>1493778.5153092039</v>
      </c>
      <c r="K546" s="148">
        <f t="shared" ref="K546:Y546" si="167">K70</f>
        <v>0</v>
      </c>
      <c r="L546" s="148">
        <f t="shared" si="167"/>
        <v>37167.77725980278</v>
      </c>
      <c r="M546" s="148">
        <f t="shared" si="167"/>
        <v>0</v>
      </c>
      <c r="N546" s="148">
        <f t="shared" si="167"/>
        <v>5811.9647088104448</v>
      </c>
      <c r="O546" s="148">
        <f t="shared" si="167"/>
        <v>10.170502771753956</v>
      </c>
      <c r="P546" s="148">
        <f t="shared" si="167"/>
        <v>218.31492799271635</v>
      </c>
      <c r="Q546" s="148">
        <f t="shared" si="167"/>
        <v>915.3</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25">
      <c r="E547" s="129"/>
      <c r="F547" s="2" t="s">
        <v>926</v>
      </c>
      <c r="G547" t="s">
        <v>210</v>
      </c>
      <c r="J547" s="148">
        <f>J79</f>
        <v>0</v>
      </c>
      <c r="K547" s="148">
        <f t="shared" ref="K547:Y547" si="168">K79</f>
        <v>0</v>
      </c>
      <c r="L547" s="148">
        <f t="shared" si="168"/>
        <v>31815.382020491983</v>
      </c>
      <c r="M547" s="148">
        <f t="shared" si="168"/>
        <v>0</v>
      </c>
      <c r="N547" s="148">
        <f t="shared" si="168"/>
        <v>2997.8891875604468</v>
      </c>
      <c r="O547" s="148">
        <f t="shared" si="168"/>
        <v>33.90167590584651</v>
      </c>
      <c r="P547" s="148">
        <f t="shared" si="168"/>
        <v>282.28627898593101</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25">
      <c r="E548" s="129"/>
      <c r="F548" s="2" t="s">
        <v>928</v>
      </c>
      <c r="G548" t="s">
        <v>210</v>
      </c>
      <c r="J548" s="149">
        <f>J88</f>
        <v>0</v>
      </c>
      <c r="K548" s="149">
        <f t="shared" ref="K548:Y548" si="169">K88</f>
        <v>0</v>
      </c>
      <c r="L548" s="149">
        <f t="shared" si="169"/>
        <v>14625.283377887516</v>
      </c>
      <c r="M548" s="149">
        <f t="shared" si="169"/>
        <v>0</v>
      </c>
      <c r="N548" s="149">
        <f t="shared" si="169"/>
        <v>1261.3070362297005</v>
      </c>
      <c r="O548" s="149">
        <f t="shared" si="169"/>
        <v>64.413184221108395</v>
      </c>
      <c r="P548" s="149">
        <f t="shared" si="169"/>
        <v>136.06604814429764</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25">
      <c r="E549" s="129"/>
      <c r="F549" s="2" t="s">
        <v>927</v>
      </c>
      <c r="G549" t="s">
        <v>210</v>
      </c>
      <c r="J549" s="149">
        <f>J97</f>
        <v>0</v>
      </c>
      <c r="K549" s="149">
        <f t="shared" ref="K549:Y549" si="170">K97</f>
        <v>0</v>
      </c>
      <c r="L549" s="149">
        <f t="shared" si="170"/>
        <v>16549.260014474206</v>
      </c>
      <c r="M549" s="149">
        <f t="shared" si="170"/>
        <v>0</v>
      </c>
      <c r="N549" s="149">
        <f t="shared" si="170"/>
        <v>1046.0114712693974</v>
      </c>
      <c r="O549" s="149">
        <f t="shared" si="170"/>
        <v>620.40066907699111</v>
      </c>
      <c r="P549" s="149">
        <f t="shared" si="170"/>
        <v>193.94488951911072</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25">
      <c r="E550" s="118" t="s">
        <v>248</v>
      </c>
      <c r="F550" s="2"/>
      <c r="J550" s="200"/>
      <c r="K550" s="200"/>
      <c r="L550" s="200"/>
      <c r="M550" s="200"/>
      <c r="N550" s="200"/>
      <c r="O550" s="200"/>
      <c r="P550" s="200"/>
      <c r="Q550" s="200"/>
      <c r="R550" s="200"/>
      <c r="S550" s="200"/>
      <c r="T550" s="200"/>
      <c r="U550" s="200"/>
      <c r="V550" s="200"/>
      <c r="W550" s="200"/>
      <c r="X550" s="200"/>
      <c r="Y550" s="200"/>
      <c r="AQ550" s="3"/>
    </row>
    <row r="551" spans="5:43" x14ac:dyDescent="0.25">
      <c r="E551" s="129"/>
      <c r="F551" s="2" t="s">
        <v>924</v>
      </c>
      <c r="G551" t="s">
        <v>249</v>
      </c>
      <c r="J551" s="150">
        <f>J62</f>
        <v>0</v>
      </c>
      <c r="K551" s="150">
        <f t="shared" ref="K551:Y551" si="171">K62</f>
        <v>0</v>
      </c>
      <c r="L551" s="150">
        <f t="shared" si="171"/>
        <v>0</v>
      </c>
      <c r="M551" s="150">
        <f t="shared" si="171"/>
        <v>0</v>
      </c>
      <c r="N551" s="150">
        <f t="shared" si="171"/>
        <v>843</v>
      </c>
      <c r="O551" s="150">
        <f t="shared" si="171"/>
        <v>40</v>
      </c>
      <c r="P551" s="150">
        <f t="shared" si="171"/>
        <v>18295</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25">
      <c r="E552" s="129"/>
      <c r="F552" s="2" t="s">
        <v>925</v>
      </c>
      <c r="G552" t="s">
        <v>249</v>
      </c>
      <c r="J552" s="148">
        <f>J71</f>
        <v>0</v>
      </c>
      <c r="K552" s="148">
        <f t="shared" ref="K552:Y552" si="172">K71</f>
        <v>0</v>
      </c>
      <c r="L552" s="148">
        <f t="shared" si="172"/>
        <v>0</v>
      </c>
      <c r="M552" s="148">
        <f t="shared" si="172"/>
        <v>0</v>
      </c>
      <c r="N552" s="148">
        <f t="shared" si="172"/>
        <v>254239</v>
      </c>
      <c r="O552" s="148">
        <f t="shared" si="172"/>
        <v>465</v>
      </c>
      <c r="P552" s="148">
        <f t="shared" si="172"/>
        <v>57982</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25">
      <c r="E553" s="129"/>
      <c r="F553" s="2" t="s">
        <v>926</v>
      </c>
      <c r="G553" t="s">
        <v>249</v>
      </c>
      <c r="J553" s="148">
        <f>J80</f>
        <v>0</v>
      </c>
      <c r="K553" s="148">
        <f t="shared" ref="K553:Y553" si="173">K80</f>
        <v>0</v>
      </c>
      <c r="L553" s="148">
        <f t="shared" si="173"/>
        <v>0</v>
      </c>
      <c r="M553" s="148">
        <f t="shared" si="173"/>
        <v>0</v>
      </c>
      <c r="N553" s="148">
        <f t="shared" si="173"/>
        <v>338005</v>
      </c>
      <c r="O553" s="148">
        <f t="shared" si="173"/>
        <v>4520</v>
      </c>
      <c r="P553" s="148">
        <f t="shared" si="173"/>
        <v>196857</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25">
      <c r="E554" s="129"/>
      <c r="F554" s="2" t="s">
        <v>928</v>
      </c>
      <c r="G554" t="s">
        <v>249</v>
      </c>
      <c r="J554" s="149">
        <f>J89</f>
        <v>0</v>
      </c>
      <c r="K554" s="149">
        <f t="shared" ref="K554:Y554" si="174">K89</f>
        <v>0</v>
      </c>
      <c r="L554" s="149">
        <f t="shared" si="174"/>
        <v>0</v>
      </c>
      <c r="M554" s="149">
        <f t="shared" si="174"/>
        <v>0</v>
      </c>
      <c r="N554" s="149">
        <f t="shared" si="174"/>
        <v>231229</v>
      </c>
      <c r="O554" s="149">
        <f t="shared" si="174"/>
        <v>11840</v>
      </c>
      <c r="P554" s="149">
        <f t="shared" si="174"/>
        <v>188257</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25">
      <c r="E555" s="129"/>
      <c r="F555" s="2" t="s">
        <v>927</v>
      </c>
      <c r="G555" t="s">
        <v>249</v>
      </c>
      <c r="J555" s="149">
        <f>J98</f>
        <v>0</v>
      </c>
      <c r="K555" s="149">
        <f t="shared" ref="K555:Y555" si="175">K98</f>
        <v>0</v>
      </c>
      <c r="L555" s="149">
        <f t="shared" si="175"/>
        <v>0</v>
      </c>
      <c r="M555" s="149">
        <f t="shared" si="175"/>
        <v>0</v>
      </c>
      <c r="N555" s="149">
        <f t="shared" si="175"/>
        <v>396537</v>
      </c>
      <c r="O555" s="149">
        <f t="shared" si="175"/>
        <v>308442</v>
      </c>
      <c r="P555" s="149">
        <f t="shared" si="175"/>
        <v>718872</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25">
      <c r="E556" s="118" t="s">
        <v>250</v>
      </c>
      <c r="F556" s="2"/>
      <c r="J556" s="200"/>
      <c r="K556" s="200"/>
      <c r="L556" s="200"/>
      <c r="M556" s="200"/>
      <c r="N556" s="200"/>
      <c r="O556" s="200"/>
      <c r="P556" s="200"/>
      <c r="Q556" s="200"/>
      <c r="R556" s="200"/>
      <c r="S556" s="200"/>
      <c r="T556" s="200"/>
      <c r="U556" s="200"/>
      <c r="V556" s="200"/>
      <c r="W556" s="200"/>
      <c r="X556" s="200"/>
      <c r="Y556" s="200"/>
      <c r="AQ556" s="3"/>
    </row>
    <row r="557" spans="5:43" x14ac:dyDescent="0.25">
      <c r="E557" s="129"/>
      <c r="F557" s="2" t="s">
        <v>924</v>
      </c>
      <c r="G557" t="s">
        <v>249</v>
      </c>
      <c r="J557" s="150">
        <f>J63</f>
        <v>0</v>
      </c>
      <c r="K557" s="150">
        <f t="shared" ref="K557:Y557" si="176">K63</f>
        <v>0</v>
      </c>
      <c r="L557" s="150">
        <f t="shared" si="176"/>
        <v>0</v>
      </c>
      <c r="M557" s="150">
        <f t="shared" si="176"/>
        <v>0</v>
      </c>
      <c r="N557" s="150">
        <f t="shared" si="176"/>
        <v>94.747945205479454</v>
      </c>
      <c r="O557" s="150">
        <f t="shared" si="176"/>
        <v>0</v>
      </c>
      <c r="P557" s="150">
        <f t="shared" si="176"/>
        <v>1900.6575342465753</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25">
      <c r="E558" s="129"/>
      <c r="F558" s="2" t="s">
        <v>925</v>
      </c>
      <c r="G558" t="s">
        <v>249</v>
      </c>
      <c r="J558" s="148">
        <f>J72</f>
        <v>0</v>
      </c>
      <c r="K558" s="148">
        <f t="shared" ref="K558:Y558" si="177">K72</f>
        <v>0</v>
      </c>
      <c r="L558" s="148">
        <f t="shared" si="177"/>
        <v>0</v>
      </c>
      <c r="M558" s="148">
        <f t="shared" si="177"/>
        <v>0</v>
      </c>
      <c r="N558" s="148">
        <f t="shared" si="177"/>
        <v>15271.972602739726</v>
      </c>
      <c r="O558" s="148">
        <f t="shared" si="177"/>
        <v>104.53150684931506</v>
      </c>
      <c r="P558" s="148">
        <f t="shared" si="177"/>
        <v>2483.0904109589042</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25">
      <c r="E559" s="129"/>
      <c r="F559" s="2" t="s">
        <v>926</v>
      </c>
      <c r="G559" t="s">
        <v>249</v>
      </c>
      <c r="J559" s="148">
        <f>J81</f>
        <v>0</v>
      </c>
      <c r="K559" s="148">
        <f t="shared" ref="K559:Y559" si="178">K81</f>
        <v>0</v>
      </c>
      <c r="L559" s="148">
        <f t="shared" si="178"/>
        <v>0</v>
      </c>
      <c r="M559" s="148">
        <f t="shared" si="178"/>
        <v>0</v>
      </c>
      <c r="N559" s="148">
        <f t="shared" si="178"/>
        <v>3904.3616438356166</v>
      </c>
      <c r="O559" s="148">
        <f t="shared" si="178"/>
        <v>66.739726027397253</v>
      </c>
      <c r="P559" s="148">
        <f t="shared" si="178"/>
        <v>2999.0904109589042</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25">
      <c r="E560" s="129"/>
      <c r="F560" s="2" t="s">
        <v>928</v>
      </c>
      <c r="G560" t="s">
        <v>249</v>
      </c>
      <c r="J560" s="149">
        <f>J90</f>
        <v>0</v>
      </c>
      <c r="K560" s="149">
        <f t="shared" ref="K560:Y560" si="179">K90</f>
        <v>0</v>
      </c>
      <c r="L560" s="149">
        <f t="shared" si="179"/>
        <v>0</v>
      </c>
      <c r="M560" s="149">
        <f t="shared" si="179"/>
        <v>0</v>
      </c>
      <c r="N560" s="149">
        <f t="shared" si="179"/>
        <v>1581.5972602739726</v>
      </c>
      <c r="O560" s="149">
        <f t="shared" si="179"/>
        <v>129.77534246575343</v>
      </c>
      <c r="P560" s="149">
        <f t="shared" si="179"/>
        <v>1930.1698630136987</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25">
      <c r="E561" s="129"/>
      <c r="F561" s="2" t="s">
        <v>927</v>
      </c>
      <c r="G561" t="s">
        <v>249</v>
      </c>
      <c r="J561" s="149">
        <f>J99</f>
        <v>0</v>
      </c>
      <c r="K561" s="149">
        <f t="shared" ref="K561:Y561" si="180">K99</f>
        <v>0</v>
      </c>
      <c r="L561" s="149">
        <f t="shared" si="180"/>
        <v>0</v>
      </c>
      <c r="M561" s="149">
        <f t="shared" si="180"/>
        <v>0</v>
      </c>
      <c r="N561" s="149">
        <f t="shared" si="180"/>
        <v>1918.6273972602739</v>
      </c>
      <c r="O561" s="149">
        <f t="shared" si="180"/>
        <v>1205.8054794520549</v>
      </c>
      <c r="P561" s="149">
        <f t="shared" si="180"/>
        <v>3922.6410958904112</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25">
      <c r="E562" s="129" t="s">
        <v>251</v>
      </c>
      <c r="F562" s="2"/>
      <c r="J562" s="200"/>
      <c r="K562" s="200"/>
      <c r="L562" s="200"/>
      <c r="M562" s="200"/>
      <c r="N562" s="200"/>
      <c r="O562" s="200"/>
      <c r="P562" s="200"/>
      <c r="Q562" s="200"/>
      <c r="R562" s="200"/>
      <c r="S562" s="200"/>
      <c r="T562" s="200"/>
      <c r="U562" s="200"/>
      <c r="V562" s="200"/>
      <c r="W562" s="200"/>
      <c r="X562" s="200"/>
      <c r="Y562" s="200"/>
      <c r="AQ562" s="3"/>
    </row>
    <row r="563" spans="4:43" x14ac:dyDescent="0.25">
      <c r="E563" s="129"/>
      <c r="F563" s="2" t="s">
        <v>924</v>
      </c>
      <c r="G563" t="s">
        <v>252</v>
      </c>
      <c r="J563" s="150">
        <f>J64</f>
        <v>0</v>
      </c>
      <c r="K563" s="150">
        <f t="shared" ref="K563:Y563" si="181">K64</f>
        <v>0</v>
      </c>
      <c r="L563" s="150">
        <f t="shared" si="181"/>
        <v>0</v>
      </c>
      <c r="M563" s="150">
        <f t="shared" si="181"/>
        <v>0</v>
      </c>
      <c r="N563" s="150">
        <f t="shared" si="181"/>
        <v>81.983999999999995</v>
      </c>
      <c r="O563" s="150">
        <f t="shared" si="181"/>
        <v>0.121</v>
      </c>
      <c r="P563" s="150">
        <f t="shared" si="181"/>
        <v>2734.0590000000002</v>
      </c>
      <c r="Q563" s="150">
        <f t="shared" si="181"/>
        <v>0</v>
      </c>
      <c r="R563" s="150">
        <f t="shared" si="181"/>
        <v>0</v>
      </c>
      <c r="S563" s="150">
        <f t="shared" si="181"/>
        <v>0</v>
      </c>
      <c r="T563" s="150">
        <f t="shared" si="181"/>
        <v>2476.223</v>
      </c>
      <c r="U563" s="150">
        <f t="shared" si="181"/>
        <v>0</v>
      </c>
      <c r="V563" s="150">
        <f t="shared" si="181"/>
        <v>449.26600000000002</v>
      </c>
      <c r="W563" s="150">
        <f t="shared" si="181"/>
        <v>0</v>
      </c>
      <c r="X563" s="150">
        <f t="shared" si="181"/>
        <v>19742.777000000002</v>
      </c>
      <c r="Y563" s="150">
        <f t="shared" si="181"/>
        <v>0</v>
      </c>
      <c r="AQ563" s="3"/>
    </row>
    <row r="564" spans="4:43" x14ac:dyDescent="0.25">
      <c r="E564" s="129"/>
      <c r="F564" s="2" t="s">
        <v>925</v>
      </c>
      <c r="G564" t="s">
        <v>252</v>
      </c>
      <c r="J564" s="148">
        <f>J73</f>
        <v>0</v>
      </c>
      <c r="K564" s="148">
        <f t="shared" ref="K564:Y564" si="182">K73</f>
        <v>0</v>
      </c>
      <c r="L564" s="148">
        <f t="shared" si="182"/>
        <v>0</v>
      </c>
      <c r="M564" s="148">
        <f t="shared" si="182"/>
        <v>0</v>
      </c>
      <c r="N564" s="148">
        <f t="shared" si="182"/>
        <v>30892.314999999999</v>
      </c>
      <c r="O564" s="148">
        <f t="shared" si="182"/>
        <v>114.407</v>
      </c>
      <c r="P564" s="148">
        <f t="shared" si="182"/>
        <v>10425.413</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25">
      <c r="E565" s="129"/>
      <c r="F565" s="2" t="s">
        <v>926</v>
      </c>
      <c r="G565" t="s">
        <v>252</v>
      </c>
      <c r="J565" s="148">
        <f>J82</f>
        <v>0</v>
      </c>
      <c r="K565" s="148">
        <f t="shared" ref="K565:Y565" si="183">K82</f>
        <v>0</v>
      </c>
      <c r="L565" s="148">
        <f t="shared" si="183"/>
        <v>0</v>
      </c>
      <c r="M565" s="148">
        <f t="shared" si="183"/>
        <v>0</v>
      </c>
      <c r="N565" s="148">
        <f t="shared" si="183"/>
        <v>37540.389000000003</v>
      </c>
      <c r="O565" s="148">
        <f t="shared" si="183"/>
        <v>856.41800000000001</v>
      </c>
      <c r="P565" s="148">
        <f t="shared" si="183"/>
        <v>29969.406999999999</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25">
      <c r="E566" s="129"/>
      <c r="F566" s="2" t="s">
        <v>928</v>
      </c>
      <c r="G566" t="s">
        <v>252</v>
      </c>
      <c r="J566" s="149">
        <f>J91</f>
        <v>0</v>
      </c>
      <c r="K566" s="149">
        <f t="shared" ref="K566:Y566" si="184">K91</f>
        <v>0</v>
      </c>
      <c r="L566" s="149">
        <f t="shared" si="184"/>
        <v>0</v>
      </c>
      <c r="M566" s="149">
        <f t="shared" si="184"/>
        <v>0</v>
      </c>
      <c r="N566" s="149">
        <f t="shared" si="184"/>
        <v>21900.852999999999</v>
      </c>
      <c r="O566" s="149">
        <f t="shared" si="184"/>
        <v>2245.5549999999998</v>
      </c>
      <c r="P566" s="149">
        <f t="shared" si="184"/>
        <v>23654.614000000001</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25">
      <c r="E567" s="120"/>
      <c r="F567" s="201" t="s">
        <v>927</v>
      </c>
      <c r="G567" s="96" t="s">
        <v>252</v>
      </c>
      <c r="H567" s="96"/>
      <c r="I567" s="96"/>
      <c r="J567" s="148">
        <f>J100</f>
        <v>0</v>
      </c>
      <c r="K567" s="148">
        <f t="shared" ref="K567:Y567" si="185">K100</f>
        <v>0</v>
      </c>
      <c r="L567" s="148">
        <f t="shared" si="185"/>
        <v>0</v>
      </c>
      <c r="M567" s="148">
        <f t="shared" si="185"/>
        <v>0</v>
      </c>
      <c r="N567" s="148">
        <f t="shared" si="185"/>
        <v>48141.654000000002</v>
      </c>
      <c r="O567" s="148">
        <f t="shared" si="185"/>
        <v>41099.591999999997</v>
      </c>
      <c r="P567" s="148">
        <f t="shared" si="185"/>
        <v>167436.514</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25">
      <c r="AQ568" s="3"/>
    </row>
    <row r="569" spans="4:43" x14ac:dyDescent="0.25">
      <c r="D569" s="75" t="s">
        <v>1077</v>
      </c>
      <c r="AQ569" s="3"/>
    </row>
    <row r="570" spans="4:43" x14ac:dyDescent="0.25">
      <c r="E570" s="116" t="s">
        <v>245</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25">
      <c r="E571" s="129"/>
      <c r="F571" s="2" t="s">
        <v>924</v>
      </c>
      <c r="G571" t="s">
        <v>205</v>
      </c>
      <c r="J571" s="150">
        <f>J105</f>
        <v>0</v>
      </c>
      <c r="K571" s="150">
        <f t="shared" ref="K571:Y571" si="186">K105</f>
        <v>0</v>
      </c>
      <c r="L571" s="150">
        <f t="shared" si="186"/>
        <v>0</v>
      </c>
      <c r="M571" s="150">
        <f t="shared" si="186"/>
        <v>0</v>
      </c>
      <c r="N571" s="150">
        <f t="shared" si="186"/>
        <v>0</v>
      </c>
      <c r="O571" s="150">
        <f t="shared" si="186"/>
        <v>0</v>
      </c>
      <c r="P571" s="150">
        <f t="shared" si="186"/>
        <v>0</v>
      </c>
      <c r="Q571" s="150">
        <f t="shared" si="186"/>
        <v>0</v>
      </c>
      <c r="R571" s="150">
        <f t="shared" si="186"/>
        <v>159.863</v>
      </c>
      <c r="S571" s="150">
        <f t="shared" si="186"/>
        <v>0</v>
      </c>
      <c r="T571" s="150">
        <f t="shared" si="186"/>
        <v>0</v>
      </c>
      <c r="U571" s="150">
        <f t="shared" si="186"/>
        <v>0</v>
      </c>
      <c r="V571" s="150">
        <f t="shared" si="186"/>
        <v>0</v>
      </c>
      <c r="W571" s="150">
        <f t="shared" si="186"/>
        <v>0</v>
      </c>
      <c r="X571" s="150">
        <f t="shared" si="186"/>
        <v>0</v>
      </c>
      <c r="Y571" s="150">
        <f t="shared" si="186"/>
        <v>0</v>
      </c>
      <c r="AQ571" s="3"/>
    </row>
    <row r="572" spans="4:43" x14ac:dyDescent="0.25">
      <c r="E572" s="129"/>
      <c r="F572" s="2" t="s">
        <v>925</v>
      </c>
      <c r="G572" t="s">
        <v>205</v>
      </c>
      <c r="J572" s="148">
        <f>J114</f>
        <v>16127.506661950501</v>
      </c>
      <c r="K572" s="148">
        <f t="shared" ref="K572:Y572" si="187">K114</f>
        <v>0</v>
      </c>
      <c r="L572" s="148">
        <f t="shared" si="187"/>
        <v>329.07846552302044</v>
      </c>
      <c r="M572" s="148">
        <f t="shared" si="187"/>
        <v>0</v>
      </c>
      <c r="N572" s="148">
        <f t="shared" si="187"/>
        <v>69.139060154742793</v>
      </c>
      <c r="O572" s="148">
        <f t="shared" si="187"/>
        <v>0</v>
      </c>
      <c r="P572" s="148">
        <f t="shared" si="187"/>
        <v>0</v>
      </c>
      <c r="Q572" s="148">
        <f t="shared" si="187"/>
        <v>14.024757151810981</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25">
      <c r="E573" s="129"/>
      <c r="F573" s="2" t="s">
        <v>926</v>
      </c>
      <c r="G573" t="s">
        <v>205</v>
      </c>
      <c r="J573" s="148">
        <f>J123</f>
        <v>0</v>
      </c>
      <c r="K573" s="148">
        <f t="shared" ref="K573:Y573" si="188">K123</f>
        <v>0</v>
      </c>
      <c r="L573" s="148">
        <f t="shared" si="188"/>
        <v>93.827394510249619</v>
      </c>
      <c r="M573" s="148">
        <f t="shared" si="188"/>
        <v>0</v>
      </c>
      <c r="N573" s="148">
        <f t="shared" si="188"/>
        <v>720.85360039384284</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25">
      <c r="E574" s="129"/>
      <c r="F574" s="2" t="s">
        <v>928</v>
      </c>
      <c r="G574" t="s">
        <v>205</v>
      </c>
      <c r="J574" s="149">
        <f>J132</f>
        <v>0</v>
      </c>
      <c r="K574" s="149">
        <f t="shared" ref="K574:Y574" si="189">K132</f>
        <v>0</v>
      </c>
      <c r="L574" s="149">
        <f t="shared" si="189"/>
        <v>118.17195849188202</v>
      </c>
      <c r="M574" s="149">
        <f t="shared" si="189"/>
        <v>0</v>
      </c>
      <c r="N574" s="149">
        <f t="shared" si="189"/>
        <v>1229.971444169684</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25">
      <c r="E575" s="129"/>
      <c r="F575" s="2" t="s">
        <v>927</v>
      </c>
      <c r="G575" t="s">
        <v>205</v>
      </c>
      <c r="J575" s="149">
        <f>J141</f>
        <v>0</v>
      </c>
      <c r="K575" s="149">
        <f t="shared" ref="K575:Y575" si="190">K141</f>
        <v>0</v>
      </c>
      <c r="L575" s="149">
        <f t="shared" si="190"/>
        <v>61.470355801425313</v>
      </c>
      <c r="M575" s="149">
        <f t="shared" si="190"/>
        <v>0</v>
      </c>
      <c r="N575" s="149">
        <f t="shared" si="190"/>
        <v>651.8457421548685</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25">
      <c r="E576" s="118" t="s">
        <v>246</v>
      </c>
      <c r="F576" s="2"/>
      <c r="J576" s="200"/>
      <c r="K576" s="200"/>
      <c r="L576" s="200"/>
      <c r="M576" s="200"/>
      <c r="N576" s="200"/>
      <c r="O576" s="200"/>
      <c r="P576" s="200"/>
      <c r="Q576" s="200"/>
      <c r="R576" s="200"/>
      <c r="S576" s="200"/>
      <c r="T576" s="200"/>
      <c r="U576" s="200"/>
      <c r="V576" s="200"/>
      <c r="W576" s="200"/>
      <c r="X576" s="200"/>
      <c r="Y576" s="200"/>
      <c r="AQ576" s="3"/>
    </row>
    <row r="577" spans="5:43" x14ac:dyDescent="0.25">
      <c r="E577" s="129"/>
      <c r="F577" s="2" t="s">
        <v>924</v>
      </c>
      <c r="G577" t="s">
        <v>205</v>
      </c>
      <c r="J577" s="150">
        <f>J106</f>
        <v>0</v>
      </c>
      <c r="K577" s="150">
        <f t="shared" ref="K577:Y577" si="191">K106</f>
        <v>0</v>
      </c>
      <c r="L577" s="150">
        <f t="shared" si="191"/>
        <v>0</v>
      </c>
      <c r="M577" s="150">
        <f t="shared" si="191"/>
        <v>0</v>
      </c>
      <c r="N577" s="150">
        <f t="shared" si="191"/>
        <v>0</v>
      </c>
      <c r="O577" s="150">
        <f t="shared" si="191"/>
        <v>0</v>
      </c>
      <c r="P577" s="150">
        <f t="shared" si="191"/>
        <v>0</v>
      </c>
      <c r="Q577" s="150">
        <f t="shared" si="191"/>
        <v>0</v>
      </c>
      <c r="R577" s="150">
        <f t="shared" si="191"/>
        <v>706.57100000000003</v>
      </c>
      <c r="S577" s="150">
        <f t="shared" si="191"/>
        <v>0</v>
      </c>
      <c r="T577" s="150">
        <f t="shared" si="191"/>
        <v>0</v>
      </c>
      <c r="U577" s="150">
        <f t="shared" si="191"/>
        <v>0</v>
      </c>
      <c r="V577" s="150">
        <f t="shared" si="191"/>
        <v>0</v>
      </c>
      <c r="W577" s="150">
        <f t="shared" si="191"/>
        <v>0</v>
      </c>
      <c r="X577" s="150">
        <f t="shared" si="191"/>
        <v>0</v>
      </c>
      <c r="Y577" s="150">
        <f t="shared" si="191"/>
        <v>0</v>
      </c>
      <c r="AQ577" s="3"/>
    </row>
    <row r="578" spans="5:43" x14ac:dyDescent="0.25">
      <c r="E578" s="129"/>
      <c r="F578" s="2" t="s">
        <v>925</v>
      </c>
      <c r="G578" t="s">
        <v>205</v>
      </c>
      <c r="J578" s="148">
        <f>J115</f>
        <v>39606.222663234104</v>
      </c>
      <c r="K578" s="148">
        <f t="shared" ref="K578:Y578" si="192">K115</f>
        <v>0</v>
      </c>
      <c r="L578" s="148">
        <f t="shared" si="192"/>
        <v>1235.1438249573946</v>
      </c>
      <c r="M578" s="148">
        <f t="shared" si="192"/>
        <v>0</v>
      </c>
      <c r="N578" s="148">
        <f t="shared" si="192"/>
        <v>224.9158936646063</v>
      </c>
      <c r="O578" s="148">
        <f t="shared" si="192"/>
        <v>0</v>
      </c>
      <c r="P578" s="148">
        <f t="shared" si="192"/>
        <v>0</v>
      </c>
      <c r="Q578" s="148">
        <f t="shared" si="192"/>
        <v>121.69638635406008</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25">
      <c r="E579" s="129"/>
      <c r="F579" s="2" t="s">
        <v>926</v>
      </c>
      <c r="G579" t="s">
        <v>205</v>
      </c>
      <c r="J579" s="148">
        <f>J124</f>
        <v>0</v>
      </c>
      <c r="K579" s="148">
        <f t="shared" ref="K579:Y579" si="193">K124</f>
        <v>0</v>
      </c>
      <c r="L579" s="148">
        <f t="shared" si="193"/>
        <v>350.01259872653554</v>
      </c>
      <c r="M579" s="148">
        <f t="shared" si="193"/>
        <v>0</v>
      </c>
      <c r="N579" s="148">
        <f t="shared" si="193"/>
        <v>1902.5677891009304</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25">
      <c r="E580" s="129"/>
      <c r="F580" s="2" t="s">
        <v>928</v>
      </c>
      <c r="G580" t="s">
        <v>205</v>
      </c>
      <c r="J580" s="149">
        <f>J133</f>
        <v>0</v>
      </c>
      <c r="K580" s="149">
        <f t="shared" ref="K580:Y580" si="194">K133</f>
        <v>0</v>
      </c>
      <c r="L580" s="149">
        <f t="shared" si="194"/>
        <v>439.04272692967311</v>
      </c>
      <c r="M580" s="149">
        <f t="shared" si="194"/>
        <v>0</v>
      </c>
      <c r="N580" s="149">
        <f t="shared" si="194"/>
        <v>3649.5449112820097</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25">
      <c r="E581" s="129"/>
      <c r="F581" s="2" t="s">
        <v>927</v>
      </c>
      <c r="G581" t="s">
        <v>205</v>
      </c>
      <c r="J581" s="149">
        <f>J142</f>
        <v>0</v>
      </c>
      <c r="K581" s="149">
        <f t="shared" ref="K581:Y581" si="195">K142</f>
        <v>0</v>
      </c>
      <c r="L581" s="149">
        <f t="shared" si="195"/>
        <v>224.5665870758485</v>
      </c>
      <c r="M581" s="149">
        <f t="shared" si="195"/>
        <v>0</v>
      </c>
      <c r="N581" s="149">
        <f t="shared" si="195"/>
        <v>2358.5634723120479</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25">
      <c r="E582" s="118" t="s">
        <v>247</v>
      </c>
      <c r="F582" s="2"/>
      <c r="J582" s="200"/>
      <c r="K582" s="200"/>
      <c r="L582" s="200"/>
      <c r="M582" s="200"/>
      <c r="N582" s="200"/>
      <c r="O582" s="200"/>
      <c r="P582" s="200"/>
      <c r="Q582" s="200"/>
      <c r="R582" s="200"/>
      <c r="S582" s="200"/>
      <c r="T582" s="200"/>
      <c r="U582" s="200"/>
      <c r="V582" s="200"/>
      <c r="W582" s="200"/>
      <c r="X582" s="200"/>
      <c r="Y582" s="200"/>
      <c r="AQ582" s="3"/>
    </row>
    <row r="583" spans="5:43" x14ac:dyDescent="0.25">
      <c r="E583" s="129"/>
      <c r="F583" s="2" t="s">
        <v>924</v>
      </c>
      <c r="G583" t="s">
        <v>205</v>
      </c>
      <c r="J583" s="150">
        <f>J107</f>
        <v>0</v>
      </c>
      <c r="K583" s="150">
        <f t="shared" ref="K583:Y583" si="196">K107</f>
        <v>0</v>
      </c>
      <c r="L583" s="150">
        <f t="shared" si="196"/>
        <v>0</v>
      </c>
      <c r="M583" s="150">
        <f t="shared" si="196"/>
        <v>0</v>
      </c>
      <c r="N583" s="150">
        <f t="shared" si="196"/>
        <v>0</v>
      </c>
      <c r="O583" s="150">
        <f t="shared" si="196"/>
        <v>0</v>
      </c>
      <c r="P583" s="150">
        <f t="shared" si="196"/>
        <v>0</v>
      </c>
      <c r="Q583" s="150">
        <f t="shared" si="196"/>
        <v>0</v>
      </c>
      <c r="R583" s="150">
        <f t="shared" si="196"/>
        <v>409.77800000000002</v>
      </c>
      <c r="S583" s="150">
        <f t="shared" si="196"/>
        <v>0</v>
      </c>
      <c r="T583" s="150">
        <f t="shared" si="196"/>
        <v>0</v>
      </c>
      <c r="U583" s="150">
        <f t="shared" si="196"/>
        <v>0</v>
      </c>
      <c r="V583" s="150">
        <f t="shared" si="196"/>
        <v>0</v>
      </c>
      <c r="W583" s="150">
        <f t="shared" si="196"/>
        <v>0</v>
      </c>
      <c r="X583" s="150">
        <f t="shared" si="196"/>
        <v>0</v>
      </c>
      <c r="Y583" s="150">
        <f t="shared" si="196"/>
        <v>0</v>
      </c>
      <c r="AQ583" s="3"/>
    </row>
    <row r="584" spans="5:43" x14ac:dyDescent="0.25">
      <c r="E584" s="129"/>
      <c r="F584" s="2" t="s">
        <v>925</v>
      </c>
      <c r="G584" t="s">
        <v>205</v>
      </c>
      <c r="J584" s="148">
        <f>J116</f>
        <v>56456.583827742812</v>
      </c>
      <c r="K584" s="148">
        <f t="shared" ref="K584:Y584" si="197">K116</f>
        <v>0</v>
      </c>
      <c r="L584" s="148">
        <f t="shared" si="197"/>
        <v>1213.8972596975429</v>
      </c>
      <c r="M584" s="148">
        <f t="shared" si="197"/>
        <v>0</v>
      </c>
      <c r="N584" s="148">
        <f t="shared" si="197"/>
        <v>324.38540708140818</v>
      </c>
      <c r="O584" s="148">
        <f t="shared" si="197"/>
        <v>0</v>
      </c>
      <c r="P584" s="148">
        <f t="shared" si="197"/>
        <v>0</v>
      </c>
      <c r="Q584" s="148">
        <f t="shared" si="197"/>
        <v>188.91722132605392</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25">
      <c r="E585" s="129"/>
      <c r="F585" s="2" t="s">
        <v>926</v>
      </c>
      <c r="G585" t="s">
        <v>205</v>
      </c>
      <c r="J585" s="148">
        <f>J125</f>
        <v>0</v>
      </c>
      <c r="K585" s="148">
        <f t="shared" ref="K585:Y585" si="198">K125</f>
        <v>0</v>
      </c>
      <c r="L585" s="148">
        <f t="shared" si="198"/>
        <v>347.81386389483004</v>
      </c>
      <c r="M585" s="148">
        <f t="shared" si="198"/>
        <v>0</v>
      </c>
      <c r="N585" s="148">
        <f t="shared" si="198"/>
        <v>2391.6379085410845</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25">
      <c r="E586" s="129"/>
      <c r="F586" s="2" t="s">
        <v>928</v>
      </c>
      <c r="G586" t="s">
        <v>205</v>
      </c>
      <c r="J586" s="149">
        <f>J134</f>
        <v>0</v>
      </c>
      <c r="K586" s="149">
        <f t="shared" ref="K586:Y586" si="199">K134</f>
        <v>0</v>
      </c>
      <c r="L586" s="149">
        <f t="shared" si="199"/>
        <v>449.68866278313999</v>
      </c>
      <c r="M586" s="149">
        <f t="shared" si="199"/>
        <v>0</v>
      </c>
      <c r="N586" s="149">
        <f t="shared" si="199"/>
        <v>4431.4649009080076</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25">
      <c r="E587" s="129"/>
      <c r="F587" s="2" t="s">
        <v>927</v>
      </c>
      <c r="G587" t="s">
        <v>205</v>
      </c>
      <c r="J587" s="149">
        <f>J143</f>
        <v>0</v>
      </c>
      <c r="K587" s="149">
        <f t="shared" ref="K587:Y587" si="200">K143</f>
        <v>0</v>
      </c>
      <c r="L587" s="149">
        <f t="shared" si="200"/>
        <v>230.16194603042726</v>
      </c>
      <c r="M587" s="149">
        <f t="shared" si="200"/>
        <v>0</v>
      </c>
      <c r="N587" s="149">
        <f t="shared" si="200"/>
        <v>2717.5809132152681</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25">
      <c r="E588" s="118" t="s">
        <v>210</v>
      </c>
      <c r="F588" s="2"/>
      <c r="J588" s="200"/>
      <c r="K588" s="200"/>
      <c r="L588" s="200"/>
      <c r="M588" s="200"/>
      <c r="N588" s="200"/>
      <c r="O588" s="200"/>
      <c r="P588" s="200"/>
      <c r="Q588" s="200"/>
      <c r="R588" s="200"/>
      <c r="S588" s="200"/>
      <c r="T588" s="200"/>
      <c r="U588" s="200"/>
      <c r="V588" s="200"/>
      <c r="W588" s="200"/>
      <c r="X588" s="200"/>
      <c r="Y588" s="200"/>
      <c r="AQ588" s="3"/>
    </row>
    <row r="589" spans="5:43" x14ac:dyDescent="0.25">
      <c r="E589" s="129"/>
      <c r="F589" s="2" t="s">
        <v>924</v>
      </c>
      <c r="G589" t="s">
        <v>210</v>
      </c>
      <c r="J589" s="150">
        <f>J108</f>
        <v>0</v>
      </c>
      <c r="K589" s="150">
        <f t="shared" ref="K589:Y589" si="201">K108</f>
        <v>0</v>
      </c>
      <c r="L589" s="150">
        <f t="shared" si="201"/>
        <v>0</v>
      </c>
      <c r="M589" s="150">
        <f t="shared" si="201"/>
        <v>0</v>
      </c>
      <c r="N589" s="150">
        <f t="shared" si="201"/>
        <v>0</v>
      </c>
      <c r="O589" s="150">
        <f t="shared" si="201"/>
        <v>0</v>
      </c>
      <c r="P589" s="150">
        <f t="shared" si="201"/>
        <v>0</v>
      </c>
      <c r="Q589" s="150">
        <f t="shared" si="201"/>
        <v>0</v>
      </c>
      <c r="R589" s="150">
        <f t="shared" si="201"/>
        <v>395.6</v>
      </c>
      <c r="S589" s="150">
        <f t="shared" si="201"/>
        <v>0</v>
      </c>
      <c r="T589" s="150">
        <f t="shared" si="201"/>
        <v>0</v>
      </c>
      <c r="U589" s="150">
        <f t="shared" si="201"/>
        <v>0</v>
      </c>
      <c r="V589" s="150">
        <f t="shared" si="201"/>
        <v>0</v>
      </c>
      <c r="W589" s="150">
        <f t="shared" si="201"/>
        <v>0</v>
      </c>
      <c r="X589" s="150">
        <f t="shared" si="201"/>
        <v>0</v>
      </c>
      <c r="Y589" s="150">
        <f t="shared" si="201"/>
        <v>0</v>
      </c>
      <c r="AQ589" s="3"/>
    </row>
    <row r="590" spans="5:43" x14ac:dyDescent="0.25">
      <c r="E590" s="129"/>
      <c r="F590" s="2" t="s">
        <v>925</v>
      </c>
      <c r="G590" t="s">
        <v>210</v>
      </c>
      <c r="J590" s="148">
        <f>J117</f>
        <v>40123.208470178259</v>
      </c>
      <c r="K590" s="148">
        <f t="shared" ref="K590:Y590" si="202">K117</f>
        <v>0</v>
      </c>
      <c r="L590" s="148">
        <f t="shared" si="202"/>
        <v>325.88785128898581</v>
      </c>
      <c r="M590" s="148">
        <f t="shared" si="202"/>
        <v>0</v>
      </c>
      <c r="N590" s="148">
        <f t="shared" si="202"/>
        <v>16.587870269212281</v>
      </c>
      <c r="O590" s="148">
        <f t="shared" si="202"/>
        <v>0</v>
      </c>
      <c r="P590" s="148">
        <f t="shared" si="202"/>
        <v>0</v>
      </c>
      <c r="Q590" s="148">
        <f t="shared" si="202"/>
        <v>168.09041872801774</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25">
      <c r="E591" s="129"/>
      <c r="F591" s="2" t="s">
        <v>926</v>
      </c>
      <c r="G591" t="s">
        <v>210</v>
      </c>
      <c r="J591" s="148">
        <f>J126</f>
        <v>0</v>
      </c>
      <c r="K591" s="148">
        <f t="shared" ref="K591:Y591" si="203">K126</f>
        <v>0</v>
      </c>
      <c r="L591" s="148">
        <f t="shared" si="203"/>
        <v>74.815548214216406</v>
      </c>
      <c r="M591" s="148">
        <f t="shared" si="203"/>
        <v>0</v>
      </c>
      <c r="N591" s="148">
        <f t="shared" si="203"/>
        <v>68.903461118266407</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25">
      <c r="E592" s="129"/>
      <c r="F592" s="2" t="s">
        <v>928</v>
      </c>
      <c r="G592" t="s">
        <v>210</v>
      </c>
      <c r="J592" s="149">
        <f>J135</f>
        <v>0</v>
      </c>
      <c r="K592" s="149">
        <f t="shared" ref="K592:Y592" si="204">K135</f>
        <v>0</v>
      </c>
      <c r="L592" s="149">
        <f t="shared" si="204"/>
        <v>95.699251553147761</v>
      </c>
      <c r="M592" s="149">
        <f t="shared" si="204"/>
        <v>0</v>
      </c>
      <c r="N592" s="149">
        <f t="shared" si="204"/>
        <v>63.799501035431824</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25">
      <c r="E593" s="129"/>
      <c r="F593" s="2" t="s">
        <v>927</v>
      </c>
      <c r="G593" t="s">
        <v>210</v>
      </c>
      <c r="J593" s="149">
        <f>J144</f>
        <v>0</v>
      </c>
      <c r="K593" s="149">
        <f t="shared" ref="K593:Y593" si="205">K144</f>
        <v>0</v>
      </c>
      <c r="L593" s="149">
        <f t="shared" si="205"/>
        <v>51.16719983041633</v>
      </c>
      <c r="M593" s="149">
        <f t="shared" si="205"/>
        <v>0</v>
      </c>
      <c r="N593" s="149">
        <f t="shared" si="205"/>
        <v>22.967820372755462</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25">
      <c r="E594" s="118" t="s">
        <v>248</v>
      </c>
      <c r="F594" s="2"/>
      <c r="J594" s="200"/>
      <c r="K594" s="200"/>
      <c r="L594" s="200"/>
      <c r="M594" s="200"/>
      <c r="N594" s="200"/>
      <c r="O594" s="200"/>
      <c r="P594" s="200"/>
      <c r="Q594" s="200"/>
      <c r="R594" s="200"/>
      <c r="S594" s="200"/>
      <c r="T594" s="200"/>
      <c r="U594" s="200"/>
      <c r="V594" s="200"/>
      <c r="W594" s="200"/>
      <c r="X594" s="200"/>
      <c r="Y594" s="200"/>
      <c r="AQ594" s="3"/>
    </row>
    <row r="595" spans="5:43" x14ac:dyDescent="0.25">
      <c r="E595" s="129"/>
      <c r="F595" s="2" t="s">
        <v>924</v>
      </c>
      <c r="G595" t="s">
        <v>249</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25">
      <c r="E596" s="129"/>
      <c r="F596" s="2" t="s">
        <v>925</v>
      </c>
      <c r="G596" t="s">
        <v>249</v>
      </c>
      <c r="J596" s="148">
        <f>J118</f>
        <v>0</v>
      </c>
      <c r="K596" s="148">
        <f t="shared" ref="K596:Y596" si="207">K118</f>
        <v>0</v>
      </c>
      <c r="L596" s="148">
        <f t="shared" si="207"/>
        <v>0</v>
      </c>
      <c r="M596" s="148">
        <f t="shared" si="207"/>
        <v>0</v>
      </c>
      <c r="N596" s="148">
        <f t="shared" si="207"/>
        <v>746</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25">
      <c r="E597" s="129"/>
      <c r="F597" s="2" t="s">
        <v>926</v>
      </c>
      <c r="G597" t="s">
        <v>249</v>
      </c>
      <c r="J597" s="148">
        <f>J127</f>
        <v>0</v>
      </c>
      <c r="K597" s="148">
        <f t="shared" ref="K597:Y597" si="208">K127</f>
        <v>0</v>
      </c>
      <c r="L597" s="148">
        <f t="shared" si="208"/>
        <v>0</v>
      </c>
      <c r="M597" s="148">
        <f t="shared" si="208"/>
        <v>0</v>
      </c>
      <c r="N597" s="148">
        <f t="shared" si="208"/>
        <v>5999</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25">
      <c r="E598" s="129"/>
      <c r="F598" s="2" t="s">
        <v>928</v>
      </c>
      <c r="G598" t="s">
        <v>249</v>
      </c>
      <c r="J598" s="149">
        <f>J136</f>
        <v>0</v>
      </c>
      <c r="K598" s="149">
        <f t="shared" ref="K598:Y598" si="209">K136</f>
        <v>0</v>
      </c>
      <c r="L598" s="149">
        <f t="shared" si="209"/>
        <v>0</v>
      </c>
      <c r="M598" s="149">
        <f t="shared" si="209"/>
        <v>0</v>
      </c>
      <c r="N598" s="149">
        <f t="shared" si="209"/>
        <v>8922</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25">
      <c r="E599" s="129"/>
      <c r="F599" s="2" t="s">
        <v>927</v>
      </c>
      <c r="G599" t="s">
        <v>249</v>
      </c>
      <c r="J599" s="149">
        <f>J145</f>
        <v>0</v>
      </c>
      <c r="K599" s="149">
        <f t="shared" ref="K599:Y599" si="210">K145</f>
        <v>0</v>
      </c>
      <c r="L599" s="149">
        <f t="shared" si="210"/>
        <v>0</v>
      </c>
      <c r="M599" s="149">
        <f t="shared" si="210"/>
        <v>0</v>
      </c>
      <c r="N599" s="149">
        <f t="shared" si="210"/>
        <v>6146</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25">
      <c r="E600" s="118" t="s">
        <v>250</v>
      </c>
      <c r="F600" s="2"/>
      <c r="J600" s="200"/>
      <c r="K600" s="200"/>
      <c r="L600" s="200"/>
      <c r="M600" s="200"/>
      <c r="N600" s="200"/>
      <c r="O600" s="200"/>
      <c r="P600" s="200"/>
      <c r="Q600" s="200"/>
      <c r="R600" s="200"/>
      <c r="S600" s="200"/>
      <c r="T600" s="200"/>
      <c r="U600" s="200"/>
      <c r="V600" s="200"/>
      <c r="W600" s="200"/>
      <c r="X600" s="200"/>
      <c r="Y600" s="200"/>
      <c r="AQ600" s="3"/>
    </row>
    <row r="601" spans="5:43" x14ac:dyDescent="0.25">
      <c r="E601" s="129"/>
      <c r="F601" s="2" t="s">
        <v>924</v>
      </c>
      <c r="G601" t="s">
        <v>249</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25">
      <c r="E602" s="129"/>
      <c r="F602" s="2" t="s">
        <v>925</v>
      </c>
      <c r="G602" t="s">
        <v>249</v>
      </c>
      <c r="J602" s="148">
        <f>J119</f>
        <v>0</v>
      </c>
      <c r="K602" s="148">
        <f t="shared" ref="K602:Y602" si="212">K119</f>
        <v>0</v>
      </c>
      <c r="L602" s="148">
        <f t="shared" si="212"/>
        <v>0</v>
      </c>
      <c r="M602" s="148">
        <f t="shared" si="212"/>
        <v>0</v>
      </c>
      <c r="N602" s="148">
        <f t="shared" si="212"/>
        <v>16.265753424657536</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25">
      <c r="E603" s="129"/>
      <c r="F603" s="2" t="s">
        <v>926</v>
      </c>
      <c r="G603" t="s">
        <v>249</v>
      </c>
      <c r="J603" s="148">
        <f>J128</f>
        <v>0</v>
      </c>
      <c r="K603" s="148">
        <f t="shared" ref="K603:Y603" si="213">K128</f>
        <v>0</v>
      </c>
      <c r="L603" s="148">
        <f t="shared" si="213"/>
        <v>0</v>
      </c>
      <c r="M603" s="148">
        <f t="shared" si="213"/>
        <v>0</v>
      </c>
      <c r="N603" s="148">
        <f t="shared" si="213"/>
        <v>0</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25">
      <c r="E604" s="129"/>
      <c r="F604" s="2" t="s">
        <v>928</v>
      </c>
      <c r="G604" t="s">
        <v>249</v>
      </c>
      <c r="J604" s="149">
        <f>J137</f>
        <v>0</v>
      </c>
      <c r="K604" s="149">
        <f t="shared" ref="K604:Y604" si="214">K137</f>
        <v>0</v>
      </c>
      <c r="L604" s="149">
        <f t="shared" si="214"/>
        <v>0</v>
      </c>
      <c r="M604" s="149">
        <f t="shared" si="214"/>
        <v>0</v>
      </c>
      <c r="N604" s="149">
        <f t="shared" si="214"/>
        <v>3.5671232876712327</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25">
      <c r="E605" s="129"/>
      <c r="F605" s="2" t="s">
        <v>927</v>
      </c>
      <c r="G605" t="s">
        <v>249</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25">
      <c r="E606" s="129" t="s">
        <v>251</v>
      </c>
      <c r="F606" s="2"/>
      <c r="J606" s="200"/>
      <c r="K606" s="200"/>
      <c r="L606" s="200"/>
      <c r="M606" s="200"/>
      <c r="N606" s="200"/>
      <c r="O606" s="200"/>
      <c r="P606" s="200"/>
      <c r="Q606" s="200"/>
      <c r="R606" s="200"/>
      <c r="S606" s="200"/>
      <c r="T606" s="200"/>
      <c r="U606" s="200"/>
      <c r="V606" s="200"/>
      <c r="W606" s="200"/>
      <c r="X606" s="200"/>
      <c r="Y606" s="200"/>
      <c r="AQ606" s="3"/>
    </row>
    <row r="607" spans="5:43" x14ac:dyDescent="0.25">
      <c r="E607" s="129"/>
      <c r="F607" s="2" t="s">
        <v>924</v>
      </c>
      <c r="G607" t="s">
        <v>252</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0</v>
      </c>
      <c r="U607" s="150">
        <f t="shared" si="216"/>
        <v>0</v>
      </c>
      <c r="V607" s="150">
        <f t="shared" si="216"/>
        <v>0</v>
      </c>
      <c r="W607" s="150">
        <f t="shared" si="216"/>
        <v>0</v>
      </c>
      <c r="X607" s="150">
        <f t="shared" si="216"/>
        <v>0</v>
      </c>
      <c r="Y607" s="150">
        <f t="shared" si="216"/>
        <v>0</v>
      </c>
      <c r="AQ607" s="3"/>
    </row>
    <row r="608" spans="5:43" x14ac:dyDescent="0.25">
      <c r="E608" s="129"/>
      <c r="F608" s="2" t="s">
        <v>925</v>
      </c>
      <c r="G608" t="s">
        <v>252</v>
      </c>
      <c r="J608" s="148">
        <f>J120</f>
        <v>0</v>
      </c>
      <c r="K608" s="148">
        <f t="shared" ref="K608:Y608" si="217">K120</f>
        <v>0</v>
      </c>
      <c r="L608" s="148">
        <f t="shared" si="217"/>
        <v>0</v>
      </c>
      <c r="M608" s="148">
        <f t="shared" si="217"/>
        <v>0</v>
      </c>
      <c r="N608" s="148">
        <f t="shared" si="217"/>
        <v>10.371</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25">
      <c r="E609" s="129"/>
      <c r="F609" s="2" t="s">
        <v>926</v>
      </c>
      <c r="G609" t="s">
        <v>252</v>
      </c>
      <c r="J609" s="148">
        <f>J129</f>
        <v>0</v>
      </c>
      <c r="K609" s="148">
        <f t="shared" ref="K609:Y609" si="218">K129</f>
        <v>0</v>
      </c>
      <c r="L609" s="148">
        <f t="shared" si="218"/>
        <v>0</v>
      </c>
      <c r="M609" s="148">
        <f t="shared" si="218"/>
        <v>0</v>
      </c>
      <c r="N609" s="148">
        <f t="shared" si="218"/>
        <v>381.089</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25">
      <c r="E610" s="129"/>
      <c r="F610" s="2" t="s">
        <v>928</v>
      </c>
      <c r="G610" t="s">
        <v>252</v>
      </c>
      <c r="J610" s="149">
        <f>J138</f>
        <v>0</v>
      </c>
      <c r="K610" s="149">
        <f t="shared" ref="K610:Y610" si="219">K138</f>
        <v>0</v>
      </c>
      <c r="L610" s="149">
        <f t="shared" si="219"/>
        <v>0</v>
      </c>
      <c r="M610" s="149">
        <f t="shared" si="219"/>
        <v>0</v>
      </c>
      <c r="N610" s="149">
        <f t="shared" si="219"/>
        <v>516.75760000000002</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25">
      <c r="E611" s="120"/>
      <c r="F611" s="201" t="s">
        <v>927</v>
      </c>
      <c r="G611" s="96" t="s">
        <v>252</v>
      </c>
      <c r="H611" s="96"/>
      <c r="I611" s="96"/>
      <c r="J611" s="148">
        <f>J147</f>
        <v>0</v>
      </c>
      <c r="K611" s="148">
        <f t="shared" ref="K611:Y611" si="220">K147</f>
        <v>0</v>
      </c>
      <c r="L611" s="148">
        <f t="shared" si="220"/>
        <v>0</v>
      </c>
      <c r="M611" s="148">
        <f t="shared" si="220"/>
        <v>0</v>
      </c>
      <c r="N611" s="148">
        <f t="shared" si="220"/>
        <v>359.30200000000002</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25">
      <c r="AQ612" s="3"/>
    </row>
    <row r="613" spans="4:43" x14ac:dyDescent="0.25">
      <c r="D613" s="75" t="s">
        <v>1078</v>
      </c>
      <c r="AQ613" s="3"/>
    </row>
    <row r="614" spans="4:43" x14ac:dyDescent="0.25">
      <c r="E614" s="116" t="s">
        <v>245</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25">
      <c r="E615" s="129"/>
      <c r="F615" s="2" t="s">
        <v>924</v>
      </c>
      <c r="G615" t="s">
        <v>205</v>
      </c>
      <c r="J615" s="150">
        <f>J152</f>
        <v>0</v>
      </c>
      <c r="K615" s="150">
        <f t="shared" ref="K615:Y615" si="221">K152</f>
        <v>0</v>
      </c>
      <c r="L615" s="150">
        <f t="shared" si="221"/>
        <v>0</v>
      </c>
      <c r="M615" s="150">
        <f t="shared" si="221"/>
        <v>0</v>
      </c>
      <c r="N615" s="150">
        <f t="shared" si="221"/>
        <v>0</v>
      </c>
      <c r="O615" s="150">
        <f t="shared" si="221"/>
        <v>0</v>
      </c>
      <c r="P615" s="150">
        <f t="shared" si="221"/>
        <v>0</v>
      </c>
      <c r="Q615" s="150">
        <f t="shared" si="221"/>
        <v>0</v>
      </c>
      <c r="R615" s="150">
        <f t="shared" si="221"/>
        <v>230.125</v>
      </c>
      <c r="S615" s="150">
        <f t="shared" si="221"/>
        <v>0</v>
      </c>
      <c r="T615" s="150">
        <f t="shared" si="221"/>
        <v>84.814999999999998</v>
      </c>
      <c r="U615" s="150">
        <f t="shared" si="221"/>
        <v>0</v>
      </c>
      <c r="V615" s="150">
        <f t="shared" si="221"/>
        <v>0.17</v>
      </c>
      <c r="W615" s="150">
        <f t="shared" si="221"/>
        <v>0</v>
      </c>
      <c r="X615" s="150">
        <f t="shared" si="221"/>
        <v>0</v>
      </c>
      <c r="Y615" s="150">
        <f t="shared" si="221"/>
        <v>0</v>
      </c>
      <c r="AQ615" s="3"/>
    </row>
    <row r="616" spans="4:43" x14ac:dyDescent="0.25">
      <c r="E616" s="129"/>
      <c r="F616" s="2" t="s">
        <v>925</v>
      </c>
      <c r="G616" t="s">
        <v>205</v>
      </c>
      <c r="J616" s="148">
        <f>J161</f>
        <v>31829.037375021369</v>
      </c>
      <c r="K616" s="148">
        <f t="shared" ref="K616:Y616" si="222">K161</f>
        <v>0</v>
      </c>
      <c r="L616" s="148">
        <f t="shared" si="222"/>
        <v>643.82002526439703</v>
      </c>
      <c r="M616" s="148">
        <f t="shared" si="222"/>
        <v>0</v>
      </c>
      <c r="N616" s="148">
        <f t="shared" si="222"/>
        <v>355.27523191957931</v>
      </c>
      <c r="O616" s="148">
        <f t="shared" si="222"/>
        <v>21.920595632617061</v>
      </c>
      <c r="P616" s="148">
        <f t="shared" si="222"/>
        <v>70.258122065776249</v>
      </c>
      <c r="Q616" s="148">
        <f t="shared" si="222"/>
        <v>40.707850525482606</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25">
      <c r="E617" s="129"/>
      <c r="F617" s="2" t="s">
        <v>926</v>
      </c>
      <c r="G617" t="s">
        <v>205</v>
      </c>
      <c r="J617" s="148">
        <f>J170</f>
        <v>0</v>
      </c>
      <c r="K617" s="148">
        <f t="shared" ref="K617:Y617" si="223">K170</f>
        <v>0</v>
      </c>
      <c r="L617" s="148">
        <f t="shared" si="223"/>
        <v>63.777721905310862</v>
      </c>
      <c r="M617" s="148">
        <f t="shared" si="223"/>
        <v>0</v>
      </c>
      <c r="N617" s="148">
        <f t="shared" si="223"/>
        <v>2001.739870641889</v>
      </c>
      <c r="O617" s="148">
        <f t="shared" si="223"/>
        <v>23.099592989369587</v>
      </c>
      <c r="P617" s="148">
        <f t="shared" si="223"/>
        <v>746.83356114339722</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25">
      <c r="E618" s="129"/>
      <c r="F618" s="2" t="s">
        <v>928</v>
      </c>
      <c r="G618" t="s">
        <v>205</v>
      </c>
      <c r="J618" s="149">
        <f>J179</f>
        <v>0</v>
      </c>
      <c r="K618" s="149">
        <f t="shared" ref="K618:Y618" si="224">K179</f>
        <v>0</v>
      </c>
      <c r="L618" s="149">
        <f t="shared" si="224"/>
        <v>25.242002373418064</v>
      </c>
      <c r="M618" s="149">
        <f t="shared" si="224"/>
        <v>0</v>
      </c>
      <c r="N618" s="149">
        <f t="shared" si="224"/>
        <v>2413.4032334363415</v>
      </c>
      <c r="O618" s="149">
        <f t="shared" si="224"/>
        <v>340.2666582654191</v>
      </c>
      <c r="P618" s="149">
        <f t="shared" si="224"/>
        <v>917.22498545853773</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25">
      <c r="E619" s="129"/>
      <c r="F619" s="2" t="s">
        <v>927</v>
      </c>
      <c r="G619" t="s">
        <v>205</v>
      </c>
      <c r="J619" s="149">
        <f>J188</f>
        <v>0</v>
      </c>
      <c r="K619" s="149">
        <f t="shared" ref="K619:Y619" si="225">K188</f>
        <v>0</v>
      </c>
      <c r="L619" s="149">
        <f t="shared" si="225"/>
        <v>150.47467025223492</v>
      </c>
      <c r="M619" s="149">
        <f t="shared" si="225"/>
        <v>0</v>
      </c>
      <c r="N619" s="149">
        <f t="shared" si="225"/>
        <v>7748.6955125512804</v>
      </c>
      <c r="O619" s="149">
        <f t="shared" si="225"/>
        <v>3281.5835476877965</v>
      </c>
      <c r="P619" s="149">
        <f t="shared" si="225"/>
        <v>5927.8182270778243</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25">
      <c r="E620" s="118" t="s">
        <v>246</v>
      </c>
      <c r="F620" s="2"/>
      <c r="J620" s="200"/>
      <c r="K620" s="200"/>
      <c r="L620" s="200"/>
      <c r="M620" s="200"/>
      <c r="N620" s="200"/>
      <c r="O620" s="200"/>
      <c r="P620" s="200"/>
      <c r="Q620" s="200"/>
      <c r="R620" s="200"/>
      <c r="S620" s="200"/>
      <c r="T620" s="200"/>
      <c r="U620" s="200"/>
      <c r="V620" s="200"/>
      <c r="W620" s="200"/>
      <c r="X620" s="200"/>
      <c r="Y620" s="200"/>
      <c r="AQ620" s="3"/>
    </row>
    <row r="621" spans="4:43" x14ac:dyDescent="0.25">
      <c r="E621" s="129"/>
      <c r="F621" s="2" t="s">
        <v>924</v>
      </c>
      <c r="G621" t="s">
        <v>205</v>
      </c>
      <c r="J621" s="150">
        <f>J153</f>
        <v>0</v>
      </c>
      <c r="K621" s="150">
        <f t="shared" ref="K621:Y621" si="226">K153</f>
        <v>0</v>
      </c>
      <c r="L621" s="150">
        <f t="shared" si="226"/>
        <v>0</v>
      </c>
      <c r="M621" s="150">
        <f t="shared" si="226"/>
        <v>0</v>
      </c>
      <c r="N621" s="150">
        <f t="shared" si="226"/>
        <v>0</v>
      </c>
      <c r="O621" s="150">
        <f t="shared" si="226"/>
        <v>0</v>
      </c>
      <c r="P621" s="150">
        <f t="shared" si="226"/>
        <v>0</v>
      </c>
      <c r="Q621" s="150">
        <f t="shared" si="226"/>
        <v>0</v>
      </c>
      <c r="R621" s="150">
        <f t="shared" si="226"/>
        <v>984.601</v>
      </c>
      <c r="S621" s="150">
        <f t="shared" si="226"/>
        <v>0</v>
      </c>
      <c r="T621" s="150">
        <f t="shared" si="226"/>
        <v>251.92699999999999</v>
      </c>
      <c r="U621" s="150">
        <f t="shared" si="226"/>
        <v>0</v>
      </c>
      <c r="V621" s="150">
        <f t="shared" si="226"/>
        <v>1.5920000000000001</v>
      </c>
      <c r="W621" s="150">
        <f t="shared" si="226"/>
        <v>0</v>
      </c>
      <c r="X621" s="150">
        <f t="shared" si="226"/>
        <v>0</v>
      </c>
      <c r="Y621" s="150">
        <f t="shared" si="226"/>
        <v>0</v>
      </c>
      <c r="AQ621" s="3"/>
    </row>
    <row r="622" spans="4:43" x14ac:dyDescent="0.25">
      <c r="E622" s="129"/>
      <c r="F622" s="2" t="s">
        <v>925</v>
      </c>
      <c r="G622" t="s">
        <v>205</v>
      </c>
      <c r="J622" s="148">
        <f>J162</f>
        <v>79080.430414891482</v>
      </c>
      <c r="K622" s="148">
        <f t="shared" ref="K622:Y622" si="227">K162</f>
        <v>0</v>
      </c>
      <c r="L622" s="148">
        <f t="shared" si="227"/>
        <v>2405.0519923834713</v>
      </c>
      <c r="M622" s="148">
        <f t="shared" si="227"/>
        <v>0</v>
      </c>
      <c r="N622" s="148">
        <f t="shared" si="227"/>
        <v>1195.1781652446687</v>
      </c>
      <c r="O622" s="148">
        <f t="shared" si="227"/>
        <v>79.699102276418756</v>
      </c>
      <c r="P622" s="148">
        <f t="shared" si="227"/>
        <v>209.75268025935443</v>
      </c>
      <c r="Q622" s="148">
        <f t="shared" si="227"/>
        <v>377.84831934996407</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25">
      <c r="E623" s="129"/>
      <c r="F623" s="2" t="s">
        <v>926</v>
      </c>
      <c r="G623" t="s">
        <v>205</v>
      </c>
      <c r="J623" s="148">
        <f>J171</f>
        <v>0</v>
      </c>
      <c r="K623" s="148">
        <f t="shared" ref="K623:Y623" si="228">K171</f>
        <v>0</v>
      </c>
      <c r="L623" s="148">
        <f t="shared" si="228"/>
        <v>233.59451056002302</v>
      </c>
      <c r="M623" s="148">
        <f t="shared" si="228"/>
        <v>0</v>
      </c>
      <c r="N623" s="148">
        <f t="shared" si="228"/>
        <v>5895.9240720745174</v>
      </c>
      <c r="O623" s="148">
        <f t="shared" si="228"/>
        <v>59.259669945692295</v>
      </c>
      <c r="P623" s="148">
        <f t="shared" si="228"/>
        <v>2001.0417419758055</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25">
      <c r="E624" s="129"/>
      <c r="F624" s="2" t="s">
        <v>928</v>
      </c>
      <c r="G624" t="s">
        <v>205</v>
      </c>
      <c r="J624" s="149">
        <f>J180</f>
        <v>0</v>
      </c>
      <c r="K624" s="149">
        <f t="shared" ref="K624:Y624" si="229">K180</f>
        <v>0</v>
      </c>
      <c r="L624" s="149">
        <f t="shared" si="229"/>
        <v>94.278144601704184</v>
      </c>
      <c r="M624" s="149">
        <f t="shared" si="229"/>
        <v>0</v>
      </c>
      <c r="N624" s="149">
        <f t="shared" si="229"/>
        <v>6919.4852937500391</v>
      </c>
      <c r="O624" s="149">
        <f t="shared" si="229"/>
        <v>977.42062749509728</v>
      </c>
      <c r="P624" s="149">
        <f t="shared" si="229"/>
        <v>2868.2140479588438</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25">
      <c r="E625" s="129"/>
      <c r="F625" s="2" t="s">
        <v>927</v>
      </c>
      <c r="G625" t="s">
        <v>205</v>
      </c>
      <c r="J625" s="149">
        <f>J189</f>
        <v>0</v>
      </c>
      <c r="K625" s="149">
        <f t="shared" ref="K625:Y625" si="230">K189</f>
        <v>0</v>
      </c>
      <c r="L625" s="149">
        <f t="shared" si="230"/>
        <v>560.72102389980466</v>
      </c>
      <c r="M625" s="149">
        <f t="shared" si="230"/>
        <v>0</v>
      </c>
      <c r="N625" s="149">
        <f t="shared" si="230"/>
        <v>24846.692244107315</v>
      </c>
      <c r="O625" s="149">
        <f t="shared" si="230"/>
        <v>10459.138616231952</v>
      </c>
      <c r="P625" s="149">
        <f t="shared" si="230"/>
        <v>17803.108321774722</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25">
      <c r="E626" s="118" t="s">
        <v>247</v>
      </c>
      <c r="F626" s="2"/>
      <c r="J626" s="200"/>
      <c r="K626" s="200"/>
      <c r="L626" s="200"/>
      <c r="M626" s="200"/>
      <c r="N626" s="200"/>
      <c r="O626" s="200"/>
      <c r="P626" s="200"/>
      <c r="Q626" s="200"/>
      <c r="R626" s="200"/>
      <c r="S626" s="200"/>
      <c r="T626" s="200"/>
      <c r="U626" s="200"/>
      <c r="V626" s="200"/>
      <c r="W626" s="200"/>
      <c r="X626" s="200"/>
      <c r="Y626" s="200"/>
      <c r="AQ626" s="3"/>
    </row>
    <row r="627" spans="5:43" x14ac:dyDescent="0.25">
      <c r="E627" s="129"/>
      <c r="F627" s="2" t="s">
        <v>924</v>
      </c>
      <c r="G627" t="s">
        <v>205</v>
      </c>
      <c r="J627" s="150">
        <f>J154</f>
        <v>0</v>
      </c>
      <c r="K627" s="150">
        <f t="shared" ref="K627:Y627" si="231">K154</f>
        <v>0</v>
      </c>
      <c r="L627" s="150">
        <f t="shared" si="231"/>
        <v>0</v>
      </c>
      <c r="M627" s="150">
        <f t="shared" si="231"/>
        <v>0</v>
      </c>
      <c r="N627" s="150">
        <f t="shared" si="231"/>
        <v>0</v>
      </c>
      <c r="O627" s="150">
        <f t="shared" si="231"/>
        <v>0</v>
      </c>
      <c r="P627" s="150">
        <f t="shared" si="231"/>
        <v>0</v>
      </c>
      <c r="Q627" s="150">
        <f t="shared" si="231"/>
        <v>0</v>
      </c>
      <c r="R627" s="150">
        <f t="shared" si="231"/>
        <v>580.29999999999995</v>
      </c>
      <c r="S627" s="150">
        <f t="shared" si="231"/>
        <v>0</v>
      </c>
      <c r="T627" s="150">
        <f t="shared" si="231"/>
        <v>504.68799999999999</v>
      </c>
      <c r="U627" s="150">
        <f t="shared" si="231"/>
        <v>0</v>
      </c>
      <c r="V627" s="150">
        <f t="shared" si="231"/>
        <v>1.3879999999999999</v>
      </c>
      <c r="W627" s="150">
        <f t="shared" si="231"/>
        <v>0</v>
      </c>
      <c r="X627" s="150">
        <f t="shared" si="231"/>
        <v>0</v>
      </c>
      <c r="Y627" s="150">
        <f t="shared" si="231"/>
        <v>0</v>
      </c>
      <c r="AQ627" s="3"/>
    </row>
    <row r="628" spans="5:43" x14ac:dyDescent="0.25">
      <c r="E628" s="129"/>
      <c r="F628" s="2" t="s">
        <v>925</v>
      </c>
      <c r="G628" t="s">
        <v>205</v>
      </c>
      <c r="J628" s="148">
        <f>J163</f>
        <v>118157.8057162469</v>
      </c>
      <c r="K628" s="148">
        <f t="shared" ref="K628:Y628" si="232">K163</f>
        <v>0</v>
      </c>
      <c r="L628" s="148">
        <f t="shared" si="232"/>
        <v>2463.3335185133765</v>
      </c>
      <c r="M628" s="148">
        <f t="shared" si="232"/>
        <v>0</v>
      </c>
      <c r="N628" s="148">
        <f t="shared" si="232"/>
        <v>1500.0113393091394</v>
      </c>
      <c r="O628" s="148">
        <f t="shared" si="232"/>
        <v>80.365104526443531</v>
      </c>
      <c r="P628" s="148">
        <f t="shared" si="232"/>
        <v>176.04767660096385</v>
      </c>
      <c r="Q628" s="148">
        <f t="shared" si="232"/>
        <v>604.00730285321674</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25">
      <c r="E629" s="129"/>
      <c r="F629" s="2" t="s">
        <v>926</v>
      </c>
      <c r="G629" t="s">
        <v>205</v>
      </c>
      <c r="J629" s="148">
        <f>J172</f>
        <v>0</v>
      </c>
      <c r="K629" s="148">
        <f t="shared" ref="K629:Y629" si="233">K172</f>
        <v>0</v>
      </c>
      <c r="L629" s="148">
        <f t="shared" si="233"/>
        <v>229.96841444690912</v>
      </c>
      <c r="M629" s="148">
        <f t="shared" si="233"/>
        <v>0</v>
      </c>
      <c r="N629" s="148">
        <f t="shared" si="233"/>
        <v>6309.7310700949438</v>
      </c>
      <c r="O629" s="148">
        <f t="shared" si="233"/>
        <v>102.85449916564507</v>
      </c>
      <c r="P629" s="148">
        <f t="shared" si="233"/>
        <v>3212.5747073624748</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25">
      <c r="E630" s="129"/>
      <c r="F630" s="2" t="s">
        <v>928</v>
      </c>
      <c r="G630" t="s">
        <v>205</v>
      </c>
      <c r="J630" s="149">
        <f>J181</f>
        <v>0</v>
      </c>
      <c r="K630" s="149">
        <f t="shared" ref="K630:Y630" si="234">K181</f>
        <v>0</v>
      </c>
      <c r="L630" s="149">
        <f t="shared" si="234"/>
        <v>99.215814288248879</v>
      </c>
      <c r="M630" s="149">
        <f t="shared" si="234"/>
        <v>0</v>
      </c>
      <c r="N630" s="149">
        <f t="shared" si="234"/>
        <v>9202.1264358624467</v>
      </c>
      <c r="O630" s="149">
        <f t="shared" si="234"/>
        <v>1236.5020422378602</v>
      </c>
      <c r="P630" s="149">
        <f t="shared" si="234"/>
        <v>3658.760540971949</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25">
      <c r="E631" s="129"/>
      <c r="F631" s="2" t="s">
        <v>927</v>
      </c>
      <c r="G631" t="s">
        <v>205</v>
      </c>
      <c r="J631" s="149">
        <f>J190</f>
        <v>0</v>
      </c>
      <c r="K631" s="149">
        <f t="shared" ref="K631:Y631" si="235">K190</f>
        <v>0</v>
      </c>
      <c r="L631" s="149">
        <f t="shared" si="235"/>
        <v>579.21794245192518</v>
      </c>
      <c r="M631" s="149">
        <f t="shared" si="235"/>
        <v>0</v>
      </c>
      <c r="N631" s="149">
        <f t="shared" si="235"/>
        <v>31307.872645210697</v>
      </c>
      <c r="O631" s="149">
        <f t="shared" si="235"/>
        <v>10852.495700512316</v>
      </c>
      <c r="P631" s="149">
        <f t="shared" si="235"/>
        <v>28428.944949375062</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25">
      <c r="E632" s="118" t="s">
        <v>210</v>
      </c>
      <c r="F632" s="2"/>
      <c r="J632" s="200"/>
      <c r="K632" s="200"/>
      <c r="L632" s="200"/>
      <c r="M632" s="200"/>
      <c r="N632" s="200"/>
      <c r="O632" s="200"/>
      <c r="P632" s="200"/>
      <c r="Q632" s="200"/>
      <c r="R632" s="200"/>
      <c r="S632" s="200"/>
      <c r="T632" s="200"/>
      <c r="U632" s="200"/>
      <c r="V632" s="200"/>
      <c r="W632" s="200"/>
      <c r="X632" s="200"/>
      <c r="Y632" s="200"/>
      <c r="AQ632" s="3"/>
    </row>
    <row r="633" spans="5:43" x14ac:dyDescent="0.25">
      <c r="E633" s="129"/>
      <c r="F633" s="2" t="s">
        <v>924</v>
      </c>
      <c r="G633" t="s">
        <v>210</v>
      </c>
      <c r="J633" s="150">
        <f>J155</f>
        <v>0</v>
      </c>
      <c r="K633" s="150">
        <f t="shared" ref="K633:Y633" si="236">K155</f>
        <v>0</v>
      </c>
      <c r="L633" s="150">
        <f t="shared" si="236"/>
        <v>0</v>
      </c>
      <c r="M633" s="150">
        <f t="shared" si="236"/>
        <v>0</v>
      </c>
      <c r="N633" s="150">
        <f t="shared" si="236"/>
        <v>0</v>
      </c>
      <c r="O633" s="150">
        <f t="shared" si="236"/>
        <v>0</v>
      </c>
      <c r="P633" s="150">
        <f t="shared" si="236"/>
        <v>0</v>
      </c>
      <c r="Q633" s="150">
        <f t="shared" si="236"/>
        <v>0</v>
      </c>
      <c r="R633" s="150">
        <f t="shared" si="236"/>
        <v>673.7</v>
      </c>
      <c r="S633" s="150">
        <f t="shared" si="236"/>
        <v>0</v>
      </c>
      <c r="T633" s="150">
        <f t="shared" si="236"/>
        <v>11</v>
      </c>
      <c r="U633" s="150">
        <f t="shared" si="236"/>
        <v>0</v>
      </c>
      <c r="V633" s="150">
        <f t="shared" si="236"/>
        <v>1</v>
      </c>
      <c r="W633" s="150">
        <f t="shared" si="236"/>
        <v>0</v>
      </c>
      <c r="X633" s="150">
        <f t="shared" si="236"/>
        <v>0</v>
      </c>
      <c r="Y633" s="150">
        <f t="shared" si="236"/>
        <v>0</v>
      </c>
      <c r="AQ633" s="3"/>
    </row>
    <row r="634" spans="5:43" x14ac:dyDescent="0.25">
      <c r="E634" s="129"/>
      <c r="F634" s="2" t="s">
        <v>925</v>
      </c>
      <c r="G634" t="s">
        <v>210</v>
      </c>
      <c r="J634" s="148">
        <f>J164</f>
        <v>76462.255868941589</v>
      </c>
      <c r="K634" s="148">
        <f t="shared" ref="K634:Y634" si="237">K164</f>
        <v>0</v>
      </c>
      <c r="L634" s="148">
        <f t="shared" si="237"/>
        <v>553.94980099030954</v>
      </c>
      <c r="M634" s="148">
        <f t="shared" si="237"/>
        <v>0</v>
      </c>
      <c r="N634" s="148">
        <f t="shared" si="237"/>
        <v>57.419550931888651</v>
      </c>
      <c r="O634" s="148">
        <f t="shared" si="237"/>
        <v>1</v>
      </c>
      <c r="P634" s="148">
        <f t="shared" si="237"/>
        <v>7.6559401242518197</v>
      </c>
      <c r="Q634" s="148">
        <f t="shared" si="237"/>
        <v>290.92572472156917</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25">
      <c r="E635" s="129"/>
      <c r="F635" s="2" t="s">
        <v>926</v>
      </c>
      <c r="G635" t="s">
        <v>210</v>
      </c>
      <c r="J635" s="148">
        <f>J173</f>
        <v>0</v>
      </c>
      <c r="K635" s="148">
        <f t="shared" ref="K635:Y635" si="238">K173</f>
        <v>0</v>
      </c>
      <c r="L635" s="148">
        <f t="shared" si="238"/>
        <v>62.523511014723212</v>
      </c>
      <c r="M635" s="148">
        <f t="shared" si="238"/>
        <v>0</v>
      </c>
      <c r="N635" s="148">
        <f t="shared" si="238"/>
        <v>119.94306194661185</v>
      </c>
      <c r="O635" s="148">
        <f t="shared" si="238"/>
        <v>1.2759900207086368</v>
      </c>
      <c r="P635" s="148">
        <f t="shared" si="238"/>
        <v>6.3799501035431829</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25">
      <c r="E636" s="129"/>
      <c r="F636" s="2" t="s">
        <v>928</v>
      </c>
      <c r="G636" t="s">
        <v>210</v>
      </c>
      <c r="J636" s="149">
        <f>J182</f>
        <v>0</v>
      </c>
      <c r="K636" s="149">
        <f t="shared" ref="K636:Y636" si="239">K182</f>
        <v>0</v>
      </c>
      <c r="L636" s="149">
        <f t="shared" si="239"/>
        <v>10.207920165669094</v>
      </c>
      <c r="M636" s="149">
        <f t="shared" si="239"/>
        <v>0</v>
      </c>
      <c r="N636" s="149">
        <f t="shared" si="239"/>
        <v>80.387371304644105</v>
      </c>
      <c r="O636" s="149">
        <f t="shared" si="239"/>
        <v>8.9319301449604591</v>
      </c>
      <c r="P636" s="149">
        <f t="shared" si="239"/>
        <v>5.1039600828345471</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25">
      <c r="E637" s="129"/>
      <c r="F637" s="2" t="s">
        <v>927</v>
      </c>
      <c r="G637" t="s">
        <v>210</v>
      </c>
      <c r="J637" s="149">
        <f>J191</f>
        <v>0</v>
      </c>
      <c r="K637" s="149">
        <f t="shared" ref="K637:Y637" si="240">K191</f>
        <v>0</v>
      </c>
      <c r="L637" s="149">
        <f t="shared" si="240"/>
        <v>92.509276501376092</v>
      </c>
      <c r="M637" s="149">
        <f t="shared" si="240"/>
        <v>0</v>
      </c>
      <c r="N637" s="149">
        <f t="shared" si="240"/>
        <v>145.46286236078453</v>
      </c>
      <c r="O637" s="149">
        <f t="shared" si="240"/>
        <v>47.211630766219535</v>
      </c>
      <c r="P637" s="149">
        <f t="shared" si="240"/>
        <v>8.9319301449604591</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25">
      <c r="E638" s="118" t="s">
        <v>248</v>
      </c>
      <c r="F638" s="2"/>
      <c r="J638" s="200"/>
      <c r="K638" s="200"/>
      <c r="L638" s="200"/>
      <c r="M638" s="200"/>
      <c r="N638" s="200"/>
      <c r="O638" s="200"/>
      <c r="P638" s="200"/>
      <c r="Q638" s="200"/>
      <c r="R638" s="200"/>
      <c r="S638" s="200"/>
      <c r="T638" s="200"/>
      <c r="U638" s="200"/>
      <c r="V638" s="200"/>
      <c r="W638" s="200"/>
      <c r="X638" s="200"/>
      <c r="Y638" s="200"/>
      <c r="AQ638" s="3"/>
    </row>
    <row r="639" spans="5:43" x14ac:dyDescent="0.25">
      <c r="E639" s="129"/>
      <c r="F639" s="2" t="s">
        <v>924</v>
      </c>
      <c r="G639" t="s">
        <v>249</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25">
      <c r="E640" s="129"/>
      <c r="F640" s="2" t="s">
        <v>925</v>
      </c>
      <c r="G640" t="s">
        <v>249</v>
      </c>
      <c r="J640" s="148">
        <f>J165</f>
        <v>0</v>
      </c>
      <c r="K640" s="148">
        <f t="shared" ref="K640:Y640" si="242">K165</f>
        <v>0</v>
      </c>
      <c r="L640" s="148">
        <f t="shared" si="242"/>
        <v>0</v>
      </c>
      <c r="M640" s="148">
        <f t="shared" si="242"/>
        <v>0</v>
      </c>
      <c r="N640" s="148">
        <f t="shared" si="242"/>
        <v>5717</v>
      </c>
      <c r="O640" s="148">
        <f t="shared" si="242"/>
        <v>0</v>
      </c>
      <c r="P640" s="148">
        <f t="shared" si="242"/>
        <v>1515</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25">
      <c r="E641" s="129"/>
      <c r="F641" s="2" t="s">
        <v>926</v>
      </c>
      <c r="G641" t="s">
        <v>249</v>
      </c>
      <c r="J641" s="148">
        <f>J174</f>
        <v>0</v>
      </c>
      <c r="K641" s="148">
        <f t="shared" ref="K641:Y641" si="243">K174</f>
        <v>0</v>
      </c>
      <c r="L641" s="148">
        <f t="shared" si="243"/>
        <v>0</v>
      </c>
      <c r="M641" s="148">
        <f t="shared" si="243"/>
        <v>0</v>
      </c>
      <c r="N641" s="148">
        <f t="shared" si="243"/>
        <v>13264</v>
      </c>
      <c r="O641" s="148">
        <f t="shared" si="243"/>
        <v>150</v>
      </c>
      <c r="P641" s="148">
        <f t="shared" si="243"/>
        <v>3806</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25">
      <c r="E642" s="129"/>
      <c r="F642" s="2" t="s">
        <v>928</v>
      </c>
      <c r="G642" t="s">
        <v>249</v>
      </c>
      <c r="J642" s="149">
        <f>J183</f>
        <v>0</v>
      </c>
      <c r="K642" s="149">
        <f t="shared" ref="K642:Y642" si="244">K183</f>
        <v>0</v>
      </c>
      <c r="L642" s="149">
        <f t="shared" si="244"/>
        <v>0</v>
      </c>
      <c r="M642" s="149">
        <f t="shared" si="244"/>
        <v>0</v>
      </c>
      <c r="N642" s="149">
        <f t="shared" si="244"/>
        <v>11561</v>
      </c>
      <c r="O642" s="149">
        <f t="shared" si="244"/>
        <v>1491</v>
      </c>
      <c r="P642" s="149">
        <f t="shared" si="244"/>
        <v>5150</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25">
      <c r="E643" s="129"/>
      <c r="F643" s="2" t="s">
        <v>927</v>
      </c>
      <c r="G643" t="s">
        <v>249</v>
      </c>
      <c r="J643" s="149">
        <f>J192</f>
        <v>0</v>
      </c>
      <c r="K643" s="149">
        <f t="shared" ref="K643:Y643" si="245">K192</f>
        <v>0</v>
      </c>
      <c r="L643" s="149">
        <f t="shared" si="245"/>
        <v>0</v>
      </c>
      <c r="M643" s="149">
        <f t="shared" si="245"/>
        <v>0</v>
      </c>
      <c r="N643" s="149">
        <f t="shared" si="245"/>
        <v>63486</v>
      </c>
      <c r="O643" s="149">
        <f t="shared" si="245"/>
        <v>24657</v>
      </c>
      <c r="P643" s="149">
        <f t="shared" si="245"/>
        <v>34520</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25">
      <c r="E644" s="118" t="s">
        <v>250</v>
      </c>
      <c r="F644" s="2"/>
      <c r="J644" s="200"/>
      <c r="K644" s="200"/>
      <c r="L644" s="200"/>
      <c r="M644" s="200"/>
      <c r="N644" s="200"/>
      <c r="O644" s="200"/>
      <c r="P644" s="200"/>
      <c r="Q644" s="200"/>
      <c r="R644" s="200"/>
      <c r="S644" s="200"/>
      <c r="T644" s="200"/>
      <c r="U644" s="200"/>
      <c r="V644" s="200"/>
      <c r="W644" s="200"/>
      <c r="X644" s="200"/>
      <c r="Y644" s="200"/>
      <c r="AQ644" s="3"/>
    </row>
    <row r="645" spans="5:43" x14ac:dyDescent="0.25">
      <c r="E645" s="129"/>
      <c r="F645" s="2" t="s">
        <v>924</v>
      </c>
      <c r="G645" t="s">
        <v>249</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25">
      <c r="E646" s="129"/>
      <c r="F646" s="2" t="s">
        <v>925</v>
      </c>
      <c r="G646" t="s">
        <v>249</v>
      </c>
      <c r="J646" s="148">
        <f>J166</f>
        <v>0</v>
      </c>
      <c r="K646" s="148">
        <f t="shared" ref="K646:Y646" si="247">K166</f>
        <v>0</v>
      </c>
      <c r="L646" s="148">
        <f t="shared" si="247"/>
        <v>0</v>
      </c>
      <c r="M646" s="148">
        <f t="shared" si="247"/>
        <v>0</v>
      </c>
      <c r="N646" s="148">
        <f t="shared" si="247"/>
        <v>6.117808219178082</v>
      </c>
      <c r="O646" s="148">
        <f t="shared" si="247"/>
        <v>0</v>
      </c>
      <c r="P646" s="148">
        <f t="shared" si="247"/>
        <v>0</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25">
      <c r="E647" s="129"/>
      <c r="F647" s="2" t="s">
        <v>926</v>
      </c>
      <c r="G647" t="s">
        <v>249</v>
      </c>
      <c r="J647" s="148">
        <f>J175</f>
        <v>0</v>
      </c>
      <c r="K647" s="148">
        <f t="shared" ref="K647:Y647" si="248">K175</f>
        <v>0</v>
      </c>
      <c r="L647" s="148">
        <f t="shared" si="248"/>
        <v>0</v>
      </c>
      <c r="M647" s="148">
        <f t="shared" si="248"/>
        <v>0</v>
      </c>
      <c r="N647" s="148">
        <f t="shared" si="248"/>
        <v>0.33972602739726027</v>
      </c>
      <c r="O647" s="148">
        <f t="shared" si="248"/>
        <v>0</v>
      </c>
      <c r="P647" s="148">
        <f t="shared" si="248"/>
        <v>0</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25">
      <c r="E648" s="129"/>
      <c r="F648" s="2" t="s">
        <v>928</v>
      </c>
      <c r="G648" t="s">
        <v>249</v>
      </c>
      <c r="J648" s="149">
        <f>J184</f>
        <v>0</v>
      </c>
      <c r="K648" s="149">
        <f t="shared" ref="K648:Y648" si="249">K184</f>
        <v>0</v>
      </c>
      <c r="L648" s="149">
        <f t="shared" si="249"/>
        <v>0</v>
      </c>
      <c r="M648" s="149">
        <f t="shared" si="249"/>
        <v>0</v>
      </c>
      <c r="N648" s="149">
        <f t="shared" si="249"/>
        <v>0</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25">
      <c r="E649" s="129"/>
      <c r="F649" s="2" t="s">
        <v>927</v>
      </c>
      <c r="G649" t="s">
        <v>249</v>
      </c>
      <c r="J649" s="149">
        <f>J193</f>
        <v>0</v>
      </c>
      <c r="K649" s="149">
        <f t="shared" ref="K649:Y649" si="250">K193</f>
        <v>0</v>
      </c>
      <c r="L649" s="149">
        <f t="shared" si="250"/>
        <v>0</v>
      </c>
      <c r="M649" s="149">
        <f t="shared" si="250"/>
        <v>0</v>
      </c>
      <c r="N649" s="149">
        <f t="shared" si="250"/>
        <v>0</v>
      </c>
      <c r="O649" s="149">
        <f t="shared" si="250"/>
        <v>64.717808219178082</v>
      </c>
      <c r="P649" s="149">
        <f t="shared" si="250"/>
        <v>147.01643835616437</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25">
      <c r="E650" s="129" t="s">
        <v>251</v>
      </c>
      <c r="F650" s="2"/>
      <c r="J650" s="200"/>
      <c r="K650" s="200"/>
      <c r="L650" s="200"/>
      <c r="M650" s="200"/>
      <c r="N650" s="200"/>
      <c r="O650" s="200"/>
      <c r="P650" s="200"/>
      <c r="Q650" s="200"/>
      <c r="R650" s="200"/>
      <c r="S650" s="200"/>
      <c r="T650" s="200"/>
      <c r="U650" s="200"/>
      <c r="V650" s="200"/>
      <c r="W650" s="200"/>
      <c r="X650" s="200"/>
      <c r="Y650" s="200"/>
      <c r="AQ650" s="3"/>
    </row>
    <row r="651" spans="5:43" x14ac:dyDescent="0.25">
      <c r="E651" s="129"/>
      <c r="F651" s="2" t="s">
        <v>924</v>
      </c>
      <c r="G651" t="s">
        <v>252</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646.82399999999996</v>
      </c>
      <c r="U651" s="150">
        <f t="shared" si="251"/>
        <v>0</v>
      </c>
      <c r="V651" s="150">
        <f t="shared" si="251"/>
        <v>1.1100000000000001</v>
      </c>
      <c r="W651" s="150">
        <f t="shared" si="251"/>
        <v>0</v>
      </c>
      <c r="X651" s="150">
        <f t="shared" si="251"/>
        <v>0</v>
      </c>
      <c r="Y651" s="150">
        <f t="shared" si="251"/>
        <v>0</v>
      </c>
      <c r="AQ651" s="3"/>
    </row>
    <row r="652" spans="5:43" x14ac:dyDescent="0.25">
      <c r="E652" s="129"/>
      <c r="F652" s="2" t="s">
        <v>925</v>
      </c>
      <c r="G652" t="s">
        <v>252</v>
      </c>
      <c r="J652" s="148">
        <f>J167</f>
        <v>0</v>
      </c>
      <c r="K652" s="148">
        <f t="shared" ref="K652:Y652" si="252">K167</f>
        <v>0</v>
      </c>
      <c r="L652" s="148">
        <f t="shared" si="252"/>
        <v>0</v>
      </c>
      <c r="M652" s="148">
        <f t="shared" si="252"/>
        <v>0</v>
      </c>
      <c r="N652" s="148">
        <f t="shared" si="252"/>
        <v>135.124</v>
      </c>
      <c r="O652" s="148">
        <f t="shared" si="252"/>
        <v>22.466000000000001</v>
      </c>
      <c r="P652" s="148">
        <f t="shared" si="252"/>
        <v>5.1639999999999997</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25">
      <c r="E653" s="129"/>
      <c r="F653" s="2" t="s">
        <v>926</v>
      </c>
      <c r="G653" t="s">
        <v>252</v>
      </c>
      <c r="J653" s="148">
        <f>J176</f>
        <v>0</v>
      </c>
      <c r="K653" s="148">
        <f t="shared" ref="K653:Y653" si="253">K176</f>
        <v>0</v>
      </c>
      <c r="L653" s="148">
        <f t="shared" si="253"/>
        <v>0</v>
      </c>
      <c r="M653" s="148">
        <f t="shared" si="253"/>
        <v>0</v>
      </c>
      <c r="N653" s="148">
        <f t="shared" si="253"/>
        <v>362.83800000000002</v>
      </c>
      <c r="O653" s="148">
        <f t="shared" si="253"/>
        <v>4.8659999999999997</v>
      </c>
      <c r="P653" s="148">
        <f t="shared" si="253"/>
        <v>20.867000000000001</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25">
      <c r="E654" s="129"/>
      <c r="F654" s="2" t="s">
        <v>928</v>
      </c>
      <c r="G654" t="s">
        <v>252</v>
      </c>
      <c r="J654" s="149">
        <f>J185</f>
        <v>0</v>
      </c>
      <c r="K654" s="149">
        <f t="shared" ref="K654:Y654" si="254">K185</f>
        <v>0</v>
      </c>
      <c r="L654" s="149">
        <f t="shared" si="254"/>
        <v>0</v>
      </c>
      <c r="M654" s="149">
        <f t="shared" si="254"/>
        <v>0</v>
      </c>
      <c r="N654" s="149">
        <f t="shared" si="254"/>
        <v>445.52199999999999</v>
      </c>
      <c r="O654" s="149">
        <f t="shared" si="254"/>
        <v>18.196999999999999</v>
      </c>
      <c r="P654" s="149">
        <f t="shared" si="254"/>
        <v>1007.367</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25">
      <c r="E655" s="120"/>
      <c r="F655" s="201" t="s">
        <v>927</v>
      </c>
      <c r="G655" s="96" t="s">
        <v>252</v>
      </c>
      <c r="H655" s="96"/>
      <c r="I655" s="96"/>
      <c r="J655" s="148">
        <f>J194</f>
        <v>0</v>
      </c>
      <c r="K655" s="148">
        <f t="shared" ref="K655:Y655" si="255">K194</f>
        <v>0</v>
      </c>
      <c r="L655" s="148">
        <f t="shared" si="255"/>
        <v>0</v>
      </c>
      <c r="M655" s="148">
        <f t="shared" si="255"/>
        <v>0</v>
      </c>
      <c r="N655" s="148">
        <f t="shared" si="255"/>
        <v>6670.91</v>
      </c>
      <c r="O655" s="148">
        <f t="shared" si="255"/>
        <v>764.13300000000004</v>
      </c>
      <c r="P655" s="148">
        <f t="shared" si="255"/>
        <v>443.77100000000002</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25">
      <c r="AQ656" s="3"/>
    </row>
    <row r="657" spans="3:43" x14ac:dyDescent="0.2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25">
      <c r="AQ658" s="3"/>
    </row>
    <row r="659" spans="3:43" x14ac:dyDescent="0.25">
      <c r="D659" s="86" t="s">
        <v>1055</v>
      </c>
      <c r="I659" t="s">
        <v>152</v>
      </c>
      <c r="AA659" t="s">
        <v>1084</v>
      </c>
      <c r="AQ659" s="3"/>
    </row>
    <row r="660" spans="3:43" x14ac:dyDescent="0.25">
      <c r="D660" s="86" t="s">
        <v>1056</v>
      </c>
      <c r="AQ660" s="3"/>
    </row>
    <row r="661" spans="3:43" x14ac:dyDescent="0.25">
      <c r="D661" s="86" t="s">
        <v>1057</v>
      </c>
      <c r="AQ661" s="3"/>
    </row>
    <row r="662" spans="3:43" x14ac:dyDescent="0.25">
      <c r="D662" s="86" t="s">
        <v>1058</v>
      </c>
      <c r="AQ662" s="3"/>
    </row>
    <row r="663" spans="3:43" x14ac:dyDescent="0.25">
      <c r="AQ663" s="3"/>
    </row>
    <row r="664" spans="3:43" x14ac:dyDescent="0.25">
      <c r="E664" s="75" t="s">
        <v>933</v>
      </c>
      <c r="J664" s="202" t="s">
        <v>924</v>
      </c>
      <c r="K664" s="202" t="s">
        <v>929</v>
      </c>
      <c r="L664" s="202" t="s">
        <v>930</v>
      </c>
      <c r="M664" s="202" t="s">
        <v>931</v>
      </c>
      <c r="N664" s="202" t="s">
        <v>932</v>
      </c>
      <c r="AQ664" s="3"/>
    </row>
    <row r="665" spans="3:43" x14ac:dyDescent="0.25">
      <c r="E665" s="75"/>
      <c r="F665" s="95" t="s">
        <v>245</v>
      </c>
      <c r="G665" s="95" t="s">
        <v>165</v>
      </c>
      <c r="H665" s="95"/>
      <c r="I665" s="95"/>
      <c r="J665" s="203">
        <f>'Inputs by customer type'!J169</f>
        <v>0</v>
      </c>
      <c r="K665" s="203">
        <f>'Inputs by customer type'!K169</f>
        <v>0.08</v>
      </c>
      <c r="L665" s="203">
        <f>'Inputs by customer type'!L169</f>
        <v>0.18</v>
      </c>
      <c r="M665" s="203">
        <f>'Inputs by customer type'!M169</f>
        <v>0.18</v>
      </c>
      <c r="N665" s="203">
        <f>'Inputs by customer type'!N169</f>
        <v>0.56000000000000005</v>
      </c>
      <c r="AQ665" s="3"/>
    </row>
    <row r="666" spans="3:43" x14ac:dyDescent="0.25">
      <c r="E666" s="75"/>
      <c r="F666" t="s">
        <v>246</v>
      </c>
      <c r="G666" t="s">
        <v>165</v>
      </c>
      <c r="J666" s="204">
        <f>'Inputs by customer type'!J170</f>
        <v>0</v>
      </c>
      <c r="K666" s="204">
        <f>'Inputs by customer type'!K170</f>
        <v>0.08</v>
      </c>
      <c r="L666" s="204">
        <f>'Inputs by customer type'!L170</f>
        <v>0.18</v>
      </c>
      <c r="M666" s="204">
        <f>'Inputs by customer type'!M170</f>
        <v>0.18</v>
      </c>
      <c r="N666" s="204">
        <f>'Inputs by customer type'!N170</f>
        <v>0.56000000000000005</v>
      </c>
      <c r="AQ666" s="3"/>
    </row>
    <row r="667" spans="3:43" x14ac:dyDescent="0.25">
      <c r="E667" s="75"/>
      <c r="F667" s="96" t="s">
        <v>247</v>
      </c>
      <c r="G667" s="96" t="s">
        <v>165</v>
      </c>
      <c r="H667" s="96"/>
      <c r="I667" s="96"/>
      <c r="J667" s="205">
        <f>'Inputs by customer type'!J171</f>
        <v>0</v>
      </c>
      <c r="K667" s="205">
        <f>'Inputs by customer type'!K171</f>
        <v>0.08</v>
      </c>
      <c r="L667" s="205">
        <f>'Inputs by customer type'!L171</f>
        <v>0.18</v>
      </c>
      <c r="M667" s="205">
        <f>'Inputs by customer type'!M171</f>
        <v>0.18</v>
      </c>
      <c r="N667" s="205">
        <f>'Inputs by customer type'!N171</f>
        <v>0.56000000000000005</v>
      </c>
      <c r="AQ667" s="3"/>
    </row>
    <row r="668" spans="3:43" x14ac:dyDescent="0.25">
      <c r="E668" s="75"/>
      <c r="AQ668" s="3"/>
    </row>
    <row r="669" spans="3:43" x14ac:dyDescent="0.25">
      <c r="E669" s="75" t="s">
        <v>934</v>
      </c>
      <c r="J669" s="202" t="s">
        <v>924</v>
      </c>
      <c r="K669" s="202" t="s">
        <v>929</v>
      </c>
      <c r="L669" s="202" t="s">
        <v>930</v>
      </c>
      <c r="M669" s="202" t="s">
        <v>931</v>
      </c>
      <c r="N669" s="202" t="s">
        <v>932</v>
      </c>
      <c r="AQ669" s="3"/>
    </row>
    <row r="670" spans="3:43" x14ac:dyDescent="0.25">
      <c r="E670" s="75"/>
      <c r="F670" s="95" t="s">
        <v>245</v>
      </c>
      <c r="G670" s="95" t="s">
        <v>165</v>
      </c>
      <c r="H670" s="95"/>
      <c r="I670" s="95"/>
      <c r="J670" s="203">
        <f>'Inputs by customer type'!J174</f>
        <v>0</v>
      </c>
      <c r="K670" s="203">
        <f>'Inputs by customer type'!K174</f>
        <v>0.08</v>
      </c>
      <c r="L670" s="203">
        <f>'Inputs by customer type'!L174</f>
        <v>0.18</v>
      </c>
      <c r="M670" s="203">
        <f>'Inputs by customer type'!M174</f>
        <v>0.18</v>
      </c>
      <c r="N670" s="203">
        <f>'Inputs by customer type'!N174</f>
        <v>0.56000000000000005</v>
      </c>
      <c r="AQ670" s="3"/>
    </row>
    <row r="671" spans="3:43" x14ac:dyDescent="0.25">
      <c r="E671" s="75"/>
      <c r="F671" t="s">
        <v>246</v>
      </c>
      <c r="G671" t="s">
        <v>165</v>
      </c>
      <c r="J671" s="204">
        <f>'Inputs by customer type'!J175</f>
        <v>0</v>
      </c>
      <c r="K671" s="204">
        <f>'Inputs by customer type'!K175</f>
        <v>0.08</v>
      </c>
      <c r="L671" s="204">
        <f>'Inputs by customer type'!L175</f>
        <v>0.18</v>
      </c>
      <c r="M671" s="204">
        <f>'Inputs by customer type'!M175</f>
        <v>0.18</v>
      </c>
      <c r="N671" s="204">
        <f>'Inputs by customer type'!N175</f>
        <v>0.56000000000000005</v>
      </c>
      <c r="AQ671" s="3"/>
    </row>
    <row r="672" spans="3:43" x14ac:dyDescent="0.25">
      <c r="E672" s="75"/>
      <c r="F672" s="96" t="s">
        <v>247</v>
      </c>
      <c r="G672" s="96" t="s">
        <v>165</v>
      </c>
      <c r="H672" s="96"/>
      <c r="I672" s="96"/>
      <c r="J672" s="205">
        <f>'Inputs by customer type'!J176</f>
        <v>0</v>
      </c>
      <c r="K672" s="205">
        <f>'Inputs by customer type'!K176</f>
        <v>0.08</v>
      </c>
      <c r="L672" s="205">
        <f>'Inputs by customer type'!L176</f>
        <v>0.18</v>
      </c>
      <c r="M672" s="205">
        <f>'Inputs by customer type'!M176</f>
        <v>0.18</v>
      </c>
      <c r="N672" s="205">
        <f>'Inputs by customer type'!N176</f>
        <v>0.56000000000000005</v>
      </c>
      <c r="AQ672" s="3"/>
    </row>
    <row r="673" spans="5:43" x14ac:dyDescent="0.25">
      <c r="E673" s="75"/>
      <c r="AQ673" s="3"/>
    </row>
    <row r="674" spans="5:43" x14ac:dyDescent="0.25">
      <c r="E674" s="75" t="s">
        <v>935</v>
      </c>
      <c r="J674" s="202" t="s">
        <v>924</v>
      </c>
      <c r="K674" s="202" t="s">
        <v>929</v>
      </c>
      <c r="L674" s="202" t="s">
        <v>930</v>
      </c>
      <c r="M674" s="202" t="s">
        <v>931</v>
      </c>
      <c r="N674" s="202" t="s">
        <v>932</v>
      </c>
      <c r="AQ674" s="3"/>
    </row>
    <row r="675" spans="5:43" x14ac:dyDescent="0.25">
      <c r="F675" s="95" t="s">
        <v>245</v>
      </c>
      <c r="G675" s="95" t="s">
        <v>165</v>
      </c>
      <c r="H675" s="95"/>
      <c r="I675" s="95"/>
      <c r="J675" s="203">
        <f>'Inputs by customer type'!J179</f>
        <v>0</v>
      </c>
      <c r="K675" s="203">
        <f>'Inputs by customer type'!K179</f>
        <v>0.08</v>
      </c>
      <c r="L675" s="203">
        <f>'Inputs by customer type'!L179</f>
        <v>0.18</v>
      </c>
      <c r="M675" s="203">
        <f>'Inputs by customer type'!M179</f>
        <v>0.18</v>
      </c>
      <c r="N675" s="203">
        <f>'Inputs by customer type'!N179</f>
        <v>0.56000000000000005</v>
      </c>
      <c r="AQ675" s="3"/>
    </row>
    <row r="676" spans="5:43" x14ac:dyDescent="0.25">
      <c r="F676" t="s">
        <v>246</v>
      </c>
      <c r="G676" t="s">
        <v>165</v>
      </c>
      <c r="J676" s="204">
        <f>'Inputs by customer type'!J180</f>
        <v>0</v>
      </c>
      <c r="K676" s="204">
        <f>'Inputs by customer type'!K180</f>
        <v>0.08</v>
      </c>
      <c r="L676" s="204">
        <f>'Inputs by customer type'!L180</f>
        <v>0.18</v>
      </c>
      <c r="M676" s="204">
        <f>'Inputs by customer type'!M180</f>
        <v>0.18</v>
      </c>
      <c r="N676" s="204">
        <f>'Inputs by customer type'!N180</f>
        <v>0.56000000000000005</v>
      </c>
      <c r="AQ676" s="3"/>
    </row>
    <row r="677" spans="5:43" x14ac:dyDescent="0.25">
      <c r="F677" s="96" t="s">
        <v>247</v>
      </c>
      <c r="G677" s="96" t="s">
        <v>165</v>
      </c>
      <c r="H677" s="96"/>
      <c r="I677" s="96"/>
      <c r="J677" s="205">
        <f>'Inputs by customer type'!J181</f>
        <v>0</v>
      </c>
      <c r="K677" s="205">
        <f>'Inputs by customer type'!K181</f>
        <v>0.08</v>
      </c>
      <c r="L677" s="205">
        <f>'Inputs by customer type'!L181</f>
        <v>0.18</v>
      </c>
      <c r="M677" s="205">
        <f>'Inputs by customer type'!M181</f>
        <v>0.18</v>
      </c>
      <c r="N677" s="205">
        <f>'Inputs by customer type'!N181</f>
        <v>0.56000000000000005</v>
      </c>
      <c r="AQ677" s="3"/>
    </row>
    <row r="678" spans="5:43" x14ac:dyDescent="0.25">
      <c r="AQ678" s="3"/>
    </row>
    <row r="679" spans="5:43" x14ac:dyDescent="0.25">
      <c r="E679" s="75" t="s">
        <v>937</v>
      </c>
      <c r="J679" s="202" t="s">
        <v>924</v>
      </c>
      <c r="K679" s="202" t="s">
        <v>929</v>
      </c>
      <c r="L679" s="202" t="s">
        <v>930</v>
      </c>
      <c r="M679" s="202" t="s">
        <v>931</v>
      </c>
      <c r="N679" s="202" t="s">
        <v>932</v>
      </c>
      <c r="AQ679" s="3"/>
    </row>
    <row r="680" spans="5:43" x14ac:dyDescent="0.25">
      <c r="F680" s="95" t="s">
        <v>245</v>
      </c>
      <c r="G680" s="95" t="s">
        <v>205</v>
      </c>
      <c r="H680" s="95"/>
      <c r="I680" s="95"/>
      <c r="J680" s="206">
        <f t="shared" ref="J680:N682" si="256" xml:space="preserve"> $M58 * J665  + $M105 * J670 + $M152 * J675</f>
        <v>0</v>
      </c>
      <c r="K680" s="206">
        <f t="shared" si="256"/>
        <v>15.842185969549064</v>
      </c>
      <c r="L680" s="206">
        <f t="shared" si="256"/>
        <v>35.644918431485394</v>
      </c>
      <c r="M680" s="206">
        <f t="shared" si="256"/>
        <v>35.644918431485394</v>
      </c>
      <c r="N680" s="206">
        <f t="shared" si="256"/>
        <v>110.89530178684346</v>
      </c>
      <c r="AQ680" s="3"/>
    </row>
    <row r="681" spans="5:43" x14ac:dyDescent="0.25">
      <c r="F681" t="s">
        <v>246</v>
      </c>
      <c r="G681" t="s">
        <v>205</v>
      </c>
      <c r="J681" s="207">
        <f t="shared" si="256"/>
        <v>0</v>
      </c>
      <c r="K681" s="207">
        <f t="shared" si="256"/>
        <v>51.736347239561418</v>
      </c>
      <c r="L681" s="207">
        <f t="shared" si="256"/>
        <v>116.40678128901318</v>
      </c>
      <c r="M681" s="207">
        <f t="shared" si="256"/>
        <v>116.40678128901318</v>
      </c>
      <c r="N681" s="207">
        <f t="shared" si="256"/>
        <v>362.15443067692996</v>
      </c>
      <c r="AQ681" s="3"/>
    </row>
    <row r="682" spans="5:43" x14ac:dyDescent="0.25">
      <c r="F682" s="96" t="s">
        <v>247</v>
      </c>
      <c r="G682" s="96" t="s">
        <v>205</v>
      </c>
      <c r="H682" s="96"/>
      <c r="I682" s="96"/>
      <c r="J682" s="208">
        <f t="shared" si="256"/>
        <v>0</v>
      </c>
      <c r="K682" s="208">
        <f t="shared" si="256"/>
        <v>256.3291799974383</v>
      </c>
      <c r="L682" s="208">
        <f t="shared" si="256"/>
        <v>576.74065499423614</v>
      </c>
      <c r="M682" s="208">
        <f t="shared" si="256"/>
        <v>576.74065499423614</v>
      </c>
      <c r="N682" s="208">
        <f t="shared" si="256"/>
        <v>1794.3042599820683</v>
      </c>
      <c r="AQ682" s="3"/>
    </row>
    <row r="683" spans="5:43" x14ac:dyDescent="0.25">
      <c r="J683" s="106"/>
      <c r="K683" s="106"/>
      <c r="L683" s="106"/>
      <c r="M683" s="106"/>
      <c r="N683" s="106"/>
      <c r="AQ683" s="3"/>
    </row>
    <row r="684" spans="5:43" x14ac:dyDescent="0.25">
      <c r="J684" s="209" t="s">
        <v>924</v>
      </c>
      <c r="K684" s="209" t="s">
        <v>929</v>
      </c>
      <c r="L684" s="209" t="s">
        <v>930</v>
      </c>
      <c r="M684" s="209" t="s">
        <v>931</v>
      </c>
      <c r="N684" s="209" t="s">
        <v>932</v>
      </c>
      <c r="AQ684" s="3"/>
    </row>
    <row r="685" spans="5:43" x14ac:dyDescent="0.25">
      <c r="E685" s="109" t="s">
        <v>938</v>
      </c>
      <c r="G685" t="s">
        <v>205</v>
      </c>
      <c r="J685" s="106">
        <f>SUM(J680:J682)</f>
        <v>0</v>
      </c>
      <c r="K685" s="106">
        <f>SUM(K680:K682)</f>
        <v>323.90771320654881</v>
      </c>
      <c r="L685" s="106">
        <f t="shared" ref="L685:N685" si="257">SUM(L680:L682)</f>
        <v>728.79235471473476</v>
      </c>
      <c r="M685" s="106">
        <f t="shared" si="257"/>
        <v>728.79235471473476</v>
      </c>
      <c r="N685" s="106">
        <f t="shared" si="257"/>
        <v>2267.3539924458419</v>
      </c>
      <c r="AQ685" s="3"/>
    </row>
    <row r="686" spans="5:43" x14ac:dyDescent="0.25">
      <c r="J686" s="106"/>
      <c r="K686" s="106"/>
      <c r="L686" s="106"/>
      <c r="M686" s="106"/>
      <c r="N686" s="106"/>
      <c r="AQ686" s="3"/>
    </row>
    <row r="687" spans="5:43" x14ac:dyDescent="0.25">
      <c r="E687" t="s">
        <v>982</v>
      </c>
      <c r="G687" t="s">
        <v>205</v>
      </c>
      <c r="H687" s="106">
        <f>SUM(J685:N685)</f>
        <v>4048.84641508186</v>
      </c>
      <c r="AQ687" s="3"/>
    </row>
    <row r="688" spans="5:43" x14ac:dyDescent="0.25">
      <c r="J688" s="209" t="s">
        <v>924</v>
      </c>
      <c r="K688" s="209" t="s">
        <v>929</v>
      </c>
      <c r="L688" s="209" t="s">
        <v>930</v>
      </c>
      <c r="M688" s="209" t="s">
        <v>931</v>
      </c>
      <c r="N688" s="209" t="s">
        <v>932</v>
      </c>
      <c r="AQ688" s="3"/>
    </row>
    <row r="689" spans="2:43" x14ac:dyDescent="0.25">
      <c r="E689" s="109" t="s">
        <v>937</v>
      </c>
      <c r="G689" t="s">
        <v>165</v>
      </c>
      <c r="J689" s="158">
        <f>IF($H687 &lt;&gt; 0, J685/$H687, 0)</f>
        <v>0</v>
      </c>
      <c r="K689" s="158">
        <f>IF($H687 &lt;&gt; 0, K685/$H687, 0)</f>
        <v>0.08</v>
      </c>
      <c r="L689" s="158">
        <f>IF($H687 &lt;&gt; 0, L685/$H687, 0)</f>
        <v>0.18</v>
      </c>
      <c r="M689" s="158">
        <f>IF($H687 &lt;&gt; 0, M685/$H687, 0)</f>
        <v>0.18</v>
      </c>
      <c r="N689" s="158">
        <f>IF($H687 &lt;&gt; 0, N685/$H687, 0)</f>
        <v>0.56000000000000005</v>
      </c>
      <c r="AQ689" s="3"/>
    </row>
    <row r="690" spans="2:43" x14ac:dyDescent="0.25">
      <c r="AQ690" s="3"/>
    </row>
    <row r="691" spans="2:43" x14ac:dyDescent="0.25">
      <c r="B691" s="85" t="s">
        <v>229</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25">
      <c r="E693" t="s">
        <v>230</v>
      </c>
      <c r="G693" s="6" t="s">
        <v>54</v>
      </c>
      <c r="H693" s="113">
        <f t="array" ref="H693">SUM(IF(ISERROR(H22:Y309), 1))</f>
        <v>0</v>
      </c>
    </row>
    <row r="695" spans="2:43" x14ac:dyDescent="0.25">
      <c r="B695" s="85" t="s">
        <v>105</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H306 &amp; IF(H306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0" t="s">
        <v>141</v>
      </c>
      <c r="H5" s="107" t="s">
        <v>142</v>
      </c>
      <c r="I5" s="62"/>
      <c r="J5" s="107" t="s">
        <v>1112</v>
      </c>
      <c r="K5" s="107" t="s">
        <v>783</v>
      </c>
      <c r="L5" s="107" t="s">
        <v>1113</v>
      </c>
      <c r="M5" s="107" t="s">
        <v>784</v>
      </c>
      <c r="N5" s="107" t="s">
        <v>790</v>
      </c>
      <c r="O5" s="107" t="s">
        <v>791</v>
      </c>
      <c r="P5" s="107" t="s">
        <v>792</v>
      </c>
      <c r="Q5" s="107" t="s">
        <v>793</v>
      </c>
      <c r="R5" s="107" t="s">
        <v>785</v>
      </c>
      <c r="S5" s="107" t="s">
        <v>786</v>
      </c>
      <c r="T5" s="107" t="s">
        <v>787</v>
      </c>
      <c r="U5" s="107" t="s">
        <v>796</v>
      </c>
      <c r="V5" s="107" t="s">
        <v>788</v>
      </c>
      <c r="W5" s="107" t="s">
        <v>795</v>
      </c>
      <c r="X5" s="107" t="s">
        <v>789</v>
      </c>
      <c r="Y5" s="107" t="s">
        <v>794</v>
      </c>
      <c r="AA5" s="90" t="s">
        <v>143</v>
      </c>
    </row>
    <row r="7" spans="1:27" x14ac:dyDescent="0.25">
      <c r="B7" s="85" t="s">
        <v>9</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816</v>
      </c>
    </row>
    <row r="10" spans="1:27" x14ac:dyDescent="0.25">
      <c r="C10" s="86" t="s">
        <v>411</v>
      </c>
    </row>
    <row r="11" spans="1:27" x14ac:dyDescent="0.25">
      <c r="C11" s="86" t="s">
        <v>412</v>
      </c>
    </row>
    <row r="13" spans="1:27" x14ac:dyDescent="0.25">
      <c r="B13" s="85" t="s">
        <v>413</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25">
      <c r="C15" s="86" t="s">
        <v>813</v>
      </c>
      <c r="I15" t="s">
        <v>152</v>
      </c>
      <c r="AA15" t="s">
        <v>814</v>
      </c>
    </row>
    <row r="16" spans="1:27" x14ac:dyDescent="0.25">
      <c r="C16" s="86" t="s">
        <v>414</v>
      </c>
    </row>
    <row r="18" spans="3:27" x14ac:dyDescent="0.2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25">
      <c r="E20" s="210" t="s">
        <v>415</v>
      </c>
      <c r="F20" s="211"/>
      <c r="G20" s="211" t="s">
        <v>416</v>
      </c>
      <c r="J20" s="212" t="b">
        <f>'Fixed inputs'!J128</f>
        <v>0</v>
      </c>
      <c r="K20" s="212" t="b">
        <f>'Fixed inputs'!K128</f>
        <v>0</v>
      </c>
      <c r="L20" s="212" t="b">
        <f>'Fixed inputs'!L128</f>
        <v>0</v>
      </c>
      <c r="M20" s="212" t="b">
        <f>'Fixed inputs'!M128</f>
        <v>0</v>
      </c>
      <c r="N20" s="212" t="b">
        <f>'Fixed inputs'!N128</f>
        <v>0</v>
      </c>
      <c r="O20" s="212" t="b">
        <f>'Fixed inputs'!O128</f>
        <v>0</v>
      </c>
      <c r="P20" s="212" t="b">
        <f>'Fixed inputs'!P128</f>
        <v>0</v>
      </c>
      <c r="Q20" s="212" t="b">
        <f>'Fixed inputs'!Q128</f>
        <v>1</v>
      </c>
      <c r="R20" s="212" t="b">
        <f>'Fixed inputs'!R128</f>
        <v>0</v>
      </c>
      <c r="S20" s="212" t="b">
        <f>'Fixed inputs'!S128</f>
        <v>0</v>
      </c>
      <c r="T20" s="212" t="b">
        <f>'Fixed inputs'!T128</f>
        <v>0</v>
      </c>
      <c r="U20" s="212" t="b">
        <f>'Fixed inputs'!U128</f>
        <v>0</v>
      </c>
      <c r="V20" s="212" t="b">
        <f>'Fixed inputs'!V128</f>
        <v>0</v>
      </c>
      <c r="W20" s="212" t="b">
        <f>'Fixed inputs'!W128</f>
        <v>0</v>
      </c>
      <c r="X20" s="212" t="b">
        <f>'Fixed inputs'!X128</f>
        <v>0</v>
      </c>
      <c r="Y20" s="212" t="b">
        <f>'Fixed inputs'!Y128</f>
        <v>0</v>
      </c>
    </row>
    <row r="22" spans="3:27" x14ac:dyDescent="0.25">
      <c r="E22" s="75" t="s">
        <v>417</v>
      </c>
      <c r="I22" t="s">
        <v>152</v>
      </c>
      <c r="AA22" t="s">
        <v>418</v>
      </c>
    </row>
    <row r="23" spans="3:27" x14ac:dyDescent="0.25">
      <c r="E23" s="86" t="s">
        <v>419</v>
      </c>
      <c r="F23" s="86"/>
    </row>
    <row r="24" spans="3:27" x14ac:dyDescent="0.25">
      <c r="F24" s="98" t="s">
        <v>420</v>
      </c>
      <c r="G24" s="98" t="s">
        <v>145</v>
      </c>
      <c r="H24" s="213"/>
      <c r="I24" s="213"/>
      <c r="J24" s="170">
        <f>IF(J$20, 'General inputs'!$H16, 'General inputs'!$H21)</f>
        <v>913.5</v>
      </c>
      <c r="K24" s="170">
        <f>IF(K$20, 'General inputs'!$H16, 'General inputs'!$H21)</f>
        <v>913.5</v>
      </c>
      <c r="L24" s="170">
        <f>IF(L$20, 'General inputs'!$H16, 'General inputs'!$H21)</f>
        <v>913.5</v>
      </c>
      <c r="M24" s="170">
        <f>IF(M$20, 'General inputs'!$H16, 'General inputs'!$H21)</f>
        <v>913.5</v>
      </c>
      <c r="N24" s="170">
        <f>IF(N$20, 'General inputs'!$H16, 'General inputs'!$H21)</f>
        <v>913.5</v>
      </c>
      <c r="O24" s="170">
        <f>IF(O$20, 'General inputs'!$H16, 'General inputs'!$H21)</f>
        <v>913.5</v>
      </c>
      <c r="P24" s="170">
        <f>IF(P$20, 'General inputs'!$H16, 'General inputs'!$H21)</f>
        <v>913.5</v>
      </c>
      <c r="Q24" s="170">
        <f>IF(Q$20, 'General inputs'!$H16, 'General inputs'!$H21)</f>
        <v>297.5</v>
      </c>
      <c r="R24" s="170">
        <f>IF(R$20, 'General inputs'!$H16, 'General inputs'!$H21)</f>
        <v>913.5</v>
      </c>
      <c r="S24" s="170">
        <f>IF(S$20, 'General inputs'!$H16, 'General inputs'!$H21)</f>
        <v>913.5</v>
      </c>
      <c r="T24" s="170">
        <f>IF(T$20, 'General inputs'!$H16, 'General inputs'!$H21)</f>
        <v>913.5</v>
      </c>
      <c r="U24" s="170">
        <f>IF(U$20, 'General inputs'!$H16, 'General inputs'!$H21)</f>
        <v>913.5</v>
      </c>
      <c r="V24" s="170">
        <f>IF(V$20, 'General inputs'!$H16, 'General inputs'!$H21)</f>
        <v>913.5</v>
      </c>
      <c r="W24" s="170">
        <f>IF(W$20, 'General inputs'!$H16, 'General inputs'!$H21)</f>
        <v>913.5</v>
      </c>
      <c r="X24" s="170">
        <f>IF(X$20, 'General inputs'!$H16, 'General inputs'!$H21)</f>
        <v>913.5</v>
      </c>
      <c r="Y24" s="170">
        <f>IF(Y$20, 'General inputs'!$H16, 'General inputs'!$H21)</f>
        <v>913.5</v>
      </c>
    </row>
    <row r="25" spans="3:27" x14ac:dyDescent="0.25">
      <c r="F25" s="94" t="s">
        <v>421</v>
      </c>
      <c r="G25" t="s">
        <v>145</v>
      </c>
      <c r="H25" s="214"/>
      <c r="I25" s="214"/>
      <c r="J25" s="167">
        <f>IF(J$20, 'General inputs'!$H17, 'General inputs'!$H22)</f>
        <v>2740.5</v>
      </c>
      <c r="K25" s="167">
        <f>IF(K$20, 'General inputs'!$H17, 'General inputs'!$H22)</f>
        <v>2740.5</v>
      </c>
      <c r="L25" s="167">
        <f>IF(L$20, 'General inputs'!$H17, 'General inputs'!$H22)</f>
        <v>2740.5</v>
      </c>
      <c r="M25" s="167">
        <f>IF(M$20, 'General inputs'!$H17, 'General inputs'!$H22)</f>
        <v>2740.5</v>
      </c>
      <c r="N25" s="167">
        <f>IF(N$20, 'General inputs'!$H17, 'General inputs'!$H22)</f>
        <v>2740.5</v>
      </c>
      <c r="O25" s="167">
        <f>IF(O$20, 'General inputs'!$H17, 'General inputs'!$H22)</f>
        <v>2740.5</v>
      </c>
      <c r="P25" s="167">
        <f>IF(P$20, 'General inputs'!$H17, 'General inputs'!$H22)</f>
        <v>2740.5</v>
      </c>
      <c r="Q25" s="167">
        <f>IF(Q$20, 'General inputs'!$H17, 'General inputs'!$H22)</f>
        <v>3356.5</v>
      </c>
      <c r="R25" s="167">
        <f>IF(R$20, 'General inputs'!$H17, 'General inputs'!$H22)</f>
        <v>2740.5</v>
      </c>
      <c r="S25" s="167">
        <f>IF(S$20, 'General inputs'!$H17, 'General inputs'!$H22)</f>
        <v>2740.5</v>
      </c>
      <c r="T25" s="167">
        <f>IF(T$20, 'General inputs'!$H17, 'General inputs'!$H22)</f>
        <v>2740.5</v>
      </c>
      <c r="U25" s="167">
        <f>IF(U$20, 'General inputs'!$H17, 'General inputs'!$H22)</f>
        <v>2740.5</v>
      </c>
      <c r="V25" s="167">
        <f>IF(V$20, 'General inputs'!$H17, 'General inputs'!$H22)</f>
        <v>2740.5</v>
      </c>
      <c r="W25" s="167">
        <f>IF(W$20, 'General inputs'!$H17, 'General inputs'!$H22)</f>
        <v>2740.5</v>
      </c>
      <c r="X25" s="167">
        <f>IF(X$20, 'General inputs'!$H17, 'General inputs'!$H22)</f>
        <v>2740.5</v>
      </c>
      <c r="Y25" s="167">
        <f>IF(Y$20, 'General inputs'!$H17, 'General inputs'!$H22)</f>
        <v>2740.5</v>
      </c>
    </row>
    <row r="26" spans="3:27" x14ac:dyDescent="0.25">
      <c r="F26" s="101" t="s">
        <v>255</v>
      </c>
      <c r="G26" s="96" t="s">
        <v>145</v>
      </c>
      <c r="H26" s="215"/>
      <c r="I26" s="215"/>
      <c r="J26" s="171">
        <f>IF(J$20, 'General inputs'!$H18, 'General inputs'!$H23)</f>
        <v>5106</v>
      </c>
      <c r="K26" s="171">
        <f>IF(K$20, 'General inputs'!$H18, 'General inputs'!$H23)</f>
        <v>5106</v>
      </c>
      <c r="L26" s="171">
        <f>IF(L$20, 'General inputs'!$H18, 'General inputs'!$H23)</f>
        <v>5106</v>
      </c>
      <c r="M26" s="171">
        <f>IF(M$20, 'General inputs'!$H18, 'General inputs'!$H23)</f>
        <v>5106</v>
      </c>
      <c r="N26" s="171">
        <f>IF(N$20, 'General inputs'!$H18, 'General inputs'!$H23)</f>
        <v>5106</v>
      </c>
      <c r="O26" s="171">
        <f>IF(O$20, 'General inputs'!$H18, 'General inputs'!$H23)</f>
        <v>5106</v>
      </c>
      <c r="P26" s="171">
        <f>IF(P$20, 'General inputs'!$H18, 'General inputs'!$H23)</f>
        <v>5106</v>
      </c>
      <c r="Q26" s="171">
        <f>IF(Q$20, 'General inputs'!$H18, 'General inputs'!$H23)</f>
        <v>5106</v>
      </c>
      <c r="R26" s="171">
        <f>IF(R$20, 'General inputs'!$H18, 'General inputs'!$H23)</f>
        <v>5106</v>
      </c>
      <c r="S26" s="171">
        <f>IF(S$20, 'General inputs'!$H18, 'General inputs'!$H23)</f>
        <v>5106</v>
      </c>
      <c r="T26" s="171">
        <f>IF(T$20, 'General inputs'!$H18, 'General inputs'!$H23)</f>
        <v>5106</v>
      </c>
      <c r="U26" s="171">
        <f>IF(U$20, 'General inputs'!$H18, 'General inputs'!$H23)</f>
        <v>5106</v>
      </c>
      <c r="V26" s="171">
        <f>IF(V$20, 'General inputs'!$H18, 'General inputs'!$H23)</f>
        <v>5106</v>
      </c>
      <c r="W26" s="171">
        <f>IF(W$20, 'General inputs'!$H18, 'General inputs'!$H23)</f>
        <v>5106</v>
      </c>
      <c r="X26" s="171">
        <f>IF(X$20, 'General inputs'!$H18, 'General inputs'!$H23)</f>
        <v>5106</v>
      </c>
      <c r="Y26" s="171">
        <f>IF(Y$20, 'General inputs'!$H18, 'General inputs'!$H23)</f>
        <v>5106</v>
      </c>
    </row>
    <row r="27" spans="3:27" x14ac:dyDescent="0.25">
      <c r="J27" s="106"/>
      <c r="K27" s="106"/>
      <c r="L27" s="106"/>
      <c r="M27" s="106"/>
      <c r="N27" s="106"/>
      <c r="O27" s="106"/>
      <c r="P27" s="106"/>
      <c r="Q27" s="106"/>
      <c r="R27" s="106"/>
      <c r="S27" s="106"/>
      <c r="T27" s="106"/>
      <c r="U27" s="106"/>
      <c r="V27" s="106"/>
      <c r="W27" s="106"/>
      <c r="X27" s="106"/>
      <c r="Y27" s="106"/>
    </row>
    <row r="28" spans="3:27" x14ac:dyDescent="0.2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25">
      <c r="J29" s="106"/>
      <c r="K29" s="106"/>
      <c r="L29" s="106"/>
      <c r="M29" s="106"/>
      <c r="N29" s="106"/>
      <c r="O29" s="106"/>
      <c r="P29" s="106"/>
      <c r="Q29" s="106"/>
      <c r="R29" s="106"/>
      <c r="S29" s="106"/>
      <c r="T29" s="106"/>
      <c r="U29" s="106"/>
      <c r="V29" s="106"/>
      <c r="W29" s="106"/>
      <c r="X29" s="106"/>
      <c r="Y29" s="106"/>
    </row>
    <row r="30" spans="3:27" x14ac:dyDescent="0.25">
      <c r="E30" s="75" t="s">
        <v>422</v>
      </c>
      <c r="J30" s="106"/>
      <c r="K30" s="106"/>
      <c r="L30" s="106"/>
      <c r="M30" s="106"/>
      <c r="N30" s="106"/>
      <c r="O30" s="106"/>
      <c r="P30" s="106"/>
      <c r="Q30" s="106"/>
      <c r="R30" s="106"/>
      <c r="S30" s="106"/>
      <c r="T30" s="106"/>
      <c r="U30" s="106"/>
      <c r="V30" s="106"/>
      <c r="W30" s="106"/>
      <c r="X30" s="106"/>
      <c r="Y30" s="106"/>
    </row>
    <row r="31" spans="3:27" x14ac:dyDescent="0.25">
      <c r="F31" s="98" t="s">
        <v>154</v>
      </c>
      <c r="G31" s="98" t="s">
        <v>205</v>
      </c>
      <c r="H31" s="95"/>
      <c r="I31" s="95"/>
      <c r="J31" s="170">
        <f>'Volume adjustments'!J238</f>
        <v>602010.79580819397</v>
      </c>
      <c r="K31" s="170">
        <f>'Volume adjustments'!K238</f>
        <v>715.06892412151399</v>
      </c>
      <c r="L31" s="170">
        <f>'Volume adjustments'!L238</f>
        <v>159082.50952370188</v>
      </c>
      <c r="M31" s="170">
        <f>'Volume adjustments'!M238</f>
        <v>198.0273246193633</v>
      </c>
      <c r="N31" s="170">
        <f>'Volume adjustments'!N238</f>
        <v>217958.48184833908</v>
      </c>
      <c r="O31" s="170">
        <f>'Volume adjustments'!O238</f>
        <v>75751.88709803547</v>
      </c>
      <c r="P31" s="170">
        <f>'Volume adjustments'!P238</f>
        <v>260335.78369279471</v>
      </c>
      <c r="Q31" s="170">
        <f>'Volume adjustments'!Q238</f>
        <v>5961.8800051746312</v>
      </c>
      <c r="R31" s="170">
        <f>'Volume adjustments'!R238</f>
        <v>6989.1164284156448</v>
      </c>
      <c r="S31" s="170">
        <f>'Volume adjustments'!S238</f>
        <v>0</v>
      </c>
      <c r="T31" s="170">
        <f>'Volume adjustments'!T238</f>
        <v>4310.0455999999986</v>
      </c>
      <c r="U31" s="170">
        <f>'Volume adjustments'!U238</f>
        <v>0</v>
      </c>
      <c r="V31" s="170">
        <f>'Volume adjustments'!V238</f>
        <v>235.52749999999995</v>
      </c>
      <c r="W31" s="170">
        <f>'Volume adjustments'!W238</f>
        <v>0</v>
      </c>
      <c r="X31" s="170">
        <f>'Volume adjustments'!X238</f>
        <v>112429.61859999999</v>
      </c>
      <c r="Y31" s="170">
        <f>'Volume adjustments'!Y238</f>
        <v>0</v>
      </c>
    </row>
    <row r="32" spans="3:27" x14ac:dyDescent="0.25">
      <c r="F32" s="94" t="s">
        <v>155</v>
      </c>
      <c r="G32" s="94" t="s">
        <v>205</v>
      </c>
      <c r="J32" s="167">
        <f>'Volume adjustments'!J249</f>
        <v>1485357.3777113075</v>
      </c>
      <c r="K32" s="167">
        <f>'Volume adjustments'!K249</f>
        <v>4081.6408178065876</v>
      </c>
      <c r="L32" s="167">
        <f>'Volume adjustments'!L249</f>
        <v>575338.15339219209</v>
      </c>
      <c r="M32" s="167">
        <f>'Volume adjustments'!M249</f>
        <v>646.70434049451774</v>
      </c>
      <c r="N32" s="167">
        <f>'Volume adjustments'!N249</f>
        <v>756494.0185942814</v>
      </c>
      <c r="O32" s="167">
        <f>'Volume adjustments'!O249</f>
        <v>248975.41444504535</v>
      </c>
      <c r="P32" s="167">
        <f>'Volume adjustments'!P249</f>
        <v>840268.92271096946</v>
      </c>
      <c r="Q32" s="167">
        <f>'Volume adjustments'!Q249</f>
        <v>24728.581351992561</v>
      </c>
      <c r="R32" s="167">
        <f>'Volume adjustments'!R249</f>
        <v>30411.928111830457</v>
      </c>
      <c r="S32" s="167">
        <f>'Volume adjustments'!S249</f>
        <v>0</v>
      </c>
      <c r="T32" s="167">
        <f>'Volume adjustments'!T249</f>
        <v>14714.395000000002</v>
      </c>
      <c r="U32" s="167">
        <f>'Volume adjustments'!U249</f>
        <v>0</v>
      </c>
      <c r="V32" s="167">
        <f>'Volume adjustments'!V249</f>
        <v>949.01109999999994</v>
      </c>
      <c r="W32" s="167">
        <f>'Volume adjustments'!W249</f>
        <v>0</v>
      </c>
      <c r="X32" s="167">
        <f>'Volume adjustments'!X249</f>
        <v>305558.88569999998</v>
      </c>
      <c r="Y32" s="167">
        <f>'Volume adjustments'!Y249</f>
        <v>0</v>
      </c>
    </row>
    <row r="33" spans="3:27" x14ac:dyDescent="0.25">
      <c r="F33" s="94" t="s">
        <v>156</v>
      </c>
      <c r="G33" s="94" t="s">
        <v>205</v>
      </c>
      <c r="J33" s="167">
        <f>'Volume adjustments'!J260</f>
        <v>2224654.7633966957</v>
      </c>
      <c r="K33" s="167">
        <f>'Volume adjustments'!K260</f>
        <v>17683.252822043934</v>
      </c>
      <c r="L33" s="167">
        <f>'Volume adjustments'!L260</f>
        <v>633436.16108444147</v>
      </c>
      <c r="M33" s="167">
        <f>'Volume adjustments'!M260</f>
        <v>3204.1147499679787</v>
      </c>
      <c r="N33" s="167">
        <f>'Volume adjustments'!N260</f>
        <v>873121.7021386011</v>
      </c>
      <c r="O33" s="167">
        <f>'Volume adjustments'!O260</f>
        <v>339651.86436381692</v>
      </c>
      <c r="P33" s="167">
        <f>'Volume adjustments'!P260</f>
        <v>1202148.8710274233</v>
      </c>
      <c r="Q33" s="167">
        <f>'Volume adjustments'!Q260</f>
        <v>74346.95288920337</v>
      </c>
      <c r="R33" s="167">
        <f>'Volume adjustments'!R260</f>
        <v>18030.478238646261</v>
      </c>
      <c r="S33" s="167">
        <f>'Volume adjustments'!S260</f>
        <v>0</v>
      </c>
      <c r="T33" s="167">
        <f>'Volume adjustments'!T260</f>
        <v>22467.003499999995</v>
      </c>
      <c r="U33" s="167">
        <f>'Volume adjustments'!U260</f>
        <v>0</v>
      </c>
      <c r="V33" s="167">
        <f>'Volume adjustments'!V260</f>
        <v>1267.7273</v>
      </c>
      <c r="W33" s="167">
        <f>'Volume adjustments'!W260</f>
        <v>0</v>
      </c>
      <c r="X33" s="167">
        <f>'Volume adjustments'!X260</f>
        <v>457934.66330000001</v>
      </c>
      <c r="Y33" s="167">
        <f>'Volume adjustments'!Y260</f>
        <v>0</v>
      </c>
    </row>
    <row r="34" spans="3:27" x14ac:dyDescent="0.25">
      <c r="F34" s="216" t="s">
        <v>410</v>
      </c>
      <c r="G34" s="216" t="s">
        <v>205</v>
      </c>
      <c r="H34" s="145"/>
      <c r="I34" s="145"/>
      <c r="J34" s="146">
        <f t="shared" ref="J34:Y34" si="0">SUM(J31:J33)</f>
        <v>4312022.9369161967</v>
      </c>
      <c r="K34" s="146">
        <f t="shared" si="0"/>
        <v>22479.962563972036</v>
      </c>
      <c r="L34" s="146">
        <f t="shared" si="0"/>
        <v>1367856.8240003353</v>
      </c>
      <c r="M34" s="146">
        <f t="shared" si="0"/>
        <v>4048.84641508186</v>
      </c>
      <c r="N34" s="146">
        <f t="shared" si="0"/>
        <v>1847574.2025812217</v>
      </c>
      <c r="O34" s="146">
        <f t="shared" si="0"/>
        <v>664379.16590689775</v>
      </c>
      <c r="P34" s="146">
        <f t="shared" si="0"/>
        <v>2302753.5774311875</v>
      </c>
      <c r="Q34" s="146">
        <f t="shared" si="0"/>
        <v>105037.41424637056</v>
      </c>
      <c r="R34" s="146">
        <f t="shared" si="0"/>
        <v>55431.522778892366</v>
      </c>
      <c r="S34" s="146">
        <f t="shared" si="0"/>
        <v>0</v>
      </c>
      <c r="T34" s="146">
        <f t="shared" si="0"/>
        <v>41491.444099999993</v>
      </c>
      <c r="U34" s="146">
        <f t="shared" si="0"/>
        <v>0</v>
      </c>
      <c r="V34" s="146">
        <f t="shared" si="0"/>
        <v>2452.2658999999999</v>
      </c>
      <c r="W34" s="146">
        <f t="shared" si="0"/>
        <v>0</v>
      </c>
      <c r="X34" s="146">
        <f t="shared" si="0"/>
        <v>875923.16760000004</v>
      </c>
      <c r="Y34" s="146">
        <f t="shared" si="0"/>
        <v>0</v>
      </c>
    </row>
    <row r="35" spans="3:27" x14ac:dyDescent="0.25">
      <c r="F35" s="94"/>
      <c r="G35" s="94"/>
      <c r="J35" s="155"/>
      <c r="K35" s="155"/>
      <c r="L35" s="155"/>
      <c r="M35" s="155"/>
      <c r="N35" s="155"/>
      <c r="O35" s="155"/>
      <c r="P35" s="155"/>
      <c r="Q35" s="155"/>
      <c r="R35" s="155"/>
      <c r="S35" s="155"/>
      <c r="T35" s="155"/>
      <c r="U35" s="155"/>
      <c r="V35" s="155"/>
      <c r="W35" s="155"/>
      <c r="X35" s="155"/>
      <c r="Y35" s="155"/>
      <c r="Z35" s="155"/>
    </row>
    <row r="36" spans="3:27" x14ac:dyDescent="0.2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25">
      <c r="J37" s="106"/>
      <c r="K37" s="106"/>
      <c r="L37" s="106"/>
      <c r="M37" s="106"/>
      <c r="N37" s="106"/>
      <c r="O37" s="106"/>
      <c r="P37" s="106"/>
      <c r="Q37" s="106"/>
      <c r="R37" s="106"/>
      <c r="S37" s="106"/>
      <c r="T37" s="106"/>
      <c r="U37" s="106"/>
      <c r="V37" s="106"/>
      <c r="W37" s="106"/>
      <c r="X37" s="106"/>
      <c r="Y37" s="106"/>
    </row>
    <row r="38" spans="3:27" x14ac:dyDescent="0.25">
      <c r="E38" s="94" t="s">
        <v>800</v>
      </c>
      <c r="F38" s="94"/>
      <c r="G38" s="94" t="s">
        <v>147</v>
      </c>
      <c r="I38" t="s">
        <v>152</v>
      </c>
      <c r="J38" s="217">
        <f>'Fixed inputs'!J150</f>
        <v>1</v>
      </c>
      <c r="K38" s="217">
        <f>'Fixed inputs'!K150</f>
        <v>1</v>
      </c>
      <c r="L38" s="217">
        <f>'Fixed inputs'!L150</f>
        <v>2</v>
      </c>
      <c r="M38" s="217">
        <f>'Fixed inputs'!M150</f>
        <v>2</v>
      </c>
      <c r="N38" s="217">
        <f>'Fixed inputs'!N150</f>
        <v>3</v>
      </c>
      <c r="O38" s="217">
        <f>'Fixed inputs'!O150</f>
        <v>4</v>
      </c>
      <c r="P38" s="217">
        <f>'Fixed inputs'!P150</f>
        <v>5</v>
      </c>
      <c r="Q38" s="218"/>
      <c r="R38" s="218"/>
      <c r="S38" s="218"/>
      <c r="T38" s="218"/>
      <c r="U38" s="218"/>
      <c r="V38" s="218"/>
      <c r="W38" s="218"/>
      <c r="X38" s="218"/>
      <c r="Y38" s="218"/>
      <c r="AA38" t="s">
        <v>812</v>
      </c>
    </row>
    <row r="39" spans="3:27" x14ac:dyDescent="0.25">
      <c r="J39" s="106"/>
      <c r="K39" s="106"/>
      <c r="L39" s="106"/>
      <c r="M39" s="106"/>
      <c r="N39" s="106"/>
      <c r="O39" s="106"/>
      <c r="P39" s="106"/>
      <c r="Q39" s="106"/>
      <c r="R39" s="106"/>
      <c r="S39" s="106"/>
      <c r="T39" s="106"/>
      <c r="U39" s="106"/>
      <c r="V39" s="106"/>
      <c r="W39" s="106"/>
      <c r="X39" s="106"/>
      <c r="Y39" s="106"/>
    </row>
    <row r="40" spans="3:27" x14ac:dyDescent="0.25">
      <c r="E40" s="75" t="s">
        <v>801</v>
      </c>
      <c r="J40" s="106"/>
      <c r="K40" s="106"/>
      <c r="L40" s="106"/>
      <c r="M40" s="106"/>
      <c r="N40" s="106"/>
      <c r="O40" s="106"/>
      <c r="P40" s="106"/>
      <c r="Q40" s="106"/>
      <c r="R40" s="106"/>
      <c r="S40" s="106"/>
      <c r="T40" s="106"/>
      <c r="U40" s="106"/>
      <c r="V40" s="106"/>
      <c r="W40" s="106"/>
      <c r="X40" s="106"/>
      <c r="Y40" s="106"/>
    </row>
    <row r="41" spans="3:27" x14ac:dyDescent="0.25">
      <c r="E41" s="86" t="s">
        <v>419</v>
      </c>
    </row>
    <row r="42" spans="3:27" x14ac:dyDescent="0.25">
      <c r="F42" s="98" t="s">
        <v>420</v>
      </c>
      <c r="G42" s="98" t="s">
        <v>165</v>
      </c>
      <c r="H42" s="95"/>
      <c r="I42" s="95"/>
      <c r="J42" s="198">
        <f t="shared" ref="J42:P44" si="1">SUMIF($J$38:$Y$38, J$38, $J31:$Y31) / SUMIF($J$38:$Y$38, J$38, $J$34:$Y$34)</f>
        <v>0.13905305376646526</v>
      </c>
      <c r="K42" s="198">
        <f t="shared" si="1"/>
        <v>0.13905305376646526</v>
      </c>
      <c r="L42" s="198">
        <f t="shared" si="1"/>
        <v>0.11610166812714655</v>
      </c>
      <c r="M42" s="198">
        <f t="shared" si="1"/>
        <v>0.11610166812714655</v>
      </c>
      <c r="N42" s="198">
        <f t="shared" si="1"/>
        <v>0.11797008290321014</v>
      </c>
      <c r="O42" s="198">
        <f t="shared" si="1"/>
        <v>0.11401905867206392</v>
      </c>
      <c r="P42" s="198">
        <f t="shared" si="1"/>
        <v>0.11305412191920663</v>
      </c>
      <c r="Q42" s="219"/>
      <c r="R42" s="219"/>
      <c r="S42" s="219"/>
      <c r="T42" s="219"/>
      <c r="U42" s="219"/>
      <c r="V42" s="219"/>
      <c r="W42" s="219"/>
      <c r="X42" s="219"/>
      <c r="Y42" s="219"/>
    </row>
    <row r="43" spans="3:27" x14ac:dyDescent="0.25">
      <c r="F43" s="94" t="s">
        <v>421</v>
      </c>
      <c r="G43" s="94" t="s">
        <v>165</v>
      </c>
      <c r="J43" s="190">
        <f t="shared" si="1"/>
        <v>0.34362395252007805</v>
      </c>
      <c r="K43" s="190">
        <f t="shared" si="1"/>
        <v>0.34362395252007805</v>
      </c>
      <c r="L43" s="190">
        <f t="shared" si="1"/>
        <v>0.41984290185073486</v>
      </c>
      <c r="M43" s="190">
        <f t="shared" si="1"/>
        <v>0.41984290185073486</v>
      </c>
      <c r="N43" s="190">
        <f t="shared" si="1"/>
        <v>0.40945257708047317</v>
      </c>
      <c r="O43" s="190">
        <f t="shared" si="1"/>
        <v>0.37474897953066655</v>
      </c>
      <c r="P43" s="190">
        <f t="shared" si="1"/>
        <v>0.36489745622209502</v>
      </c>
      <c r="Q43" s="103"/>
      <c r="R43" s="103"/>
      <c r="S43" s="103"/>
      <c r="T43" s="103"/>
      <c r="U43" s="103"/>
      <c r="V43" s="103"/>
      <c r="W43" s="103"/>
      <c r="X43" s="103"/>
      <c r="Y43" s="103"/>
    </row>
    <row r="44" spans="3:27" x14ac:dyDescent="0.25">
      <c r="F44" s="101" t="s">
        <v>255</v>
      </c>
      <c r="G44" s="101" t="s">
        <v>165</v>
      </c>
      <c r="H44" s="96"/>
      <c r="I44" s="96"/>
      <c r="J44" s="199">
        <f t="shared" si="1"/>
        <v>0.5173229937134568</v>
      </c>
      <c r="K44" s="199">
        <f t="shared" si="1"/>
        <v>0.5173229937134568</v>
      </c>
      <c r="L44" s="199">
        <f t="shared" si="1"/>
        <v>0.46405543002211869</v>
      </c>
      <c r="M44" s="199">
        <f t="shared" si="1"/>
        <v>0.46405543002211869</v>
      </c>
      <c r="N44" s="199">
        <f t="shared" si="1"/>
        <v>0.47257734001631663</v>
      </c>
      <c r="O44" s="199">
        <f t="shared" si="1"/>
        <v>0.51123196179726949</v>
      </c>
      <c r="P44" s="199">
        <f t="shared" si="1"/>
        <v>0.52204842185869837</v>
      </c>
      <c r="Q44" s="104"/>
      <c r="R44" s="104"/>
      <c r="S44" s="104"/>
      <c r="T44" s="104"/>
      <c r="U44" s="104"/>
      <c r="V44" s="104"/>
      <c r="W44" s="104"/>
      <c r="X44" s="104"/>
      <c r="Y44" s="104"/>
    </row>
    <row r="45" spans="3:27" x14ac:dyDescent="0.25">
      <c r="J45" s="106"/>
      <c r="K45" s="106"/>
      <c r="L45" s="106"/>
      <c r="M45" s="106"/>
      <c r="N45" s="106"/>
      <c r="O45" s="106"/>
      <c r="P45" s="106"/>
      <c r="Q45" s="106"/>
      <c r="R45" s="106"/>
      <c r="S45" s="106"/>
      <c r="T45" s="106"/>
      <c r="U45" s="106"/>
      <c r="V45" s="106"/>
      <c r="W45" s="106"/>
      <c r="X45" s="106"/>
      <c r="Y45" s="106"/>
    </row>
    <row r="46" spans="3:27" x14ac:dyDescent="0.25">
      <c r="E46" s="75" t="s">
        <v>802</v>
      </c>
      <c r="F46" s="94"/>
      <c r="G46" s="94"/>
    </row>
    <row r="47" spans="3:27" x14ac:dyDescent="0.25">
      <c r="E47" s="86" t="s">
        <v>419</v>
      </c>
    </row>
    <row r="48" spans="3:27" x14ac:dyDescent="0.25">
      <c r="F48" s="98" t="s">
        <v>420</v>
      </c>
      <c r="G48" s="98" t="s">
        <v>165</v>
      </c>
      <c r="H48" s="95"/>
      <c r="I48" s="95"/>
      <c r="J48" s="198">
        <f>IF(ISNUMBER(J$38), J42, IF(J$34 = 0, 0, J31 / J$34))</f>
        <v>0.13905305376646526</v>
      </c>
      <c r="K48" s="198">
        <f t="shared" ref="K48:Y48" si="2">IF(ISNUMBER(K$38), K42, IF(K$34 = 0, 0, K31 / K$34))</f>
        <v>0.13905305376646526</v>
      </c>
      <c r="L48" s="198">
        <f t="shared" si="2"/>
        <v>0.11610166812714655</v>
      </c>
      <c r="M48" s="198">
        <f t="shared" si="2"/>
        <v>0.11610166812714655</v>
      </c>
      <c r="N48" s="198">
        <f t="shared" si="2"/>
        <v>0.11797008290321014</v>
      </c>
      <c r="O48" s="198">
        <f t="shared" si="2"/>
        <v>0.11401905867206392</v>
      </c>
      <c r="P48" s="198">
        <f t="shared" si="2"/>
        <v>0.11305412191920663</v>
      </c>
      <c r="Q48" s="198">
        <f t="shared" si="2"/>
        <v>5.6759584648482873E-2</v>
      </c>
      <c r="R48" s="198">
        <f t="shared" si="2"/>
        <v>0.12608559314334791</v>
      </c>
      <c r="S48" s="198">
        <f t="shared" si="2"/>
        <v>0</v>
      </c>
      <c r="T48" s="198">
        <f t="shared" si="2"/>
        <v>0.10387793660814036</v>
      </c>
      <c r="U48" s="198">
        <f t="shared" si="2"/>
        <v>0</v>
      </c>
      <c r="V48" s="198">
        <f t="shared" si="2"/>
        <v>9.6044845707800267E-2</v>
      </c>
      <c r="W48" s="198">
        <f t="shared" si="2"/>
        <v>0</v>
      </c>
      <c r="X48" s="198">
        <f t="shared" si="2"/>
        <v>0.12835557130890071</v>
      </c>
      <c r="Y48" s="198">
        <f t="shared" si="2"/>
        <v>0</v>
      </c>
    </row>
    <row r="49" spans="2:27" x14ac:dyDescent="0.25">
      <c r="F49" s="94" t="s">
        <v>421</v>
      </c>
      <c r="G49" s="94" t="s">
        <v>165</v>
      </c>
      <c r="J49" s="190">
        <f t="shared" ref="J49:Y49" si="3">IF(ISNUMBER(J$38), J43, IF(J$34 = 0, 0, J32 / J$34))</f>
        <v>0.34362395252007805</v>
      </c>
      <c r="K49" s="190">
        <f t="shared" si="3"/>
        <v>0.34362395252007805</v>
      </c>
      <c r="L49" s="190">
        <f t="shared" si="3"/>
        <v>0.41984290185073486</v>
      </c>
      <c r="M49" s="190">
        <f t="shared" si="3"/>
        <v>0.41984290185073486</v>
      </c>
      <c r="N49" s="190">
        <f t="shared" si="3"/>
        <v>0.40945257708047317</v>
      </c>
      <c r="O49" s="190">
        <f t="shared" si="3"/>
        <v>0.37474897953066655</v>
      </c>
      <c r="P49" s="190">
        <f t="shared" si="3"/>
        <v>0.36489745622209502</v>
      </c>
      <c r="Q49" s="190">
        <f t="shared" si="3"/>
        <v>0.23542641000272935</v>
      </c>
      <c r="R49" s="190">
        <f t="shared" si="3"/>
        <v>0.54863959327148304</v>
      </c>
      <c r="S49" s="190">
        <f t="shared" si="3"/>
        <v>0</v>
      </c>
      <c r="T49" s="190">
        <f t="shared" si="3"/>
        <v>0.35463684909438969</v>
      </c>
      <c r="U49" s="190">
        <f t="shared" si="3"/>
        <v>0</v>
      </c>
      <c r="V49" s="190">
        <f t="shared" si="3"/>
        <v>0.38699355563358767</v>
      </c>
      <c r="W49" s="190">
        <f t="shared" si="3"/>
        <v>0</v>
      </c>
      <c r="X49" s="190">
        <f t="shared" si="3"/>
        <v>0.34884210967637841</v>
      </c>
      <c r="Y49" s="190">
        <f t="shared" si="3"/>
        <v>0</v>
      </c>
    </row>
    <row r="50" spans="2:27" x14ac:dyDescent="0.25">
      <c r="F50" s="101" t="s">
        <v>255</v>
      </c>
      <c r="G50" s="101" t="s">
        <v>165</v>
      </c>
      <c r="H50" s="96"/>
      <c r="I50" s="96"/>
      <c r="J50" s="199">
        <f t="shared" ref="J50:Y50" si="4">IF(ISNUMBER(J$38), J44, IF(J$34 = 0, 0, J33 / J$34))</f>
        <v>0.5173229937134568</v>
      </c>
      <c r="K50" s="199">
        <f t="shared" si="4"/>
        <v>0.5173229937134568</v>
      </c>
      <c r="L50" s="199">
        <f t="shared" si="4"/>
        <v>0.46405543002211869</v>
      </c>
      <c r="M50" s="199">
        <f t="shared" si="4"/>
        <v>0.46405543002211869</v>
      </c>
      <c r="N50" s="199">
        <f t="shared" si="4"/>
        <v>0.47257734001631663</v>
      </c>
      <c r="O50" s="199">
        <f t="shared" si="4"/>
        <v>0.51123196179726949</v>
      </c>
      <c r="P50" s="199">
        <f t="shared" si="4"/>
        <v>0.52204842185869837</v>
      </c>
      <c r="Q50" s="199">
        <f t="shared" si="4"/>
        <v>0.7078140053487878</v>
      </c>
      <c r="R50" s="199">
        <f t="shared" si="4"/>
        <v>0.32527481358516896</v>
      </c>
      <c r="S50" s="199">
        <f t="shared" si="4"/>
        <v>0</v>
      </c>
      <c r="T50" s="199">
        <f t="shared" si="4"/>
        <v>0.54148521429746999</v>
      </c>
      <c r="U50" s="199">
        <f t="shared" si="4"/>
        <v>0</v>
      </c>
      <c r="V50" s="199">
        <f t="shared" si="4"/>
        <v>0.51696159865861202</v>
      </c>
      <c r="W50" s="199">
        <f t="shared" si="4"/>
        <v>0</v>
      </c>
      <c r="X50" s="199">
        <f t="shared" si="4"/>
        <v>0.52280231901472085</v>
      </c>
      <c r="Y50" s="199">
        <f t="shared" si="4"/>
        <v>0</v>
      </c>
    </row>
    <row r="52" spans="2:27" x14ac:dyDescent="0.2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25">
      <c r="E54" t="s">
        <v>423</v>
      </c>
      <c r="G54" t="s">
        <v>281</v>
      </c>
      <c r="H54" s="106"/>
      <c r="I54" s="106"/>
      <c r="J54" s="106">
        <f t="shared" ref="J54:Y54" si="5">J48 * hours_in_year / J24</f>
        <v>1.333448003277762</v>
      </c>
      <c r="K54" s="106">
        <f t="shared" si="5"/>
        <v>1.333448003277762</v>
      </c>
      <c r="L54" s="106">
        <f t="shared" si="5"/>
        <v>1.1133558979680391</v>
      </c>
      <c r="M54" s="106">
        <f t="shared" si="5"/>
        <v>1.1133558979680391</v>
      </c>
      <c r="N54" s="106">
        <f t="shared" si="5"/>
        <v>1.131273044589076</v>
      </c>
      <c r="O54" s="106">
        <f t="shared" si="5"/>
        <v>1.0933847334069842</v>
      </c>
      <c r="P54" s="106">
        <f t="shared" si="5"/>
        <v>1.0841314811299947</v>
      </c>
      <c r="Q54" s="106">
        <f t="shared" si="5"/>
        <v>1.6713074336830587</v>
      </c>
      <c r="R54" s="106">
        <f t="shared" si="5"/>
        <v>1.2090966567440915</v>
      </c>
      <c r="S54" s="106">
        <f t="shared" si="5"/>
        <v>0</v>
      </c>
      <c r="T54" s="106">
        <f t="shared" si="5"/>
        <v>0.99613653496147736</v>
      </c>
      <c r="U54" s="106">
        <f t="shared" si="5"/>
        <v>0</v>
      </c>
      <c r="V54" s="106">
        <f t="shared" si="5"/>
        <v>0.92102118051486626</v>
      </c>
      <c r="W54" s="106">
        <f t="shared" si="5"/>
        <v>0</v>
      </c>
      <c r="X54" s="106">
        <f t="shared" si="5"/>
        <v>1.2308645918620365</v>
      </c>
      <c r="Y54" s="106">
        <f t="shared" si="5"/>
        <v>0</v>
      </c>
    </row>
    <row r="55" spans="2:27" x14ac:dyDescent="0.25">
      <c r="J55" s="97"/>
      <c r="K55" s="97"/>
      <c r="L55" s="97"/>
      <c r="M55" s="97"/>
      <c r="N55" s="97"/>
      <c r="O55" s="97"/>
      <c r="P55" s="97"/>
      <c r="Q55" s="97"/>
      <c r="R55" s="97"/>
      <c r="S55" s="97"/>
      <c r="T55" s="97"/>
      <c r="U55" s="97"/>
      <c r="V55" s="97"/>
      <c r="W55" s="97"/>
      <c r="X55" s="97"/>
      <c r="Y55" s="97"/>
    </row>
    <row r="56" spans="2:27" x14ac:dyDescent="0.25">
      <c r="B56" s="85" t="s">
        <v>424</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F57" s="94"/>
      <c r="G57" s="94"/>
    </row>
    <row r="58" spans="2:27" x14ac:dyDescent="0.25">
      <c r="C58" s="86" t="s">
        <v>425</v>
      </c>
      <c r="F58" s="94"/>
      <c r="G58" s="94"/>
    </row>
    <row r="59" spans="2:27" x14ac:dyDescent="0.25">
      <c r="F59" s="94"/>
      <c r="G59" s="94"/>
    </row>
    <row r="60" spans="2:27" x14ac:dyDescent="0.2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25">
      <c r="D61" s="75"/>
      <c r="J61" s="155"/>
      <c r="K61" s="155"/>
      <c r="L61" s="155"/>
      <c r="M61" s="155"/>
      <c r="N61" s="155"/>
      <c r="O61" s="155"/>
      <c r="P61" s="155"/>
      <c r="Q61" s="155"/>
      <c r="R61" s="155"/>
      <c r="S61" s="155"/>
      <c r="T61" s="155"/>
      <c r="U61" s="155"/>
      <c r="V61" s="155"/>
      <c r="W61" s="155"/>
      <c r="X61" s="155"/>
      <c r="Y61" s="155"/>
    </row>
    <row r="62" spans="2:27" x14ac:dyDescent="0.25">
      <c r="E62" s="94" t="s">
        <v>239</v>
      </c>
      <c r="G62" s="94" t="s">
        <v>165</v>
      </c>
      <c r="J62" s="155">
        <f>'Inputs by customer type'!J15</f>
        <v>0.4370458859170343</v>
      </c>
      <c r="K62" s="155">
        <f>'Inputs by customer type'!K15</f>
        <v>0.12911164006947018</v>
      </c>
      <c r="L62" s="155">
        <f>'Inputs by customer type'!L15</f>
        <v>0.43879877241700616</v>
      </c>
      <c r="M62" s="155">
        <f>'Inputs by customer type'!M15</f>
        <v>0.21939798721656412</v>
      </c>
      <c r="N62" s="155">
        <f>'Inputs by customer type'!N15</f>
        <v>0.53357447399807167</v>
      </c>
      <c r="O62" s="155">
        <f>'Inputs by customer type'!O15</f>
        <v>0.66722855949044801</v>
      </c>
      <c r="P62" s="155">
        <f>'Inputs by customer type'!P15</f>
        <v>0.70790835452106082</v>
      </c>
      <c r="Q62" s="155">
        <f>'Inputs by customer type'!Q15</f>
        <v>0.47449645331417156</v>
      </c>
      <c r="R62" s="103"/>
      <c r="S62" s="103"/>
      <c r="T62" s="103"/>
      <c r="U62" s="103"/>
      <c r="V62" s="103"/>
      <c r="W62" s="103"/>
      <c r="X62" s="103"/>
      <c r="Y62" s="103"/>
    </row>
    <row r="63" spans="2:27" x14ac:dyDescent="0.25">
      <c r="E63" s="94" t="s">
        <v>241</v>
      </c>
      <c r="G63" s="94" t="s">
        <v>165</v>
      </c>
      <c r="J63" s="155">
        <f>'Inputs by customer type'!J16</f>
        <v>0.85114817218223704</v>
      </c>
      <c r="K63" s="103"/>
      <c r="L63" s="155">
        <f>'Inputs by customer type'!L16</f>
        <v>0.81221407992248151</v>
      </c>
      <c r="M63" s="103"/>
      <c r="N63" s="155">
        <f>'Inputs by customer type'!N16</f>
        <v>0.80867842104205778</v>
      </c>
      <c r="O63" s="155">
        <f>'Inputs by customer type'!O16</f>
        <v>0.85692617799083204</v>
      </c>
      <c r="P63" s="155">
        <f>'Inputs by customer type'!P16</f>
        <v>0.85657387613684399</v>
      </c>
      <c r="Q63" s="155">
        <f>'Inputs by customer type'!Q16</f>
        <v>0.96559107372002784</v>
      </c>
      <c r="R63" s="103"/>
      <c r="S63" s="103"/>
      <c r="T63" s="103"/>
      <c r="U63" s="103"/>
      <c r="V63" s="103"/>
      <c r="W63" s="103"/>
      <c r="X63" s="103"/>
      <c r="Y63" s="103"/>
    </row>
    <row r="64" spans="2:27" x14ac:dyDescent="0.25">
      <c r="F64" s="94"/>
      <c r="G64" s="94"/>
      <c r="J64" s="155"/>
      <c r="K64" s="155"/>
      <c r="L64" s="155"/>
      <c r="M64" s="155"/>
      <c r="N64" s="155"/>
      <c r="O64" s="155"/>
      <c r="P64" s="155"/>
      <c r="Q64" s="155"/>
      <c r="R64" s="155"/>
      <c r="S64" s="155"/>
      <c r="T64" s="155"/>
      <c r="U64" s="155"/>
      <c r="V64" s="155"/>
      <c r="W64" s="155"/>
      <c r="X64" s="155"/>
      <c r="Y64" s="155"/>
    </row>
    <row r="65" spans="3:27" x14ac:dyDescent="0.2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25">
      <c r="D67" s="75" t="s">
        <v>803</v>
      </c>
      <c r="E67" s="94"/>
      <c r="F67" s="94"/>
      <c r="G67" s="94"/>
    </row>
    <row r="68" spans="3:27" x14ac:dyDescent="0.25">
      <c r="D68" s="75"/>
      <c r="E68" s="94"/>
      <c r="F68" s="94"/>
      <c r="G68" s="94"/>
    </row>
    <row r="69" spans="3:27" x14ac:dyDescent="0.25">
      <c r="D69" s="75"/>
      <c r="E69" s="94" t="s">
        <v>804</v>
      </c>
      <c r="F69" s="94"/>
      <c r="G69" s="94" t="s">
        <v>170</v>
      </c>
      <c r="J69" s="106">
        <f t="shared" ref="J69:P69" si="6">J34 / hours_in_year</f>
        <v>492.24006129180327</v>
      </c>
      <c r="K69" s="106">
        <f t="shared" si="6"/>
        <v>2.5662057721429266</v>
      </c>
      <c r="L69" s="106">
        <f t="shared" si="6"/>
        <v>156.14803926944467</v>
      </c>
      <c r="M69" s="106">
        <f t="shared" si="6"/>
        <v>0.4621970793472443</v>
      </c>
      <c r="N69" s="106">
        <f t="shared" si="6"/>
        <v>210.91029709831298</v>
      </c>
      <c r="O69" s="106">
        <f t="shared" si="6"/>
        <v>75.842370537317095</v>
      </c>
      <c r="P69" s="106">
        <f t="shared" si="6"/>
        <v>262.87141294876568</v>
      </c>
      <c r="Q69" s="218"/>
      <c r="R69" s="218"/>
      <c r="S69" s="218"/>
      <c r="T69" s="218"/>
      <c r="U69" s="218"/>
      <c r="V69" s="218"/>
      <c r="W69" s="218"/>
      <c r="X69" s="218"/>
      <c r="Y69" s="218"/>
    </row>
    <row r="70" spans="3:27" x14ac:dyDescent="0.25">
      <c r="D70" s="75"/>
      <c r="E70" s="94"/>
      <c r="F70" s="94"/>
      <c r="G70" s="94"/>
    </row>
    <row r="71" spans="3:27" x14ac:dyDescent="0.25">
      <c r="D71" s="75"/>
      <c r="E71" s="94" t="s">
        <v>426</v>
      </c>
      <c r="F71" s="94"/>
      <c r="G71" s="94" t="s">
        <v>170</v>
      </c>
      <c r="J71" s="106">
        <f t="shared" ref="J71:P71" si="7">IF(J62 = 0, 0, J34 / (J62 * hours_in_year))</f>
        <v>1126.2892001807943</v>
      </c>
      <c r="K71" s="106">
        <f t="shared" si="7"/>
        <v>19.875866891336415</v>
      </c>
      <c r="L71" s="106">
        <f t="shared" si="7"/>
        <v>355.85340954657823</v>
      </c>
      <c r="M71" s="106">
        <f t="shared" si="7"/>
        <v>2.1066605268854048</v>
      </c>
      <c r="N71" s="106">
        <f t="shared" si="7"/>
        <v>395.27808652082405</v>
      </c>
      <c r="O71" s="106">
        <f t="shared" si="7"/>
        <v>113.66775216462065</v>
      </c>
      <c r="P71" s="106">
        <f t="shared" si="7"/>
        <v>371.33537310293895</v>
      </c>
      <c r="Q71" s="218"/>
      <c r="R71" s="218"/>
      <c r="S71" s="218"/>
      <c r="T71" s="218"/>
      <c r="U71" s="218"/>
      <c r="V71" s="218"/>
      <c r="W71" s="218"/>
      <c r="X71" s="218"/>
      <c r="Y71" s="218"/>
    </row>
    <row r="72" spans="3:27" x14ac:dyDescent="0.25">
      <c r="D72" s="75"/>
      <c r="E72" s="94"/>
      <c r="F72" s="94"/>
      <c r="G72" s="94"/>
    </row>
    <row r="73" spans="3:27" x14ac:dyDescent="0.25">
      <c r="D73" s="75"/>
      <c r="E73" s="94" t="s">
        <v>805</v>
      </c>
      <c r="F73" s="94"/>
      <c r="G73" s="94" t="s">
        <v>170</v>
      </c>
      <c r="J73" s="106">
        <f>J71 * J63</f>
        <v>958.63899408247676</v>
      </c>
      <c r="K73" s="106">
        <f t="shared" ref="K73:M73" si="8">K71 * K63</f>
        <v>0</v>
      </c>
      <c r="L73" s="106">
        <f t="shared" si="8"/>
        <v>289.02914962215203</v>
      </c>
      <c r="M73" s="106">
        <f t="shared" si="8"/>
        <v>0</v>
      </c>
      <c r="N73" s="106">
        <f t="shared" ref="N73:P73" si="9">N71 * N63</f>
        <v>319.65285888018587</v>
      </c>
      <c r="O73" s="106">
        <f t="shared" si="9"/>
        <v>97.404872423237506</v>
      </c>
      <c r="P73" s="106">
        <f t="shared" si="9"/>
        <v>318.07617988550555</v>
      </c>
      <c r="Q73" s="218"/>
      <c r="R73" s="218"/>
      <c r="S73" s="218"/>
      <c r="T73" s="218"/>
      <c r="U73" s="218"/>
      <c r="V73" s="218"/>
      <c r="W73" s="218"/>
      <c r="X73" s="218"/>
      <c r="Y73" s="218"/>
    </row>
    <row r="74" spans="3:27" x14ac:dyDescent="0.25">
      <c r="D74" s="75"/>
      <c r="E74" s="94"/>
      <c r="F74" s="94"/>
      <c r="G74" s="94"/>
    </row>
    <row r="75" spans="3:27" x14ac:dyDescent="0.25">
      <c r="D75" s="75" t="s">
        <v>806</v>
      </c>
      <c r="E75" s="94"/>
      <c r="F75" s="94"/>
      <c r="G75" s="94"/>
    </row>
    <row r="76" spans="3:27" x14ac:dyDescent="0.25">
      <c r="D76" s="75"/>
      <c r="E76" s="94"/>
      <c r="F76" s="94"/>
      <c r="G76" s="94"/>
    </row>
    <row r="77" spans="3:27" x14ac:dyDescent="0.25">
      <c r="D77" s="75"/>
      <c r="E77" s="94" t="s">
        <v>239</v>
      </c>
      <c r="F77" s="94"/>
      <c r="G77" s="94" t="s">
        <v>165</v>
      </c>
      <c r="J77" s="190">
        <f t="shared" ref="J77:P77" si="10">SUMIF($J$38:$Y$38, J$38, $J$69:$Y$69) / SUMIF($J$38:$Y$38, J$38, $J$71:$Y$71)</f>
        <v>0.43170593946640229</v>
      </c>
      <c r="K77" s="190">
        <f t="shared" si="10"/>
        <v>0.43170593946640229</v>
      </c>
      <c r="L77" s="190">
        <f t="shared" si="10"/>
        <v>0.43750755864097085</v>
      </c>
      <c r="M77" s="190">
        <f t="shared" si="10"/>
        <v>0.43750755864097085</v>
      </c>
      <c r="N77" s="190">
        <f t="shared" si="10"/>
        <v>0.53357447399807179</v>
      </c>
      <c r="O77" s="190">
        <f t="shared" si="10"/>
        <v>0.66722855949044801</v>
      </c>
      <c r="P77" s="190">
        <f t="shared" si="10"/>
        <v>0.70790835452106082</v>
      </c>
      <c r="Q77" s="218"/>
      <c r="R77" s="218"/>
      <c r="S77" s="218"/>
      <c r="T77" s="218"/>
      <c r="U77" s="218"/>
      <c r="V77" s="218"/>
      <c r="W77" s="218"/>
      <c r="X77" s="218"/>
      <c r="Y77" s="218"/>
    </row>
    <row r="78" spans="3:27" x14ac:dyDescent="0.25">
      <c r="D78" s="75"/>
      <c r="E78" s="94"/>
      <c r="F78" s="94"/>
      <c r="G78" s="94"/>
    </row>
    <row r="79" spans="3:27" x14ac:dyDescent="0.25">
      <c r="D79" s="75"/>
      <c r="E79" s="94" t="s">
        <v>241</v>
      </c>
      <c r="F79" s="94"/>
      <c r="G79" s="94" t="s">
        <v>165</v>
      </c>
      <c r="J79" s="190">
        <f t="shared" ref="J79:P79" si="11">SUMIF($J$38:$Y$38, J$38, $J$73:$Y$73) / SUMIF($J$38:$Y$38, J$38, $J$71:$Y$71)</f>
        <v>0.8363882494964815</v>
      </c>
      <c r="K79" s="190">
        <f t="shared" si="11"/>
        <v>0.8363882494964815</v>
      </c>
      <c r="L79" s="190">
        <f t="shared" si="11"/>
        <v>0.80743405140923963</v>
      </c>
      <c r="M79" s="190">
        <f t="shared" si="11"/>
        <v>0.80743405140923963</v>
      </c>
      <c r="N79" s="190">
        <f t="shared" si="11"/>
        <v>0.80867842104205778</v>
      </c>
      <c r="O79" s="190">
        <f t="shared" si="11"/>
        <v>0.85692617799083215</v>
      </c>
      <c r="P79" s="190">
        <f t="shared" si="11"/>
        <v>0.85657387613684388</v>
      </c>
      <c r="Q79" s="218"/>
      <c r="R79" s="218"/>
      <c r="S79" s="218"/>
      <c r="T79" s="218"/>
      <c r="U79" s="218"/>
      <c r="V79" s="218"/>
      <c r="W79" s="218"/>
      <c r="X79" s="218"/>
      <c r="Y79" s="218"/>
    </row>
    <row r="80" spans="3:27" x14ac:dyDescent="0.25">
      <c r="D80" s="75"/>
      <c r="E80" s="94"/>
      <c r="F80" s="94"/>
      <c r="G80" s="94"/>
    </row>
    <row r="81" spans="2:27" x14ac:dyDescent="0.25">
      <c r="D81" s="75" t="s">
        <v>807</v>
      </c>
      <c r="E81" s="94"/>
      <c r="F81" s="94"/>
      <c r="G81" s="94"/>
    </row>
    <row r="82" spans="2:27" x14ac:dyDescent="0.25">
      <c r="D82" s="94"/>
      <c r="E82" s="94"/>
      <c r="F82" s="94"/>
      <c r="G82" s="94"/>
    </row>
    <row r="83" spans="2:27" x14ac:dyDescent="0.25">
      <c r="D83" s="94"/>
      <c r="E83" s="94" t="s">
        <v>239</v>
      </c>
      <c r="F83" s="94"/>
      <c r="G83" s="94" t="s">
        <v>165</v>
      </c>
      <c r="J83" s="190">
        <f>IF(J$38 = 0, J62, J77)</f>
        <v>0.43170593946640229</v>
      </c>
      <c r="K83" s="190">
        <f t="shared" ref="K83:Y83" si="12">IF(K$38 = 0, K62, K77)</f>
        <v>0.43170593946640229</v>
      </c>
      <c r="L83" s="190">
        <f t="shared" si="12"/>
        <v>0.43750755864097085</v>
      </c>
      <c r="M83" s="190">
        <f>IF(M$38 = 0, M62, M77)</f>
        <v>0.43750755864097085</v>
      </c>
      <c r="N83" s="190">
        <f t="shared" si="12"/>
        <v>0.53357447399807179</v>
      </c>
      <c r="O83" s="190">
        <f t="shared" si="12"/>
        <v>0.66722855949044801</v>
      </c>
      <c r="P83" s="190">
        <f t="shared" si="12"/>
        <v>0.70790835452106082</v>
      </c>
      <c r="Q83" s="190">
        <f t="shared" si="12"/>
        <v>0.47449645331417156</v>
      </c>
      <c r="R83" s="190">
        <f t="shared" si="12"/>
        <v>0</v>
      </c>
      <c r="S83" s="190">
        <f t="shared" si="12"/>
        <v>0</v>
      </c>
      <c r="T83" s="190">
        <f t="shared" si="12"/>
        <v>0</v>
      </c>
      <c r="U83" s="190">
        <f t="shared" si="12"/>
        <v>0</v>
      </c>
      <c r="V83" s="190">
        <f t="shared" si="12"/>
        <v>0</v>
      </c>
      <c r="W83" s="190">
        <f t="shared" si="12"/>
        <v>0</v>
      </c>
      <c r="X83" s="190">
        <f t="shared" si="12"/>
        <v>0</v>
      </c>
      <c r="Y83" s="190">
        <f t="shared" si="12"/>
        <v>0</v>
      </c>
    </row>
    <row r="84" spans="2:27" x14ac:dyDescent="0.25">
      <c r="D84" s="94"/>
      <c r="E84" s="94"/>
      <c r="F84" s="94"/>
      <c r="G84" s="94"/>
    </row>
    <row r="85" spans="2:27" x14ac:dyDescent="0.25">
      <c r="D85" s="94"/>
      <c r="E85" s="94" t="s">
        <v>241</v>
      </c>
      <c r="F85" s="94"/>
      <c r="G85" s="94" t="s">
        <v>165</v>
      </c>
      <c r="J85" s="190">
        <f>IF(J38 = 0, J63, J79)</f>
        <v>0.8363882494964815</v>
      </c>
      <c r="K85" s="190">
        <f t="shared" ref="K85:Y85" si="13">IF(K38 = 0, K63, K79)</f>
        <v>0.8363882494964815</v>
      </c>
      <c r="L85" s="190">
        <f t="shared" si="13"/>
        <v>0.80743405140923963</v>
      </c>
      <c r="M85" s="190">
        <f t="shared" si="13"/>
        <v>0.80743405140923963</v>
      </c>
      <c r="N85" s="190">
        <f t="shared" si="13"/>
        <v>0.80867842104205778</v>
      </c>
      <c r="O85" s="190">
        <f t="shared" si="13"/>
        <v>0.85692617799083215</v>
      </c>
      <c r="P85" s="190">
        <f t="shared" si="13"/>
        <v>0.85657387613684388</v>
      </c>
      <c r="Q85" s="190">
        <f t="shared" si="13"/>
        <v>0.96559107372002784</v>
      </c>
      <c r="R85" s="190">
        <f t="shared" si="13"/>
        <v>0</v>
      </c>
      <c r="S85" s="190">
        <f t="shared" si="13"/>
        <v>0</v>
      </c>
      <c r="T85" s="190">
        <f t="shared" si="13"/>
        <v>0</v>
      </c>
      <c r="U85" s="190">
        <f t="shared" si="13"/>
        <v>0</v>
      </c>
      <c r="V85" s="190">
        <f t="shared" si="13"/>
        <v>0</v>
      </c>
      <c r="W85" s="190">
        <f t="shared" si="13"/>
        <v>0</v>
      </c>
      <c r="X85" s="190">
        <f t="shared" si="13"/>
        <v>0</v>
      </c>
      <c r="Y85" s="190">
        <f t="shared" si="13"/>
        <v>0</v>
      </c>
    </row>
    <row r="87" spans="2:27" x14ac:dyDescent="0.2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25">
      <c r="E89" s="94" t="s">
        <v>427</v>
      </c>
      <c r="G89" s="94" t="s">
        <v>281</v>
      </c>
      <c r="J89" s="106">
        <f t="shared" ref="J89:Y89" si="14">IF(AND(J62 = 0, J63 = 0), 1, J63 / J62)</f>
        <v>1.9475029959298438</v>
      </c>
      <c r="K89" s="106">
        <f t="shared" si="14"/>
        <v>0</v>
      </c>
      <c r="L89" s="106">
        <f t="shared" si="14"/>
        <v>1.8509944215400072</v>
      </c>
      <c r="M89" s="106">
        <f t="shared" si="14"/>
        <v>0</v>
      </c>
      <c r="N89" s="106">
        <f t="shared" si="14"/>
        <v>1.5155867839453285</v>
      </c>
      <c r="O89" s="106">
        <f t="shared" si="14"/>
        <v>1.2843068028221891</v>
      </c>
      <c r="P89" s="106">
        <f t="shared" si="14"/>
        <v>1.2100067341575078</v>
      </c>
      <c r="Q89" s="106">
        <f t="shared" si="14"/>
        <v>2.0349805925328903</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25">
      <c r="D90" s="75"/>
      <c r="J90" s="167"/>
      <c r="K90" s="167"/>
      <c r="L90" s="167"/>
      <c r="M90" s="167"/>
      <c r="N90" s="167"/>
      <c r="O90" s="167"/>
      <c r="P90" s="167"/>
      <c r="Q90" s="167"/>
      <c r="R90" s="167"/>
      <c r="S90" s="167"/>
      <c r="T90" s="167"/>
      <c r="U90" s="167"/>
      <c r="V90" s="167"/>
      <c r="W90" s="167"/>
      <c r="X90" s="167"/>
      <c r="Y90" s="167"/>
    </row>
    <row r="91" spans="2:27" x14ac:dyDescent="0.25">
      <c r="E91" s="94" t="s">
        <v>808</v>
      </c>
      <c r="G91" s="94" t="s">
        <v>281</v>
      </c>
      <c r="I91" t="s">
        <v>152</v>
      </c>
      <c r="J91" s="106">
        <f>IF(AND(J83 = 0, J85 = 0), 1, J85 / J83)</f>
        <v>1.9374026925139718</v>
      </c>
      <c r="K91" s="106">
        <f t="shared" ref="K91:Y91" si="15">IF(AND(K83 = 0, K85 = 0), 1, K85 / K83)</f>
        <v>1.9374026925139718</v>
      </c>
      <c r="L91" s="106">
        <f t="shared" si="15"/>
        <v>1.8455316610240311</v>
      </c>
      <c r="M91" s="106">
        <f t="shared" si="15"/>
        <v>1.8455316610240311</v>
      </c>
      <c r="N91" s="106">
        <f>IF(AND(N83 = 0, N85 = 0), 1, N85 / N83)</f>
        <v>1.5155867839453283</v>
      </c>
      <c r="O91" s="106">
        <f t="shared" si="15"/>
        <v>1.2843068028221891</v>
      </c>
      <c r="P91" s="106">
        <f t="shared" si="15"/>
        <v>1.2100067341575076</v>
      </c>
      <c r="Q91" s="106">
        <f t="shared" si="15"/>
        <v>2.0349805925328903</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812</v>
      </c>
    </row>
    <row r="92" spans="2:27" x14ac:dyDescent="0.25">
      <c r="D92" s="75"/>
      <c r="J92" s="167"/>
      <c r="K92" s="167"/>
      <c r="L92" s="167"/>
      <c r="M92" s="167"/>
      <c r="N92" s="167"/>
      <c r="O92" s="167"/>
      <c r="P92" s="167"/>
      <c r="Q92" s="167"/>
      <c r="R92" s="167"/>
      <c r="S92" s="167"/>
      <c r="T92" s="167"/>
      <c r="U92" s="167"/>
      <c r="V92" s="167"/>
      <c r="W92" s="167"/>
      <c r="X92" s="167"/>
      <c r="Y92" s="167"/>
    </row>
    <row r="93" spans="2:27" x14ac:dyDescent="0.25">
      <c r="E93" s="94" t="s">
        <v>428</v>
      </c>
      <c r="G93" s="94" t="s">
        <v>281</v>
      </c>
      <c r="I93" t="s">
        <v>152</v>
      </c>
      <c r="J93" s="106">
        <f>IF(OR(J54 = 0, J85 = 0), 1, J91 / J54)</f>
        <v>1.4529270640862055</v>
      </c>
      <c r="K93" s="106">
        <f t="shared" ref="K93:Y93" si="16">IF(OR(K54 = 0, K85 = 0), 1, K91 / K54)</f>
        <v>1.4529270640862055</v>
      </c>
      <c r="L93" s="106">
        <f t="shared" si="16"/>
        <v>1.6576295723517247</v>
      </c>
      <c r="M93" s="106">
        <f t="shared" si="16"/>
        <v>1.6576295723517247</v>
      </c>
      <c r="N93" s="106">
        <f>IF(OR(N54 = 0, N85 = 0), 1, N91 / N54)</f>
        <v>1.3397179321070543</v>
      </c>
      <c r="O93" s="106">
        <f t="shared" si="16"/>
        <v>1.1746156349012595</v>
      </c>
      <c r="P93" s="106">
        <f t="shared" si="16"/>
        <v>1.1161069992140737</v>
      </c>
      <c r="Q93" s="106">
        <f t="shared" si="16"/>
        <v>1.2175980023306696</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429</v>
      </c>
    </row>
    <row r="94" spans="2:27" x14ac:dyDescent="0.25">
      <c r="F94" s="94"/>
      <c r="G94" s="94"/>
    </row>
    <row r="95" spans="2:27" x14ac:dyDescent="0.25">
      <c r="B95" s="85" t="s">
        <v>430</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25">
      <c r="C97" s="86" t="s">
        <v>432</v>
      </c>
      <c r="I97" t="s">
        <v>152</v>
      </c>
      <c r="AA97" t="s">
        <v>431</v>
      </c>
    </row>
    <row r="98" spans="3:27" x14ac:dyDescent="0.25">
      <c r="C98" s="86" t="s">
        <v>433</v>
      </c>
    </row>
    <row r="100" spans="3:27" x14ac:dyDescent="0.2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25">
      <c r="E102" s="75" t="s">
        <v>434</v>
      </c>
      <c r="G102" s="94"/>
    </row>
    <row r="103" spans="3:27" x14ac:dyDescent="0.25">
      <c r="F103" s="116" t="s">
        <v>292</v>
      </c>
      <c r="G103" s="98" t="s">
        <v>165</v>
      </c>
      <c r="H103" s="154">
        <f>'Inputs by network level'!K40</f>
        <v>0.89121824261828475</v>
      </c>
    </row>
    <row r="104" spans="3:27" x14ac:dyDescent="0.25">
      <c r="F104" s="118" t="s">
        <v>293</v>
      </c>
      <c r="G104" s="94" t="s">
        <v>165</v>
      </c>
      <c r="H104" s="155">
        <f>'Inputs by network level'!K41</f>
        <v>7.7534930355770582E-2</v>
      </c>
    </row>
    <row r="105" spans="3:27" x14ac:dyDescent="0.25">
      <c r="F105" s="120" t="s">
        <v>255</v>
      </c>
      <c r="G105" s="101" t="s">
        <v>165</v>
      </c>
      <c r="H105" s="186">
        <f>'Inputs by network level'!K42</f>
        <v>3.1246827025944713E-2</v>
      </c>
    </row>
    <row r="106" spans="3:27" x14ac:dyDescent="0.25">
      <c r="F106" s="116" t="s">
        <v>294</v>
      </c>
      <c r="G106" s="98" t="s">
        <v>165</v>
      </c>
      <c r="H106" s="154">
        <f>'Inputs by network level'!K43</f>
        <v>0.84565753928450427</v>
      </c>
    </row>
    <row r="107" spans="3:27" x14ac:dyDescent="0.25">
      <c r="F107" s="118" t="s">
        <v>303</v>
      </c>
      <c r="G107" s="94" t="s">
        <v>165</v>
      </c>
      <c r="H107" s="220">
        <f>SUM(H103:H104) - H106</f>
        <v>0.12309563368955101</v>
      </c>
    </row>
    <row r="108" spans="3:27" x14ac:dyDescent="0.25">
      <c r="F108" s="120" t="s">
        <v>255</v>
      </c>
      <c r="G108" s="101" t="s">
        <v>165</v>
      </c>
      <c r="H108" s="221">
        <f>H105</f>
        <v>3.1246827025944713E-2</v>
      </c>
    </row>
    <row r="109" spans="3:27" x14ac:dyDescent="0.25">
      <c r="F109" s="86"/>
      <c r="G109" s="94"/>
    </row>
    <row r="110" spans="3:27" x14ac:dyDescent="0.25">
      <c r="E110" s="75" t="s">
        <v>435</v>
      </c>
      <c r="G110" s="94"/>
    </row>
    <row r="111" spans="3:27" x14ac:dyDescent="0.25">
      <c r="F111" s="116" t="s">
        <v>420</v>
      </c>
      <c r="G111" s="98" t="s">
        <v>165</v>
      </c>
      <c r="H111" s="154">
        <f>'Inputs by network level'!L40</f>
        <v>0.65795984167655719</v>
      </c>
    </row>
    <row r="112" spans="3:27" x14ac:dyDescent="0.25">
      <c r="F112" s="118" t="s">
        <v>421</v>
      </c>
      <c r="G112" s="94" t="s">
        <v>165</v>
      </c>
      <c r="H112" s="155">
        <f>'Inputs by network level'!L41</f>
        <v>0.25975400357689299</v>
      </c>
    </row>
    <row r="113" spans="5:8" x14ac:dyDescent="0.25">
      <c r="F113" s="120" t="s">
        <v>255</v>
      </c>
      <c r="G113" s="101" t="s">
        <v>165</v>
      </c>
      <c r="H113" s="186">
        <f>'Inputs by network level'!L42</f>
        <v>8.2286154746549753E-2</v>
      </c>
    </row>
    <row r="114" spans="5:8" x14ac:dyDescent="0.25">
      <c r="F114" s="116" t="s">
        <v>294</v>
      </c>
      <c r="G114" s="98" t="s">
        <v>165</v>
      </c>
      <c r="H114" s="154">
        <f>'Inputs by network level'!L43</f>
        <v>0.65562536987234388</v>
      </c>
    </row>
    <row r="115" spans="5:8" x14ac:dyDescent="0.25">
      <c r="F115" s="118" t="s">
        <v>303</v>
      </c>
      <c r="G115" s="94" t="s">
        <v>165</v>
      </c>
      <c r="H115" s="220">
        <f>SUM(H111:H112) - H114</f>
        <v>0.26208847538110625</v>
      </c>
    </row>
    <row r="116" spans="5:8" x14ac:dyDescent="0.25">
      <c r="F116" s="120" t="s">
        <v>255</v>
      </c>
      <c r="G116" s="101" t="s">
        <v>165</v>
      </c>
      <c r="H116" s="221">
        <f>H113</f>
        <v>8.2286154746549753E-2</v>
      </c>
    </row>
    <row r="117" spans="5:8" x14ac:dyDescent="0.25">
      <c r="F117" s="86"/>
      <c r="G117" s="94"/>
    </row>
    <row r="118" spans="5:8" x14ac:dyDescent="0.25">
      <c r="E118" s="75" t="s">
        <v>436</v>
      </c>
      <c r="G118" s="94"/>
    </row>
    <row r="119" spans="5:8" x14ac:dyDescent="0.25">
      <c r="F119" s="116" t="s">
        <v>420</v>
      </c>
      <c r="G119" s="98" t="s">
        <v>165</v>
      </c>
      <c r="H119" s="154">
        <f>'Inputs by network level'!M40</f>
        <v>0.65795984167655719</v>
      </c>
    </row>
    <row r="120" spans="5:8" x14ac:dyDescent="0.25">
      <c r="F120" s="118" t="s">
        <v>421</v>
      </c>
      <c r="G120" s="94" t="s">
        <v>165</v>
      </c>
      <c r="H120" s="155">
        <f>'Inputs by network level'!M41</f>
        <v>0.25975400357689299</v>
      </c>
    </row>
    <row r="121" spans="5:8" x14ac:dyDescent="0.25">
      <c r="F121" s="120" t="s">
        <v>255</v>
      </c>
      <c r="G121" s="101" t="s">
        <v>165</v>
      </c>
      <c r="H121" s="186">
        <f>'Inputs by network level'!M42</f>
        <v>8.2286154746549753E-2</v>
      </c>
    </row>
    <row r="122" spans="5:8" x14ac:dyDescent="0.25">
      <c r="F122" s="116" t="s">
        <v>294</v>
      </c>
      <c r="G122" s="98" t="s">
        <v>165</v>
      </c>
      <c r="H122" s="154">
        <f>'Inputs by network level'!M43</f>
        <v>0.65562536987234388</v>
      </c>
    </row>
    <row r="123" spans="5:8" x14ac:dyDescent="0.25">
      <c r="F123" s="118" t="s">
        <v>303</v>
      </c>
      <c r="G123" s="94" t="s">
        <v>165</v>
      </c>
      <c r="H123" s="220">
        <f>SUM(H119:H120) - H122</f>
        <v>0.26208847538110625</v>
      </c>
    </row>
    <row r="124" spans="5:8" x14ac:dyDescent="0.25">
      <c r="F124" s="120" t="s">
        <v>255</v>
      </c>
      <c r="G124" s="101" t="s">
        <v>165</v>
      </c>
      <c r="H124" s="221">
        <f>H121</f>
        <v>8.2286154746549753E-2</v>
      </c>
    </row>
    <row r="125" spans="5:8" x14ac:dyDescent="0.25">
      <c r="F125" s="86"/>
      <c r="G125" s="94"/>
    </row>
    <row r="126" spans="5:8" x14ac:dyDescent="0.25">
      <c r="E126" s="75" t="s">
        <v>437</v>
      </c>
      <c r="G126" s="94"/>
    </row>
    <row r="127" spans="5:8" x14ac:dyDescent="0.25">
      <c r="F127" s="116" t="s">
        <v>420</v>
      </c>
      <c r="G127" s="98" t="s">
        <v>165</v>
      </c>
      <c r="H127" s="154">
        <f>'Inputs by network level'!N40</f>
        <v>0.61002286090315028</v>
      </c>
    </row>
    <row r="128" spans="5:8" x14ac:dyDescent="0.25">
      <c r="F128" s="118" t="s">
        <v>421</v>
      </c>
      <c r="G128" s="94" t="s">
        <v>165</v>
      </c>
      <c r="H128" s="155">
        <f>'Inputs by network level'!N41</f>
        <v>0.31213543363540425</v>
      </c>
    </row>
    <row r="129" spans="5:8" x14ac:dyDescent="0.25">
      <c r="F129" s="120" t="s">
        <v>255</v>
      </c>
      <c r="G129" s="101" t="s">
        <v>165</v>
      </c>
      <c r="H129" s="186">
        <f>'Inputs by network level'!N42</f>
        <v>7.7841705461445518E-2</v>
      </c>
    </row>
    <row r="130" spans="5:8" x14ac:dyDescent="0.25">
      <c r="F130" s="116" t="s">
        <v>294</v>
      </c>
      <c r="G130" s="98" t="s">
        <v>165</v>
      </c>
      <c r="H130" s="154">
        <f>'Inputs by network level'!N43</f>
        <v>0.5798279501794078</v>
      </c>
    </row>
    <row r="131" spans="5:8" x14ac:dyDescent="0.25">
      <c r="F131" s="118" t="s">
        <v>303</v>
      </c>
      <c r="G131" s="94" t="s">
        <v>165</v>
      </c>
      <c r="H131" s="220">
        <f>SUM(H127:H128) - H130</f>
        <v>0.34233034435914667</v>
      </c>
    </row>
    <row r="132" spans="5:8" x14ac:dyDescent="0.25">
      <c r="F132" s="120" t="s">
        <v>255</v>
      </c>
      <c r="G132" s="101" t="s">
        <v>165</v>
      </c>
      <c r="H132" s="221">
        <f>H129</f>
        <v>7.7841705461445518E-2</v>
      </c>
    </row>
    <row r="133" spans="5:8" x14ac:dyDescent="0.25">
      <c r="F133" s="86"/>
      <c r="G133" s="94"/>
    </row>
    <row r="134" spans="5:8" x14ac:dyDescent="0.25">
      <c r="E134" s="75" t="s">
        <v>438</v>
      </c>
      <c r="G134" s="94"/>
    </row>
    <row r="135" spans="5:8" x14ac:dyDescent="0.25">
      <c r="F135" s="116" t="s">
        <v>420</v>
      </c>
      <c r="G135" s="98" t="s">
        <v>165</v>
      </c>
      <c r="H135" s="154">
        <f>'Inputs by network level'!O40</f>
        <v>0.61002286090315028</v>
      </c>
    </row>
    <row r="136" spans="5:8" x14ac:dyDescent="0.25">
      <c r="F136" s="118" t="s">
        <v>421</v>
      </c>
      <c r="G136" s="94" t="s">
        <v>165</v>
      </c>
      <c r="H136" s="155">
        <f>'Inputs by network level'!O41</f>
        <v>0.31213543363540425</v>
      </c>
    </row>
    <row r="137" spans="5:8" x14ac:dyDescent="0.25">
      <c r="F137" s="120" t="s">
        <v>255</v>
      </c>
      <c r="G137" s="101" t="s">
        <v>165</v>
      </c>
      <c r="H137" s="186">
        <f>'Inputs by network level'!O42</f>
        <v>7.7841705461445518E-2</v>
      </c>
    </row>
    <row r="138" spans="5:8" x14ac:dyDescent="0.25">
      <c r="F138" s="116" t="s">
        <v>294</v>
      </c>
      <c r="G138" s="98" t="s">
        <v>165</v>
      </c>
      <c r="H138" s="154">
        <f>'Inputs by network level'!O43</f>
        <v>0.5798279501794078</v>
      </c>
    </row>
    <row r="139" spans="5:8" x14ac:dyDescent="0.25">
      <c r="F139" s="118" t="s">
        <v>303</v>
      </c>
      <c r="G139" s="94" t="s">
        <v>165</v>
      </c>
      <c r="H139" s="220">
        <f>SUM(H135:H136) - H138</f>
        <v>0.34233034435914667</v>
      </c>
    </row>
    <row r="140" spans="5:8" x14ac:dyDescent="0.25">
      <c r="F140" s="120" t="s">
        <v>255</v>
      </c>
      <c r="G140" s="101" t="s">
        <v>165</v>
      </c>
      <c r="H140" s="221">
        <f>H137</f>
        <v>7.7841705461445518E-2</v>
      </c>
    </row>
    <row r="141" spans="5:8" x14ac:dyDescent="0.25">
      <c r="F141" s="86"/>
      <c r="G141" s="94"/>
    </row>
    <row r="142" spans="5:8" x14ac:dyDescent="0.25">
      <c r="E142" s="75" t="s">
        <v>439</v>
      </c>
      <c r="G142" s="94"/>
    </row>
    <row r="143" spans="5:8" x14ac:dyDescent="0.25">
      <c r="F143" s="116" t="s">
        <v>420</v>
      </c>
      <c r="G143" s="98" t="s">
        <v>165</v>
      </c>
      <c r="H143" s="154">
        <f>'Inputs by network level'!P40</f>
        <v>0</v>
      </c>
    </row>
    <row r="144" spans="5:8" x14ac:dyDescent="0.25">
      <c r="F144" s="118" t="s">
        <v>421</v>
      </c>
      <c r="G144" s="94" t="s">
        <v>165</v>
      </c>
      <c r="H144" s="155">
        <f>'Inputs by network level'!P41</f>
        <v>0</v>
      </c>
    </row>
    <row r="145" spans="5:8" x14ac:dyDescent="0.25">
      <c r="F145" s="120" t="s">
        <v>255</v>
      </c>
      <c r="G145" s="101" t="s">
        <v>165</v>
      </c>
      <c r="H145" s="186">
        <f>'Inputs by network level'!P42</f>
        <v>0</v>
      </c>
    </row>
    <row r="146" spans="5:8" x14ac:dyDescent="0.25">
      <c r="F146" s="116" t="s">
        <v>294</v>
      </c>
      <c r="G146" s="98" t="s">
        <v>165</v>
      </c>
      <c r="H146" s="154">
        <f>'Inputs by network level'!P43</f>
        <v>0</v>
      </c>
    </row>
    <row r="147" spans="5:8" x14ac:dyDescent="0.25">
      <c r="F147" s="118" t="s">
        <v>303</v>
      </c>
      <c r="G147" s="94" t="s">
        <v>165</v>
      </c>
      <c r="H147" s="220">
        <f>SUM(H143:H144) - H146</f>
        <v>0</v>
      </c>
    </row>
    <row r="148" spans="5:8" x14ac:dyDescent="0.25">
      <c r="F148" s="120" t="s">
        <v>255</v>
      </c>
      <c r="G148" s="101" t="s">
        <v>165</v>
      </c>
      <c r="H148" s="221">
        <f>H145</f>
        <v>0</v>
      </c>
    </row>
    <row r="149" spans="5:8" x14ac:dyDescent="0.25">
      <c r="F149" s="86"/>
      <c r="G149" s="94"/>
    </row>
    <row r="150" spans="5:8" x14ac:dyDescent="0.25">
      <c r="E150" s="75" t="s">
        <v>440</v>
      </c>
      <c r="G150" s="94"/>
    </row>
    <row r="151" spans="5:8" x14ac:dyDescent="0.25">
      <c r="F151" s="116" t="s">
        <v>420</v>
      </c>
      <c r="G151" s="98" t="s">
        <v>165</v>
      </c>
      <c r="H151" s="154">
        <f>'Inputs by network level'!Q40</f>
        <v>0.61002286090315028</v>
      </c>
    </row>
    <row r="152" spans="5:8" x14ac:dyDescent="0.25">
      <c r="F152" s="118" t="s">
        <v>421</v>
      </c>
      <c r="G152" s="94" t="s">
        <v>165</v>
      </c>
      <c r="H152" s="155">
        <f>'Inputs by network level'!Q41</f>
        <v>0.31213543363540425</v>
      </c>
    </row>
    <row r="153" spans="5:8" x14ac:dyDescent="0.25">
      <c r="F153" s="120" t="s">
        <v>255</v>
      </c>
      <c r="G153" s="101" t="s">
        <v>165</v>
      </c>
      <c r="H153" s="186">
        <f>'Inputs by network level'!Q42</f>
        <v>7.7841705461445518E-2</v>
      </c>
    </row>
    <row r="154" spans="5:8" x14ac:dyDescent="0.25">
      <c r="F154" s="116" t="s">
        <v>294</v>
      </c>
      <c r="G154" s="98" t="s">
        <v>165</v>
      </c>
      <c r="H154" s="154">
        <f>'Inputs by network level'!Q43</f>
        <v>0.5798279501794078</v>
      </c>
    </row>
    <row r="155" spans="5:8" x14ac:dyDescent="0.25">
      <c r="F155" s="118" t="s">
        <v>303</v>
      </c>
      <c r="G155" s="94" t="s">
        <v>165</v>
      </c>
      <c r="H155" s="220">
        <f>SUM(H151:H152) - H154</f>
        <v>0.34233034435914667</v>
      </c>
    </row>
    <row r="156" spans="5:8" x14ac:dyDescent="0.25">
      <c r="F156" s="120" t="s">
        <v>255</v>
      </c>
      <c r="G156" s="101" t="s">
        <v>165</v>
      </c>
      <c r="H156" s="221">
        <f>H153</f>
        <v>7.7841705461445518E-2</v>
      </c>
    </row>
    <row r="157" spans="5:8" x14ac:dyDescent="0.25">
      <c r="F157" s="86"/>
      <c r="G157" s="94"/>
    </row>
    <row r="158" spans="5:8" x14ac:dyDescent="0.25">
      <c r="E158" s="75" t="s">
        <v>441</v>
      </c>
      <c r="G158" s="94"/>
    </row>
    <row r="159" spans="5:8" x14ac:dyDescent="0.25">
      <c r="F159" s="116" t="s">
        <v>420</v>
      </c>
      <c r="G159" s="98" t="s">
        <v>165</v>
      </c>
      <c r="H159" s="154">
        <f>'Inputs by network level'!R40</f>
        <v>0.61002286090315028</v>
      </c>
    </row>
    <row r="160" spans="5:8" x14ac:dyDescent="0.25">
      <c r="F160" s="118" t="s">
        <v>421</v>
      </c>
      <c r="G160" s="94" t="s">
        <v>165</v>
      </c>
      <c r="H160" s="155">
        <f>'Inputs by network level'!R41</f>
        <v>0.31213543363540425</v>
      </c>
    </row>
    <row r="161" spans="3:27" x14ac:dyDescent="0.25">
      <c r="F161" s="120" t="s">
        <v>255</v>
      </c>
      <c r="G161" s="101" t="s">
        <v>165</v>
      </c>
      <c r="H161" s="186">
        <f>'Inputs by network level'!R42</f>
        <v>7.7841705461445518E-2</v>
      </c>
    </row>
    <row r="162" spans="3:27" x14ac:dyDescent="0.25">
      <c r="F162" s="116" t="s">
        <v>294</v>
      </c>
      <c r="G162" s="98" t="s">
        <v>165</v>
      </c>
      <c r="H162" s="154">
        <f>'Inputs by network level'!R43</f>
        <v>0.5798279501794078</v>
      </c>
    </row>
    <row r="163" spans="3:27" x14ac:dyDescent="0.25">
      <c r="F163" s="118" t="s">
        <v>303</v>
      </c>
      <c r="G163" s="94" t="s">
        <v>165</v>
      </c>
      <c r="H163" s="220">
        <f>SUM(H159:H160) - H162</f>
        <v>0.34233034435914667</v>
      </c>
    </row>
    <row r="164" spans="3:27" x14ac:dyDescent="0.25">
      <c r="F164" s="120" t="s">
        <v>255</v>
      </c>
      <c r="G164" s="101" t="s">
        <v>165</v>
      </c>
      <c r="H164" s="221">
        <f>H161</f>
        <v>7.7841705461445518E-2</v>
      </c>
    </row>
    <row r="165" spans="3:27" x14ac:dyDescent="0.25">
      <c r="F165" s="86"/>
      <c r="G165" s="94"/>
    </row>
    <row r="166" spans="3:27" x14ac:dyDescent="0.25">
      <c r="E166" s="75" t="s">
        <v>442</v>
      </c>
      <c r="G166" s="94"/>
    </row>
    <row r="167" spans="3:27" x14ac:dyDescent="0.25">
      <c r="F167" s="116" t="s">
        <v>420</v>
      </c>
      <c r="G167" s="98" t="s">
        <v>165</v>
      </c>
      <c r="H167" s="154">
        <f>'Inputs by network level'!S40</f>
        <v>0.61002286090315028</v>
      </c>
    </row>
    <row r="168" spans="3:27" x14ac:dyDescent="0.25">
      <c r="F168" s="118" t="s">
        <v>421</v>
      </c>
      <c r="G168" s="94" t="s">
        <v>165</v>
      </c>
      <c r="H168" s="155">
        <f>'Inputs by network level'!S41</f>
        <v>0.31213543363540425</v>
      </c>
    </row>
    <row r="169" spans="3:27" x14ac:dyDescent="0.25">
      <c r="F169" s="120" t="s">
        <v>255</v>
      </c>
      <c r="G169" s="101" t="s">
        <v>165</v>
      </c>
      <c r="H169" s="186">
        <f>'Inputs by network level'!S42</f>
        <v>7.7841705461445518E-2</v>
      </c>
    </row>
    <row r="170" spans="3:27" x14ac:dyDescent="0.25">
      <c r="F170" s="116" t="s">
        <v>294</v>
      </c>
      <c r="G170" s="98" t="s">
        <v>165</v>
      </c>
      <c r="H170" s="154">
        <f>'Inputs by network level'!S43</f>
        <v>0.5798279501794078</v>
      </c>
    </row>
    <row r="171" spans="3:27" x14ac:dyDescent="0.25">
      <c r="F171" s="118" t="s">
        <v>303</v>
      </c>
      <c r="G171" s="94" t="s">
        <v>165</v>
      </c>
      <c r="H171" s="220">
        <f>SUM(H167:H168) - H170</f>
        <v>0.34233034435914667</v>
      </c>
    </row>
    <row r="172" spans="3:27" x14ac:dyDescent="0.25">
      <c r="F172" s="120" t="s">
        <v>255</v>
      </c>
      <c r="G172" s="101" t="s">
        <v>165</v>
      </c>
      <c r="H172" s="221">
        <f>H169</f>
        <v>7.7841705461445518E-2</v>
      </c>
    </row>
    <row r="173" spans="3:27" x14ac:dyDescent="0.25">
      <c r="E173" s="86"/>
      <c r="F173" s="94"/>
      <c r="G173" s="94"/>
    </row>
    <row r="174" spans="3:27" x14ac:dyDescent="0.2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25">
      <c r="E176" s="75" t="s">
        <v>434</v>
      </c>
      <c r="G176" s="94"/>
    </row>
    <row r="177" spans="5:25" x14ac:dyDescent="0.25">
      <c r="E177" s="86"/>
      <c r="F177" s="116" t="s">
        <v>420</v>
      </c>
      <c r="G177" s="98" t="s">
        <v>165</v>
      </c>
      <c r="H177" s="154"/>
      <c r="I177" s="95"/>
      <c r="J177" s="198">
        <f t="shared" ref="J177:K177" si="17">IF(J$20, $H106, $H103)</f>
        <v>0.89121824261828475</v>
      </c>
      <c r="K177" s="198">
        <f t="shared" si="17"/>
        <v>0.89121824261828475</v>
      </c>
      <c r="L177" s="198">
        <f t="shared" ref="L177:M177" si="18">IF(L$20, $H106, $H103)</f>
        <v>0.89121824261828475</v>
      </c>
      <c r="M177" s="198">
        <f t="shared" si="18"/>
        <v>0.89121824261828475</v>
      </c>
      <c r="N177" s="198">
        <f t="shared" ref="N177:P177" si="19">IF(N$20, $H106, $H103)</f>
        <v>0.89121824261828475</v>
      </c>
      <c r="O177" s="198">
        <f t="shared" si="19"/>
        <v>0.89121824261828475</v>
      </c>
      <c r="P177" s="198">
        <f t="shared" si="19"/>
        <v>0.89121824261828475</v>
      </c>
      <c r="Q177" s="198">
        <f t="shared" ref="Q177:S177" si="20">IF(Q$20, $H106, $H103)</f>
        <v>0.84565753928450427</v>
      </c>
      <c r="R177" s="198">
        <f t="shared" si="20"/>
        <v>0.89121824261828475</v>
      </c>
      <c r="S177" s="198">
        <f t="shared" si="20"/>
        <v>0.89121824261828475</v>
      </c>
      <c r="T177" s="198">
        <f t="shared" ref="T177:U177" si="21">IF(T$20, $H106, $H103)</f>
        <v>0.89121824261828475</v>
      </c>
      <c r="U177" s="198">
        <f t="shared" si="21"/>
        <v>0.89121824261828475</v>
      </c>
      <c r="V177" s="198">
        <f t="shared" ref="V177:W177" si="22">IF(V$20, $H106, $H103)</f>
        <v>0.89121824261828475</v>
      </c>
      <c r="W177" s="198">
        <f t="shared" si="22"/>
        <v>0.89121824261828475</v>
      </c>
      <c r="X177" s="198">
        <f t="shared" ref="X177:Y177" si="23">IF(X$20, $H106, $H103)</f>
        <v>0.89121824261828475</v>
      </c>
      <c r="Y177" s="198">
        <f t="shared" si="23"/>
        <v>0.89121824261828475</v>
      </c>
    </row>
    <row r="178" spans="5:25" x14ac:dyDescent="0.25">
      <c r="E178" s="86"/>
      <c r="F178" s="118" t="s">
        <v>421</v>
      </c>
      <c r="G178" s="94" t="s">
        <v>165</v>
      </c>
      <c r="H178" s="155"/>
      <c r="J178" s="190">
        <f t="shared" ref="J178:K178" si="24">IF(J$20, $H107, $H104)</f>
        <v>7.7534930355770582E-2</v>
      </c>
      <c r="K178" s="190">
        <f t="shared" si="24"/>
        <v>7.7534930355770582E-2</v>
      </c>
      <c r="L178" s="190">
        <f t="shared" ref="L178:M178" si="25">IF(L$20, $H107, $H104)</f>
        <v>7.7534930355770582E-2</v>
      </c>
      <c r="M178" s="190">
        <f t="shared" si="25"/>
        <v>7.7534930355770582E-2</v>
      </c>
      <c r="N178" s="190">
        <f t="shared" ref="N178:P178" si="26">IF(N$20, $H107, $H104)</f>
        <v>7.7534930355770582E-2</v>
      </c>
      <c r="O178" s="190">
        <f t="shared" si="26"/>
        <v>7.7534930355770582E-2</v>
      </c>
      <c r="P178" s="190">
        <f t="shared" si="26"/>
        <v>7.7534930355770582E-2</v>
      </c>
      <c r="Q178" s="190">
        <f t="shared" ref="Q178:S178" si="27">IF(Q$20, $H107, $H104)</f>
        <v>0.12309563368955101</v>
      </c>
      <c r="R178" s="190">
        <f t="shared" si="27"/>
        <v>7.7534930355770582E-2</v>
      </c>
      <c r="S178" s="190">
        <f t="shared" si="27"/>
        <v>7.7534930355770582E-2</v>
      </c>
      <c r="T178" s="190">
        <f t="shared" ref="T178:U178" si="28">IF(T$20, $H107, $H104)</f>
        <v>7.7534930355770582E-2</v>
      </c>
      <c r="U178" s="190">
        <f t="shared" si="28"/>
        <v>7.7534930355770582E-2</v>
      </c>
      <c r="V178" s="190">
        <f t="shared" ref="V178:W178" si="29">IF(V$20, $H107, $H104)</f>
        <v>7.7534930355770582E-2</v>
      </c>
      <c r="W178" s="190">
        <f t="shared" si="29"/>
        <v>7.7534930355770582E-2</v>
      </c>
      <c r="X178" s="190">
        <f t="shared" ref="X178:Y178" si="30">IF(X$20, $H107, $H104)</f>
        <v>7.7534930355770582E-2</v>
      </c>
      <c r="Y178" s="190">
        <f t="shared" si="30"/>
        <v>7.7534930355770582E-2</v>
      </c>
    </row>
    <row r="179" spans="5:25" x14ac:dyDescent="0.25">
      <c r="E179" s="86"/>
      <c r="F179" s="120" t="s">
        <v>255</v>
      </c>
      <c r="G179" s="101" t="s">
        <v>165</v>
      </c>
      <c r="H179" s="186"/>
      <c r="I179" s="96"/>
      <c r="J179" s="199">
        <f t="shared" ref="J179:K179" si="31">IF(J$20, $H108, $H105)</f>
        <v>3.1246827025944713E-2</v>
      </c>
      <c r="K179" s="199">
        <f t="shared" si="31"/>
        <v>3.1246827025944713E-2</v>
      </c>
      <c r="L179" s="199">
        <f t="shared" ref="L179:M179" si="32">IF(L$20, $H108, $H105)</f>
        <v>3.1246827025944713E-2</v>
      </c>
      <c r="M179" s="199">
        <f t="shared" si="32"/>
        <v>3.1246827025944713E-2</v>
      </c>
      <c r="N179" s="199">
        <f t="shared" ref="N179:P179" si="33">IF(N$20, $H108, $H105)</f>
        <v>3.1246827025944713E-2</v>
      </c>
      <c r="O179" s="199">
        <f t="shared" si="33"/>
        <v>3.1246827025944713E-2</v>
      </c>
      <c r="P179" s="199">
        <f t="shared" si="33"/>
        <v>3.1246827025944713E-2</v>
      </c>
      <c r="Q179" s="199">
        <f t="shared" ref="Q179:S179" si="34">IF(Q$20, $H108, $H105)</f>
        <v>3.1246827025944713E-2</v>
      </c>
      <c r="R179" s="199">
        <f t="shared" si="34"/>
        <v>3.1246827025944713E-2</v>
      </c>
      <c r="S179" s="199">
        <f t="shared" si="34"/>
        <v>3.1246827025944713E-2</v>
      </c>
      <c r="T179" s="199">
        <f t="shared" ref="T179:U179" si="35">IF(T$20, $H108, $H105)</f>
        <v>3.1246827025944713E-2</v>
      </c>
      <c r="U179" s="199">
        <f t="shared" si="35"/>
        <v>3.1246827025944713E-2</v>
      </c>
      <c r="V179" s="199">
        <f t="shared" ref="V179:W179" si="36">IF(V$20, $H108, $H105)</f>
        <v>3.1246827025944713E-2</v>
      </c>
      <c r="W179" s="199">
        <f t="shared" si="36"/>
        <v>3.1246827025944713E-2</v>
      </c>
      <c r="X179" s="199">
        <f t="shared" ref="X179:Y179" si="37">IF(X$20, $H108, $H105)</f>
        <v>3.1246827025944713E-2</v>
      </c>
      <c r="Y179" s="199">
        <f t="shared" si="37"/>
        <v>3.1246827025944713E-2</v>
      </c>
    </row>
    <row r="180" spans="5:25" x14ac:dyDescent="0.25">
      <c r="E180" s="86"/>
      <c r="F180" s="118"/>
      <c r="G180" s="94"/>
      <c r="H180" s="155"/>
      <c r="J180" s="190"/>
      <c r="K180" s="190"/>
      <c r="L180" s="190"/>
      <c r="M180" s="190"/>
      <c r="N180" s="190"/>
      <c r="O180" s="190"/>
      <c r="P180" s="190"/>
      <c r="Q180" s="190"/>
      <c r="R180" s="190"/>
      <c r="S180" s="190"/>
      <c r="T180" s="190"/>
      <c r="U180" s="190"/>
      <c r="V180" s="190"/>
      <c r="W180" s="190"/>
      <c r="X180" s="190"/>
      <c r="Y180" s="190"/>
    </row>
    <row r="181" spans="5:25" x14ac:dyDescent="0.25">
      <c r="E181" s="75" t="s">
        <v>435</v>
      </c>
      <c r="G181" s="94"/>
    </row>
    <row r="182" spans="5:25" x14ac:dyDescent="0.25">
      <c r="E182" s="86"/>
      <c r="F182" s="116" t="s">
        <v>420</v>
      </c>
      <c r="G182" s="98" t="s">
        <v>165</v>
      </c>
      <c r="H182" s="154"/>
      <c r="I182" s="95"/>
      <c r="J182" s="198">
        <f t="shared" ref="J182:K182" si="38">IF(J$20, $H114, $H111)</f>
        <v>0.65795984167655719</v>
      </c>
      <c r="K182" s="198">
        <f t="shared" si="38"/>
        <v>0.65795984167655719</v>
      </c>
      <c r="L182" s="198">
        <f t="shared" ref="L182:M182" si="39">IF(L$20, $H114, $H111)</f>
        <v>0.65795984167655719</v>
      </c>
      <c r="M182" s="198">
        <f t="shared" si="39"/>
        <v>0.65795984167655719</v>
      </c>
      <c r="N182" s="198">
        <f t="shared" ref="N182:P182" si="40">IF(N$20, $H114, $H111)</f>
        <v>0.65795984167655719</v>
      </c>
      <c r="O182" s="198">
        <f t="shared" si="40"/>
        <v>0.65795984167655719</v>
      </c>
      <c r="P182" s="198">
        <f t="shared" si="40"/>
        <v>0.65795984167655719</v>
      </c>
      <c r="Q182" s="198">
        <f t="shared" ref="Q182:S182" si="41">IF(Q$20, $H114, $H111)</f>
        <v>0.65562536987234388</v>
      </c>
      <c r="R182" s="198">
        <f t="shared" si="41"/>
        <v>0.65795984167655719</v>
      </c>
      <c r="S182" s="198">
        <f t="shared" si="41"/>
        <v>0.65795984167655719</v>
      </c>
      <c r="T182" s="198">
        <f t="shared" ref="T182:U182" si="42">IF(T$20, $H114, $H111)</f>
        <v>0.65795984167655719</v>
      </c>
      <c r="U182" s="198">
        <f t="shared" si="42"/>
        <v>0.65795984167655719</v>
      </c>
      <c r="V182" s="198">
        <f t="shared" ref="V182:W182" si="43">IF(V$20, $H114, $H111)</f>
        <v>0.65795984167655719</v>
      </c>
      <c r="W182" s="198">
        <f t="shared" si="43"/>
        <v>0.65795984167655719</v>
      </c>
      <c r="X182" s="198">
        <f t="shared" ref="X182:Y182" si="44">IF(X$20, $H114, $H111)</f>
        <v>0.65795984167655719</v>
      </c>
      <c r="Y182" s="198">
        <f t="shared" si="44"/>
        <v>0.65795984167655719</v>
      </c>
    </row>
    <row r="183" spans="5:25" x14ac:dyDescent="0.25">
      <c r="E183" s="86"/>
      <c r="F183" s="118" t="s">
        <v>421</v>
      </c>
      <c r="G183" s="94" t="s">
        <v>165</v>
      </c>
      <c r="H183" s="155"/>
      <c r="J183" s="190">
        <f t="shared" ref="J183:K183" si="45">IF(J$20, $H115, $H112)</f>
        <v>0.25975400357689299</v>
      </c>
      <c r="K183" s="190">
        <f t="shared" si="45"/>
        <v>0.25975400357689299</v>
      </c>
      <c r="L183" s="190">
        <f t="shared" ref="L183:M183" si="46">IF(L$20, $H115, $H112)</f>
        <v>0.25975400357689299</v>
      </c>
      <c r="M183" s="190">
        <f t="shared" si="46"/>
        <v>0.25975400357689299</v>
      </c>
      <c r="N183" s="190">
        <f t="shared" ref="N183:P183" si="47">IF(N$20, $H115, $H112)</f>
        <v>0.25975400357689299</v>
      </c>
      <c r="O183" s="190">
        <f t="shared" si="47"/>
        <v>0.25975400357689299</v>
      </c>
      <c r="P183" s="190">
        <f t="shared" si="47"/>
        <v>0.25975400357689299</v>
      </c>
      <c r="Q183" s="190">
        <f t="shared" ref="Q183:S183" si="48">IF(Q$20, $H115, $H112)</f>
        <v>0.26208847538110625</v>
      </c>
      <c r="R183" s="190">
        <f t="shared" si="48"/>
        <v>0.25975400357689299</v>
      </c>
      <c r="S183" s="190">
        <f t="shared" si="48"/>
        <v>0.25975400357689299</v>
      </c>
      <c r="T183" s="190">
        <f t="shared" ref="T183:U183" si="49">IF(T$20, $H115, $H112)</f>
        <v>0.25975400357689299</v>
      </c>
      <c r="U183" s="190">
        <f t="shared" si="49"/>
        <v>0.25975400357689299</v>
      </c>
      <c r="V183" s="190">
        <f t="shared" ref="V183:W183" si="50">IF(V$20, $H115, $H112)</f>
        <v>0.25975400357689299</v>
      </c>
      <c r="W183" s="190">
        <f t="shared" si="50"/>
        <v>0.25975400357689299</v>
      </c>
      <c r="X183" s="190">
        <f t="shared" ref="X183:Y183" si="51">IF(X$20, $H115, $H112)</f>
        <v>0.25975400357689299</v>
      </c>
      <c r="Y183" s="190">
        <f t="shared" si="51"/>
        <v>0.25975400357689299</v>
      </c>
    </row>
    <row r="184" spans="5:25" x14ac:dyDescent="0.25">
      <c r="E184" s="86"/>
      <c r="F184" s="120" t="s">
        <v>255</v>
      </c>
      <c r="G184" s="101" t="s">
        <v>165</v>
      </c>
      <c r="H184" s="186"/>
      <c r="I184" s="96"/>
      <c r="J184" s="199">
        <f t="shared" ref="J184:K184" si="52">IF(J$20, $H116, $H113)</f>
        <v>8.2286154746549753E-2</v>
      </c>
      <c r="K184" s="199">
        <f t="shared" si="52"/>
        <v>8.2286154746549753E-2</v>
      </c>
      <c r="L184" s="199">
        <f t="shared" ref="L184:M184" si="53">IF(L$20, $H116, $H113)</f>
        <v>8.2286154746549753E-2</v>
      </c>
      <c r="M184" s="199">
        <f t="shared" si="53"/>
        <v>8.2286154746549753E-2</v>
      </c>
      <c r="N184" s="199">
        <f t="shared" ref="N184:P184" si="54">IF(N$20, $H116, $H113)</f>
        <v>8.2286154746549753E-2</v>
      </c>
      <c r="O184" s="199">
        <f t="shared" si="54"/>
        <v>8.2286154746549753E-2</v>
      </c>
      <c r="P184" s="199">
        <f t="shared" si="54"/>
        <v>8.2286154746549753E-2</v>
      </c>
      <c r="Q184" s="199">
        <f t="shared" ref="Q184:S184" si="55">IF(Q$20, $H116, $H113)</f>
        <v>8.2286154746549753E-2</v>
      </c>
      <c r="R184" s="199">
        <f t="shared" si="55"/>
        <v>8.2286154746549753E-2</v>
      </c>
      <c r="S184" s="199">
        <f t="shared" si="55"/>
        <v>8.2286154746549753E-2</v>
      </c>
      <c r="T184" s="199">
        <f t="shared" ref="T184:U184" si="56">IF(T$20, $H116, $H113)</f>
        <v>8.2286154746549753E-2</v>
      </c>
      <c r="U184" s="199">
        <f t="shared" si="56"/>
        <v>8.2286154746549753E-2</v>
      </c>
      <c r="V184" s="199">
        <f t="shared" ref="V184:W184" si="57">IF(V$20, $H116, $H113)</f>
        <v>8.2286154746549753E-2</v>
      </c>
      <c r="W184" s="199">
        <f t="shared" si="57"/>
        <v>8.2286154746549753E-2</v>
      </c>
      <c r="X184" s="199">
        <f t="shared" ref="X184:Y184" si="58">IF(X$20, $H116, $H113)</f>
        <v>8.2286154746549753E-2</v>
      </c>
      <c r="Y184" s="199">
        <f t="shared" si="58"/>
        <v>8.2286154746549753E-2</v>
      </c>
    </row>
    <row r="185" spans="5:25" x14ac:dyDescent="0.25">
      <c r="E185" s="86"/>
      <c r="F185" s="118"/>
      <c r="G185" s="94"/>
      <c r="H185" s="155"/>
      <c r="J185" s="190"/>
      <c r="K185" s="190"/>
      <c r="L185" s="190"/>
      <c r="M185" s="190"/>
      <c r="N185" s="190"/>
      <c r="O185" s="190"/>
      <c r="P185" s="190"/>
      <c r="Q185" s="190"/>
      <c r="R185" s="190"/>
      <c r="S185" s="190"/>
      <c r="T185" s="190"/>
      <c r="U185" s="190"/>
      <c r="V185" s="190"/>
      <c r="W185" s="190"/>
      <c r="X185" s="190"/>
      <c r="Y185" s="190"/>
    </row>
    <row r="186" spans="5:25" x14ac:dyDescent="0.25">
      <c r="E186" s="75" t="s">
        <v>436</v>
      </c>
      <c r="G186" s="94"/>
    </row>
    <row r="187" spans="5:25" x14ac:dyDescent="0.25">
      <c r="E187" s="86"/>
      <c r="F187" s="116" t="s">
        <v>420</v>
      </c>
      <c r="G187" s="98" t="s">
        <v>165</v>
      </c>
      <c r="H187" s="154"/>
      <c r="I187" s="95"/>
      <c r="J187" s="198">
        <f t="shared" ref="J187:K187" si="59">IF(J$20, $H122, $H119)</f>
        <v>0.65795984167655719</v>
      </c>
      <c r="K187" s="198">
        <f t="shared" si="59"/>
        <v>0.65795984167655719</v>
      </c>
      <c r="L187" s="198">
        <f t="shared" ref="L187:M187" si="60">IF(L$20, $H122, $H119)</f>
        <v>0.65795984167655719</v>
      </c>
      <c r="M187" s="198">
        <f t="shared" si="60"/>
        <v>0.65795984167655719</v>
      </c>
      <c r="N187" s="198">
        <f t="shared" ref="N187:P187" si="61">IF(N$20, $H122, $H119)</f>
        <v>0.65795984167655719</v>
      </c>
      <c r="O187" s="198">
        <f t="shared" si="61"/>
        <v>0.65795984167655719</v>
      </c>
      <c r="P187" s="198">
        <f t="shared" si="61"/>
        <v>0.65795984167655719</v>
      </c>
      <c r="Q187" s="198">
        <f t="shared" ref="Q187:S187" si="62">IF(Q$20, $H122, $H119)</f>
        <v>0.65562536987234388</v>
      </c>
      <c r="R187" s="198">
        <f t="shared" si="62"/>
        <v>0.65795984167655719</v>
      </c>
      <c r="S187" s="198">
        <f t="shared" si="62"/>
        <v>0.65795984167655719</v>
      </c>
      <c r="T187" s="198">
        <f t="shared" ref="T187:U187" si="63">IF(T$20, $H122, $H119)</f>
        <v>0.65795984167655719</v>
      </c>
      <c r="U187" s="198">
        <f t="shared" si="63"/>
        <v>0.65795984167655719</v>
      </c>
      <c r="V187" s="198">
        <f t="shared" ref="V187:W187" si="64">IF(V$20, $H122, $H119)</f>
        <v>0.65795984167655719</v>
      </c>
      <c r="W187" s="198">
        <f t="shared" si="64"/>
        <v>0.65795984167655719</v>
      </c>
      <c r="X187" s="198">
        <f t="shared" ref="X187:Y187" si="65">IF(X$20, $H122, $H119)</f>
        <v>0.65795984167655719</v>
      </c>
      <c r="Y187" s="198">
        <f t="shared" si="65"/>
        <v>0.65795984167655719</v>
      </c>
    </row>
    <row r="188" spans="5:25" x14ac:dyDescent="0.25">
      <c r="E188" s="86"/>
      <c r="F188" s="118" t="s">
        <v>421</v>
      </c>
      <c r="G188" s="94" t="s">
        <v>165</v>
      </c>
      <c r="H188" s="155"/>
      <c r="J188" s="190">
        <f t="shared" ref="J188:K188" si="66">IF(J$20, $H123, $H120)</f>
        <v>0.25975400357689299</v>
      </c>
      <c r="K188" s="190">
        <f t="shared" si="66"/>
        <v>0.25975400357689299</v>
      </c>
      <c r="L188" s="190">
        <f t="shared" ref="L188:M188" si="67">IF(L$20, $H123, $H120)</f>
        <v>0.25975400357689299</v>
      </c>
      <c r="M188" s="190">
        <f t="shared" si="67"/>
        <v>0.25975400357689299</v>
      </c>
      <c r="N188" s="190">
        <f t="shared" ref="N188:P188" si="68">IF(N$20, $H123, $H120)</f>
        <v>0.25975400357689299</v>
      </c>
      <c r="O188" s="190">
        <f t="shared" si="68"/>
        <v>0.25975400357689299</v>
      </c>
      <c r="P188" s="190">
        <f t="shared" si="68"/>
        <v>0.25975400357689299</v>
      </c>
      <c r="Q188" s="190">
        <f t="shared" ref="Q188:S188" si="69">IF(Q$20, $H123, $H120)</f>
        <v>0.26208847538110625</v>
      </c>
      <c r="R188" s="190">
        <f t="shared" si="69"/>
        <v>0.25975400357689299</v>
      </c>
      <c r="S188" s="190">
        <f t="shared" si="69"/>
        <v>0.25975400357689299</v>
      </c>
      <c r="T188" s="190">
        <f t="shared" ref="T188:U188" si="70">IF(T$20, $H123, $H120)</f>
        <v>0.25975400357689299</v>
      </c>
      <c r="U188" s="190">
        <f t="shared" si="70"/>
        <v>0.25975400357689299</v>
      </c>
      <c r="V188" s="190">
        <f t="shared" ref="V188:W188" si="71">IF(V$20, $H123, $H120)</f>
        <v>0.25975400357689299</v>
      </c>
      <c r="W188" s="190">
        <f t="shared" si="71"/>
        <v>0.25975400357689299</v>
      </c>
      <c r="X188" s="190">
        <f t="shared" ref="X188:Y188" si="72">IF(X$20, $H123, $H120)</f>
        <v>0.25975400357689299</v>
      </c>
      <c r="Y188" s="190">
        <f t="shared" si="72"/>
        <v>0.25975400357689299</v>
      </c>
    </row>
    <row r="189" spans="5:25" x14ac:dyDescent="0.25">
      <c r="E189" s="86"/>
      <c r="F189" s="120" t="s">
        <v>255</v>
      </c>
      <c r="G189" s="101" t="s">
        <v>165</v>
      </c>
      <c r="H189" s="186"/>
      <c r="I189" s="96"/>
      <c r="J189" s="199">
        <f t="shared" ref="J189:K189" si="73">IF(J$20, $H124, $H121)</f>
        <v>8.2286154746549753E-2</v>
      </c>
      <c r="K189" s="199">
        <f t="shared" si="73"/>
        <v>8.2286154746549753E-2</v>
      </c>
      <c r="L189" s="199">
        <f t="shared" ref="L189:M189" si="74">IF(L$20, $H124, $H121)</f>
        <v>8.2286154746549753E-2</v>
      </c>
      <c r="M189" s="199">
        <f t="shared" si="74"/>
        <v>8.2286154746549753E-2</v>
      </c>
      <c r="N189" s="199">
        <f t="shared" ref="N189:P189" si="75">IF(N$20, $H124, $H121)</f>
        <v>8.2286154746549753E-2</v>
      </c>
      <c r="O189" s="199">
        <f t="shared" si="75"/>
        <v>8.2286154746549753E-2</v>
      </c>
      <c r="P189" s="199">
        <f t="shared" si="75"/>
        <v>8.2286154746549753E-2</v>
      </c>
      <c r="Q189" s="199">
        <f t="shared" ref="Q189:S189" si="76">IF(Q$20, $H124, $H121)</f>
        <v>8.2286154746549753E-2</v>
      </c>
      <c r="R189" s="199">
        <f t="shared" si="76"/>
        <v>8.2286154746549753E-2</v>
      </c>
      <c r="S189" s="199">
        <f t="shared" si="76"/>
        <v>8.2286154746549753E-2</v>
      </c>
      <c r="T189" s="199">
        <f t="shared" ref="T189:U189" si="77">IF(T$20, $H124, $H121)</f>
        <v>8.2286154746549753E-2</v>
      </c>
      <c r="U189" s="199">
        <f t="shared" si="77"/>
        <v>8.2286154746549753E-2</v>
      </c>
      <c r="V189" s="199">
        <f t="shared" ref="V189:W189" si="78">IF(V$20, $H124, $H121)</f>
        <v>8.2286154746549753E-2</v>
      </c>
      <c r="W189" s="199">
        <f t="shared" si="78"/>
        <v>8.2286154746549753E-2</v>
      </c>
      <c r="X189" s="199">
        <f t="shared" ref="X189:Y189" si="79">IF(X$20, $H124, $H121)</f>
        <v>8.2286154746549753E-2</v>
      </c>
      <c r="Y189" s="199">
        <f t="shared" si="79"/>
        <v>8.2286154746549753E-2</v>
      </c>
    </row>
    <row r="190" spans="5:25" x14ac:dyDescent="0.25">
      <c r="E190" s="86"/>
      <c r="F190" s="118"/>
      <c r="G190" s="94"/>
      <c r="H190" s="155"/>
      <c r="J190" s="190"/>
      <c r="K190" s="190"/>
      <c r="L190" s="190"/>
      <c r="M190" s="190"/>
      <c r="N190" s="190"/>
      <c r="O190" s="190"/>
      <c r="P190" s="190"/>
      <c r="Q190" s="190"/>
      <c r="R190" s="190"/>
      <c r="S190" s="190"/>
      <c r="T190" s="190"/>
      <c r="U190" s="190"/>
      <c r="V190" s="190"/>
      <c r="W190" s="190"/>
      <c r="X190" s="190"/>
      <c r="Y190" s="190"/>
    </row>
    <row r="191" spans="5:25" x14ac:dyDescent="0.25">
      <c r="E191" s="75" t="s">
        <v>437</v>
      </c>
      <c r="G191" s="94"/>
    </row>
    <row r="192" spans="5:25" x14ac:dyDescent="0.25">
      <c r="E192" s="86"/>
      <c r="F192" s="116" t="s">
        <v>420</v>
      </c>
      <c r="G192" s="98" t="s">
        <v>165</v>
      </c>
      <c r="H192" s="154"/>
      <c r="I192" s="95"/>
      <c r="J192" s="198">
        <f t="shared" ref="J192:K192" si="80">IF(J$20, $H130, $H127)</f>
        <v>0.61002286090315028</v>
      </c>
      <c r="K192" s="198">
        <f t="shared" si="80"/>
        <v>0.61002286090315028</v>
      </c>
      <c r="L192" s="198">
        <f t="shared" ref="L192:M192" si="81">IF(L$20, $H130, $H127)</f>
        <v>0.61002286090315028</v>
      </c>
      <c r="M192" s="198">
        <f t="shared" si="81"/>
        <v>0.61002286090315028</v>
      </c>
      <c r="N192" s="198">
        <f t="shared" ref="N192:P192" si="82">IF(N$20, $H130, $H127)</f>
        <v>0.61002286090315028</v>
      </c>
      <c r="O192" s="198">
        <f t="shared" si="82"/>
        <v>0.61002286090315028</v>
      </c>
      <c r="P192" s="198">
        <f t="shared" si="82"/>
        <v>0.61002286090315028</v>
      </c>
      <c r="Q192" s="198">
        <f t="shared" ref="Q192:S192" si="83">IF(Q$20, $H130, $H127)</f>
        <v>0.5798279501794078</v>
      </c>
      <c r="R192" s="198">
        <f t="shared" si="83"/>
        <v>0.61002286090315028</v>
      </c>
      <c r="S192" s="198">
        <f t="shared" si="83"/>
        <v>0.61002286090315028</v>
      </c>
      <c r="T192" s="198">
        <f t="shared" ref="T192:U192" si="84">IF(T$20, $H130, $H127)</f>
        <v>0.61002286090315028</v>
      </c>
      <c r="U192" s="198">
        <f t="shared" si="84"/>
        <v>0.61002286090315028</v>
      </c>
      <c r="V192" s="198">
        <f t="shared" ref="V192:W192" si="85">IF(V$20, $H130, $H127)</f>
        <v>0.61002286090315028</v>
      </c>
      <c r="W192" s="198">
        <f t="shared" si="85"/>
        <v>0.61002286090315028</v>
      </c>
      <c r="X192" s="198">
        <f t="shared" ref="X192:Y192" si="86">IF(X$20, $H130, $H127)</f>
        <v>0.61002286090315028</v>
      </c>
      <c r="Y192" s="198">
        <f t="shared" si="86"/>
        <v>0.61002286090315028</v>
      </c>
    </row>
    <row r="193" spans="5:25" x14ac:dyDescent="0.25">
      <c r="E193" s="86"/>
      <c r="F193" s="118" t="s">
        <v>421</v>
      </c>
      <c r="G193" s="94" t="s">
        <v>165</v>
      </c>
      <c r="H193" s="155"/>
      <c r="J193" s="190">
        <f t="shared" ref="J193:K193" si="87">IF(J$20, $H131, $H128)</f>
        <v>0.31213543363540425</v>
      </c>
      <c r="K193" s="190">
        <f t="shared" si="87"/>
        <v>0.31213543363540425</v>
      </c>
      <c r="L193" s="190">
        <f t="shared" ref="L193:M193" si="88">IF(L$20, $H131, $H128)</f>
        <v>0.31213543363540425</v>
      </c>
      <c r="M193" s="190">
        <f t="shared" si="88"/>
        <v>0.31213543363540425</v>
      </c>
      <c r="N193" s="190">
        <f t="shared" ref="N193:P193" si="89">IF(N$20, $H131, $H128)</f>
        <v>0.31213543363540425</v>
      </c>
      <c r="O193" s="190">
        <f t="shared" si="89"/>
        <v>0.31213543363540425</v>
      </c>
      <c r="P193" s="190">
        <f t="shared" si="89"/>
        <v>0.31213543363540425</v>
      </c>
      <c r="Q193" s="190">
        <f t="shared" ref="Q193:S193" si="90">IF(Q$20, $H131, $H128)</f>
        <v>0.34233034435914667</v>
      </c>
      <c r="R193" s="190">
        <f t="shared" si="90"/>
        <v>0.31213543363540425</v>
      </c>
      <c r="S193" s="190">
        <f t="shared" si="90"/>
        <v>0.31213543363540425</v>
      </c>
      <c r="T193" s="190">
        <f t="shared" ref="T193:U193" si="91">IF(T$20, $H131, $H128)</f>
        <v>0.31213543363540425</v>
      </c>
      <c r="U193" s="190">
        <f t="shared" si="91"/>
        <v>0.31213543363540425</v>
      </c>
      <c r="V193" s="190">
        <f t="shared" ref="V193:W193" si="92">IF(V$20, $H131, $H128)</f>
        <v>0.31213543363540425</v>
      </c>
      <c r="W193" s="190">
        <f t="shared" si="92"/>
        <v>0.31213543363540425</v>
      </c>
      <c r="X193" s="190">
        <f t="shared" ref="X193:Y193" si="93">IF(X$20, $H131, $H128)</f>
        <v>0.31213543363540425</v>
      </c>
      <c r="Y193" s="190">
        <f t="shared" si="93"/>
        <v>0.31213543363540425</v>
      </c>
    </row>
    <row r="194" spans="5:25" x14ac:dyDescent="0.25">
      <c r="E194" s="86"/>
      <c r="F194" s="120" t="s">
        <v>255</v>
      </c>
      <c r="G194" s="101" t="s">
        <v>165</v>
      </c>
      <c r="H194" s="186"/>
      <c r="I194" s="96"/>
      <c r="J194" s="199">
        <f t="shared" ref="J194:K194" si="94">IF(J$20, $H132, $H129)</f>
        <v>7.7841705461445518E-2</v>
      </c>
      <c r="K194" s="199">
        <f t="shared" si="94"/>
        <v>7.7841705461445518E-2</v>
      </c>
      <c r="L194" s="199">
        <f t="shared" ref="L194:M194" si="95">IF(L$20, $H132, $H129)</f>
        <v>7.7841705461445518E-2</v>
      </c>
      <c r="M194" s="199">
        <f t="shared" si="95"/>
        <v>7.7841705461445518E-2</v>
      </c>
      <c r="N194" s="199">
        <f t="shared" ref="N194:P194" si="96">IF(N$20, $H132, $H129)</f>
        <v>7.7841705461445518E-2</v>
      </c>
      <c r="O194" s="199">
        <f t="shared" si="96"/>
        <v>7.7841705461445518E-2</v>
      </c>
      <c r="P194" s="199">
        <f t="shared" si="96"/>
        <v>7.7841705461445518E-2</v>
      </c>
      <c r="Q194" s="199">
        <f t="shared" ref="Q194:S194" si="97">IF(Q$20, $H132, $H129)</f>
        <v>7.7841705461445518E-2</v>
      </c>
      <c r="R194" s="199">
        <f t="shared" si="97"/>
        <v>7.7841705461445518E-2</v>
      </c>
      <c r="S194" s="199">
        <f t="shared" si="97"/>
        <v>7.7841705461445518E-2</v>
      </c>
      <c r="T194" s="199">
        <f t="shared" ref="T194:U194" si="98">IF(T$20, $H132, $H129)</f>
        <v>7.7841705461445518E-2</v>
      </c>
      <c r="U194" s="199">
        <f t="shared" si="98"/>
        <v>7.7841705461445518E-2</v>
      </c>
      <c r="V194" s="199">
        <f t="shared" ref="V194:W194" si="99">IF(V$20, $H132, $H129)</f>
        <v>7.7841705461445518E-2</v>
      </c>
      <c r="W194" s="199">
        <f t="shared" si="99"/>
        <v>7.7841705461445518E-2</v>
      </c>
      <c r="X194" s="199">
        <f t="shared" ref="X194:Y194" si="100">IF(X$20, $H132, $H129)</f>
        <v>7.7841705461445518E-2</v>
      </c>
      <c r="Y194" s="199">
        <f t="shared" si="100"/>
        <v>7.7841705461445518E-2</v>
      </c>
    </row>
    <row r="195" spans="5:25" x14ac:dyDescent="0.25">
      <c r="E195" s="86"/>
      <c r="F195" s="118"/>
      <c r="G195" s="94"/>
      <c r="H195" s="155"/>
      <c r="J195" s="190"/>
      <c r="K195" s="190"/>
      <c r="L195" s="190"/>
      <c r="M195" s="190"/>
      <c r="N195" s="190"/>
      <c r="O195" s="190"/>
      <c r="P195" s="190"/>
      <c r="Q195" s="190"/>
      <c r="R195" s="190"/>
      <c r="S195" s="190"/>
      <c r="T195" s="190"/>
      <c r="U195" s="190"/>
      <c r="V195" s="190"/>
      <c r="W195" s="190"/>
      <c r="X195" s="190"/>
      <c r="Y195" s="190"/>
    </row>
    <row r="196" spans="5:25" x14ac:dyDescent="0.25">
      <c r="E196" s="75" t="s">
        <v>438</v>
      </c>
      <c r="G196" s="94"/>
    </row>
    <row r="197" spans="5:25" x14ac:dyDescent="0.25">
      <c r="E197" s="86"/>
      <c r="F197" s="116" t="s">
        <v>420</v>
      </c>
      <c r="G197" s="98" t="s">
        <v>165</v>
      </c>
      <c r="H197" s="154"/>
      <c r="I197" s="95"/>
      <c r="J197" s="198">
        <f t="shared" ref="J197:K197" si="101">IF(J$20, $H138, $H135)</f>
        <v>0.61002286090315028</v>
      </c>
      <c r="K197" s="198">
        <f t="shared" si="101"/>
        <v>0.61002286090315028</v>
      </c>
      <c r="L197" s="198">
        <f t="shared" ref="L197:M197" si="102">IF(L$20, $H138, $H135)</f>
        <v>0.61002286090315028</v>
      </c>
      <c r="M197" s="198">
        <f t="shared" si="102"/>
        <v>0.61002286090315028</v>
      </c>
      <c r="N197" s="198">
        <f t="shared" ref="N197:P197" si="103">IF(N$20, $H138, $H135)</f>
        <v>0.61002286090315028</v>
      </c>
      <c r="O197" s="198">
        <f t="shared" si="103"/>
        <v>0.61002286090315028</v>
      </c>
      <c r="P197" s="198">
        <f t="shared" si="103"/>
        <v>0.61002286090315028</v>
      </c>
      <c r="Q197" s="198">
        <f t="shared" ref="Q197:S197" si="104">IF(Q$20, $H138, $H135)</f>
        <v>0.5798279501794078</v>
      </c>
      <c r="R197" s="198">
        <f t="shared" si="104"/>
        <v>0.61002286090315028</v>
      </c>
      <c r="S197" s="198">
        <f t="shared" si="104"/>
        <v>0.61002286090315028</v>
      </c>
      <c r="T197" s="198">
        <f t="shared" ref="T197:U197" si="105">IF(T$20, $H138, $H135)</f>
        <v>0.61002286090315028</v>
      </c>
      <c r="U197" s="198">
        <f t="shared" si="105"/>
        <v>0.61002286090315028</v>
      </c>
      <c r="V197" s="198">
        <f t="shared" ref="V197:W197" si="106">IF(V$20, $H138, $H135)</f>
        <v>0.61002286090315028</v>
      </c>
      <c r="W197" s="198">
        <f t="shared" si="106"/>
        <v>0.61002286090315028</v>
      </c>
      <c r="X197" s="198">
        <f t="shared" ref="X197:Y197" si="107">IF(X$20, $H138, $H135)</f>
        <v>0.61002286090315028</v>
      </c>
      <c r="Y197" s="198">
        <f t="shared" si="107"/>
        <v>0.61002286090315028</v>
      </c>
    </row>
    <row r="198" spans="5:25" x14ac:dyDescent="0.25">
      <c r="E198" s="86"/>
      <c r="F198" s="118" t="s">
        <v>421</v>
      </c>
      <c r="G198" s="94" t="s">
        <v>165</v>
      </c>
      <c r="H198" s="155"/>
      <c r="J198" s="190">
        <f t="shared" ref="J198:K198" si="108">IF(J$20, $H139, $H136)</f>
        <v>0.31213543363540425</v>
      </c>
      <c r="K198" s="190">
        <f t="shared" si="108"/>
        <v>0.31213543363540425</v>
      </c>
      <c r="L198" s="190">
        <f t="shared" ref="L198:M198" si="109">IF(L$20, $H139, $H136)</f>
        <v>0.31213543363540425</v>
      </c>
      <c r="M198" s="190">
        <f t="shared" si="109"/>
        <v>0.31213543363540425</v>
      </c>
      <c r="N198" s="190">
        <f t="shared" ref="N198:P198" si="110">IF(N$20, $H139, $H136)</f>
        <v>0.31213543363540425</v>
      </c>
      <c r="O198" s="190">
        <f t="shared" si="110"/>
        <v>0.31213543363540425</v>
      </c>
      <c r="P198" s="190">
        <f t="shared" si="110"/>
        <v>0.31213543363540425</v>
      </c>
      <c r="Q198" s="190">
        <f t="shared" ref="Q198:S198" si="111">IF(Q$20, $H139, $H136)</f>
        <v>0.34233034435914667</v>
      </c>
      <c r="R198" s="190">
        <f t="shared" si="111"/>
        <v>0.31213543363540425</v>
      </c>
      <c r="S198" s="190">
        <f t="shared" si="111"/>
        <v>0.31213543363540425</v>
      </c>
      <c r="T198" s="190">
        <f t="shared" ref="T198:U198" si="112">IF(T$20, $H139, $H136)</f>
        <v>0.31213543363540425</v>
      </c>
      <c r="U198" s="190">
        <f t="shared" si="112"/>
        <v>0.31213543363540425</v>
      </c>
      <c r="V198" s="190">
        <f t="shared" ref="V198:W198" si="113">IF(V$20, $H139, $H136)</f>
        <v>0.31213543363540425</v>
      </c>
      <c r="W198" s="190">
        <f t="shared" si="113"/>
        <v>0.31213543363540425</v>
      </c>
      <c r="X198" s="190">
        <f t="shared" ref="X198:Y198" si="114">IF(X$20, $H139, $H136)</f>
        <v>0.31213543363540425</v>
      </c>
      <c r="Y198" s="190">
        <f t="shared" si="114"/>
        <v>0.31213543363540425</v>
      </c>
    </row>
    <row r="199" spans="5:25" x14ac:dyDescent="0.25">
      <c r="E199" s="86"/>
      <c r="F199" s="120" t="s">
        <v>255</v>
      </c>
      <c r="G199" s="101" t="s">
        <v>165</v>
      </c>
      <c r="H199" s="186"/>
      <c r="I199" s="96"/>
      <c r="J199" s="199">
        <f t="shared" ref="J199:K199" si="115">IF(J$20, $H140, $H137)</f>
        <v>7.7841705461445518E-2</v>
      </c>
      <c r="K199" s="199">
        <f t="shared" si="115"/>
        <v>7.7841705461445518E-2</v>
      </c>
      <c r="L199" s="199">
        <f t="shared" ref="L199:M199" si="116">IF(L$20, $H140, $H137)</f>
        <v>7.7841705461445518E-2</v>
      </c>
      <c r="M199" s="199">
        <f t="shared" si="116"/>
        <v>7.7841705461445518E-2</v>
      </c>
      <c r="N199" s="199">
        <f t="shared" ref="N199:P199" si="117">IF(N$20, $H140, $H137)</f>
        <v>7.7841705461445518E-2</v>
      </c>
      <c r="O199" s="199">
        <f t="shared" si="117"/>
        <v>7.7841705461445518E-2</v>
      </c>
      <c r="P199" s="199">
        <f t="shared" si="117"/>
        <v>7.7841705461445518E-2</v>
      </c>
      <c r="Q199" s="199">
        <f t="shared" ref="Q199:S199" si="118">IF(Q$20, $H140, $H137)</f>
        <v>7.7841705461445518E-2</v>
      </c>
      <c r="R199" s="199">
        <f t="shared" si="118"/>
        <v>7.7841705461445518E-2</v>
      </c>
      <c r="S199" s="199">
        <f t="shared" si="118"/>
        <v>7.7841705461445518E-2</v>
      </c>
      <c r="T199" s="199">
        <f t="shared" ref="T199:U199" si="119">IF(T$20, $H140, $H137)</f>
        <v>7.7841705461445518E-2</v>
      </c>
      <c r="U199" s="199">
        <f t="shared" si="119"/>
        <v>7.7841705461445518E-2</v>
      </c>
      <c r="V199" s="199">
        <f t="shared" ref="V199:W199" si="120">IF(V$20, $H140, $H137)</f>
        <v>7.7841705461445518E-2</v>
      </c>
      <c r="W199" s="199">
        <f t="shared" si="120"/>
        <v>7.7841705461445518E-2</v>
      </c>
      <c r="X199" s="199">
        <f t="shared" ref="X199:Y199" si="121">IF(X$20, $H140, $H137)</f>
        <v>7.7841705461445518E-2</v>
      </c>
      <c r="Y199" s="199">
        <f t="shared" si="121"/>
        <v>7.7841705461445518E-2</v>
      </c>
    </row>
    <row r="200" spans="5:25" x14ac:dyDescent="0.25">
      <c r="E200" s="86"/>
      <c r="F200" s="118"/>
      <c r="G200" s="94"/>
      <c r="H200" s="155"/>
      <c r="J200" s="190"/>
      <c r="K200" s="190"/>
      <c r="L200" s="190"/>
      <c r="M200" s="190"/>
      <c r="N200" s="190"/>
      <c r="O200" s="190"/>
      <c r="P200" s="190"/>
      <c r="Q200" s="190"/>
      <c r="R200" s="190"/>
      <c r="S200" s="190"/>
      <c r="T200" s="190"/>
      <c r="U200" s="190"/>
      <c r="V200" s="190"/>
      <c r="W200" s="190"/>
      <c r="X200" s="190"/>
      <c r="Y200" s="190"/>
    </row>
    <row r="201" spans="5:25" x14ac:dyDescent="0.25">
      <c r="E201" s="75" t="s">
        <v>439</v>
      </c>
      <c r="G201" s="94"/>
    </row>
    <row r="202" spans="5:25" x14ac:dyDescent="0.25">
      <c r="E202" s="86"/>
      <c r="F202" s="116" t="s">
        <v>420</v>
      </c>
      <c r="G202" s="98" t="s">
        <v>165</v>
      </c>
      <c r="H202" s="154"/>
      <c r="I202" s="95"/>
      <c r="J202" s="198">
        <f t="shared" ref="J202:K202" si="122">IF(J$20, $H146, $H143)</f>
        <v>0</v>
      </c>
      <c r="K202" s="198">
        <f t="shared" si="122"/>
        <v>0</v>
      </c>
      <c r="L202" s="198">
        <f t="shared" ref="L202:M202" si="123">IF(L$20, $H146, $H143)</f>
        <v>0</v>
      </c>
      <c r="M202" s="198">
        <f t="shared" si="123"/>
        <v>0</v>
      </c>
      <c r="N202" s="198">
        <f t="shared" ref="N202:P202" si="124">IF(N$20, $H146, $H143)</f>
        <v>0</v>
      </c>
      <c r="O202" s="198">
        <f t="shared" si="124"/>
        <v>0</v>
      </c>
      <c r="P202" s="198">
        <f t="shared" si="124"/>
        <v>0</v>
      </c>
      <c r="Q202" s="198">
        <f t="shared" ref="Q202:S202" si="125">IF(Q$20, $H146, $H143)</f>
        <v>0</v>
      </c>
      <c r="R202" s="198">
        <f t="shared" si="125"/>
        <v>0</v>
      </c>
      <c r="S202" s="198">
        <f t="shared" si="125"/>
        <v>0</v>
      </c>
      <c r="T202" s="198">
        <f t="shared" ref="T202:U202" si="126">IF(T$20, $H146, $H143)</f>
        <v>0</v>
      </c>
      <c r="U202" s="198">
        <f t="shared" si="126"/>
        <v>0</v>
      </c>
      <c r="V202" s="198">
        <f t="shared" ref="V202:W202" si="127">IF(V$20, $H146, $H143)</f>
        <v>0</v>
      </c>
      <c r="W202" s="198">
        <f t="shared" si="127"/>
        <v>0</v>
      </c>
      <c r="X202" s="198">
        <f t="shared" ref="X202:Y202" si="128">IF(X$20, $H146, $H143)</f>
        <v>0</v>
      </c>
      <c r="Y202" s="198">
        <f t="shared" si="128"/>
        <v>0</v>
      </c>
    </row>
    <row r="203" spans="5:25" x14ac:dyDescent="0.25">
      <c r="E203" s="86"/>
      <c r="F203" s="118" t="s">
        <v>421</v>
      </c>
      <c r="G203" s="94" t="s">
        <v>165</v>
      </c>
      <c r="H203" s="155"/>
      <c r="J203" s="190">
        <f t="shared" ref="J203:K203" si="129">IF(J$20, $H147, $H144)</f>
        <v>0</v>
      </c>
      <c r="K203" s="190">
        <f t="shared" si="129"/>
        <v>0</v>
      </c>
      <c r="L203" s="190">
        <f t="shared" ref="L203:M203" si="130">IF(L$20, $H147, $H144)</f>
        <v>0</v>
      </c>
      <c r="M203" s="190">
        <f t="shared" si="130"/>
        <v>0</v>
      </c>
      <c r="N203" s="190">
        <f t="shared" ref="N203:P203" si="131">IF(N$20, $H147, $H144)</f>
        <v>0</v>
      </c>
      <c r="O203" s="190">
        <f t="shared" si="131"/>
        <v>0</v>
      </c>
      <c r="P203" s="190">
        <f t="shared" si="131"/>
        <v>0</v>
      </c>
      <c r="Q203" s="190">
        <f t="shared" ref="Q203:S203" si="132">IF(Q$20, $H147, $H144)</f>
        <v>0</v>
      </c>
      <c r="R203" s="190">
        <f t="shared" si="132"/>
        <v>0</v>
      </c>
      <c r="S203" s="190">
        <f t="shared" si="132"/>
        <v>0</v>
      </c>
      <c r="T203" s="190">
        <f t="shared" ref="T203:U203" si="133">IF(T$20, $H147, $H144)</f>
        <v>0</v>
      </c>
      <c r="U203" s="190">
        <f t="shared" si="133"/>
        <v>0</v>
      </c>
      <c r="V203" s="190">
        <f t="shared" ref="V203:W203" si="134">IF(V$20, $H147, $H144)</f>
        <v>0</v>
      </c>
      <c r="W203" s="190">
        <f t="shared" si="134"/>
        <v>0</v>
      </c>
      <c r="X203" s="190">
        <f t="shared" ref="X203:Y203" si="135">IF(X$20, $H147, $H144)</f>
        <v>0</v>
      </c>
      <c r="Y203" s="190">
        <f t="shared" si="135"/>
        <v>0</v>
      </c>
    </row>
    <row r="204" spans="5:25" x14ac:dyDescent="0.25">
      <c r="E204" s="86"/>
      <c r="F204" s="120" t="s">
        <v>255</v>
      </c>
      <c r="G204" s="101" t="s">
        <v>165</v>
      </c>
      <c r="H204" s="186"/>
      <c r="I204" s="96"/>
      <c r="J204" s="199">
        <f t="shared" ref="J204:K204" si="136">IF(J$20, $H148, $H145)</f>
        <v>0</v>
      </c>
      <c r="K204" s="199">
        <f t="shared" si="136"/>
        <v>0</v>
      </c>
      <c r="L204" s="199">
        <f t="shared" ref="L204:M204" si="137">IF(L$20, $H148, $H145)</f>
        <v>0</v>
      </c>
      <c r="M204" s="199">
        <f t="shared" si="137"/>
        <v>0</v>
      </c>
      <c r="N204" s="199">
        <f t="shared" ref="N204:P204" si="138">IF(N$20, $H148, $H145)</f>
        <v>0</v>
      </c>
      <c r="O204" s="199">
        <f t="shared" si="138"/>
        <v>0</v>
      </c>
      <c r="P204" s="199">
        <f t="shared" si="138"/>
        <v>0</v>
      </c>
      <c r="Q204" s="199">
        <f t="shared" ref="Q204:S204" si="139">IF(Q$20, $H148, $H145)</f>
        <v>0</v>
      </c>
      <c r="R204" s="199">
        <f t="shared" si="139"/>
        <v>0</v>
      </c>
      <c r="S204" s="199">
        <f t="shared" si="139"/>
        <v>0</v>
      </c>
      <c r="T204" s="199">
        <f t="shared" ref="T204:U204" si="140">IF(T$20, $H148, $H145)</f>
        <v>0</v>
      </c>
      <c r="U204" s="199">
        <f t="shared" si="140"/>
        <v>0</v>
      </c>
      <c r="V204" s="199">
        <f t="shared" ref="V204:W204" si="141">IF(V$20, $H148, $H145)</f>
        <v>0</v>
      </c>
      <c r="W204" s="199">
        <f t="shared" si="141"/>
        <v>0</v>
      </c>
      <c r="X204" s="199">
        <f t="shared" ref="X204:Y204" si="142">IF(X$20, $H148, $H145)</f>
        <v>0</v>
      </c>
      <c r="Y204" s="199">
        <f t="shared" si="142"/>
        <v>0</v>
      </c>
    </row>
    <row r="205" spans="5:25" x14ac:dyDescent="0.25">
      <c r="E205" s="86"/>
      <c r="F205" s="118"/>
      <c r="G205" s="94"/>
      <c r="H205" s="155"/>
      <c r="J205" s="190"/>
      <c r="K205" s="190"/>
      <c r="L205" s="190"/>
      <c r="M205" s="190"/>
      <c r="N205" s="190"/>
      <c r="O205" s="190"/>
      <c r="P205" s="190"/>
      <c r="Q205" s="190"/>
      <c r="R205" s="190"/>
      <c r="S205" s="190"/>
      <c r="T205" s="190"/>
      <c r="U205" s="190"/>
      <c r="V205" s="190"/>
      <c r="W205" s="190"/>
      <c r="X205" s="190"/>
      <c r="Y205" s="190"/>
    </row>
    <row r="206" spans="5:25" x14ac:dyDescent="0.25">
      <c r="E206" s="75" t="s">
        <v>440</v>
      </c>
      <c r="G206" s="94"/>
    </row>
    <row r="207" spans="5:25" x14ac:dyDescent="0.25">
      <c r="E207" s="86"/>
      <c r="F207" s="116" t="s">
        <v>420</v>
      </c>
      <c r="G207" s="98" t="s">
        <v>165</v>
      </c>
      <c r="H207" s="154"/>
      <c r="I207" s="95"/>
      <c r="J207" s="198">
        <f t="shared" ref="J207:K207" si="143">IF(J$20, $H154, $H151)</f>
        <v>0.61002286090315028</v>
      </c>
      <c r="K207" s="198">
        <f t="shared" si="143"/>
        <v>0.61002286090315028</v>
      </c>
      <c r="L207" s="198">
        <f t="shared" ref="L207:M207" si="144">IF(L$20, $H154, $H151)</f>
        <v>0.61002286090315028</v>
      </c>
      <c r="M207" s="198">
        <f t="shared" si="144"/>
        <v>0.61002286090315028</v>
      </c>
      <c r="N207" s="198">
        <f t="shared" ref="N207:P207" si="145">IF(N$20, $H154, $H151)</f>
        <v>0.61002286090315028</v>
      </c>
      <c r="O207" s="198">
        <f t="shared" si="145"/>
        <v>0.61002286090315028</v>
      </c>
      <c r="P207" s="198">
        <f t="shared" si="145"/>
        <v>0.61002286090315028</v>
      </c>
      <c r="Q207" s="198">
        <f t="shared" ref="Q207:S207" si="146">IF(Q$20, $H154, $H151)</f>
        <v>0.5798279501794078</v>
      </c>
      <c r="R207" s="198">
        <f t="shared" si="146"/>
        <v>0.61002286090315028</v>
      </c>
      <c r="S207" s="198">
        <f t="shared" si="146"/>
        <v>0.61002286090315028</v>
      </c>
      <c r="T207" s="198">
        <f t="shared" ref="T207:U207" si="147">IF(T$20, $H154, $H151)</f>
        <v>0.61002286090315028</v>
      </c>
      <c r="U207" s="198">
        <f t="shared" si="147"/>
        <v>0.61002286090315028</v>
      </c>
      <c r="V207" s="198">
        <f t="shared" ref="V207:W207" si="148">IF(V$20, $H154, $H151)</f>
        <v>0.61002286090315028</v>
      </c>
      <c r="W207" s="198">
        <f t="shared" si="148"/>
        <v>0.61002286090315028</v>
      </c>
      <c r="X207" s="198">
        <f t="shared" ref="X207:Y207" si="149">IF(X$20, $H154, $H151)</f>
        <v>0.61002286090315028</v>
      </c>
      <c r="Y207" s="198">
        <f t="shared" si="149"/>
        <v>0.61002286090315028</v>
      </c>
    </row>
    <row r="208" spans="5:25" x14ac:dyDescent="0.25">
      <c r="E208" s="86"/>
      <c r="F208" s="118" t="s">
        <v>421</v>
      </c>
      <c r="G208" s="94" t="s">
        <v>165</v>
      </c>
      <c r="H208" s="155"/>
      <c r="J208" s="190">
        <f t="shared" ref="J208:K208" si="150">IF(J$20, $H155, $H152)</f>
        <v>0.31213543363540425</v>
      </c>
      <c r="K208" s="190">
        <f t="shared" si="150"/>
        <v>0.31213543363540425</v>
      </c>
      <c r="L208" s="190">
        <f t="shared" ref="L208:M208" si="151">IF(L$20, $H155, $H152)</f>
        <v>0.31213543363540425</v>
      </c>
      <c r="M208" s="190">
        <f t="shared" si="151"/>
        <v>0.31213543363540425</v>
      </c>
      <c r="N208" s="190">
        <f t="shared" ref="N208:P208" si="152">IF(N$20, $H155, $H152)</f>
        <v>0.31213543363540425</v>
      </c>
      <c r="O208" s="190">
        <f t="shared" si="152"/>
        <v>0.31213543363540425</v>
      </c>
      <c r="P208" s="190">
        <f t="shared" si="152"/>
        <v>0.31213543363540425</v>
      </c>
      <c r="Q208" s="190">
        <f t="shared" ref="Q208:S208" si="153">IF(Q$20, $H155, $H152)</f>
        <v>0.34233034435914667</v>
      </c>
      <c r="R208" s="190">
        <f t="shared" si="153"/>
        <v>0.31213543363540425</v>
      </c>
      <c r="S208" s="190">
        <f t="shared" si="153"/>
        <v>0.31213543363540425</v>
      </c>
      <c r="T208" s="190">
        <f t="shared" ref="T208:U208" si="154">IF(T$20, $H155, $H152)</f>
        <v>0.31213543363540425</v>
      </c>
      <c r="U208" s="190">
        <f t="shared" si="154"/>
        <v>0.31213543363540425</v>
      </c>
      <c r="V208" s="190">
        <f t="shared" ref="V208:W208" si="155">IF(V$20, $H155, $H152)</f>
        <v>0.31213543363540425</v>
      </c>
      <c r="W208" s="190">
        <f t="shared" si="155"/>
        <v>0.31213543363540425</v>
      </c>
      <c r="X208" s="190">
        <f t="shared" ref="X208:Y208" si="156">IF(X$20, $H155, $H152)</f>
        <v>0.31213543363540425</v>
      </c>
      <c r="Y208" s="190">
        <f t="shared" si="156"/>
        <v>0.31213543363540425</v>
      </c>
    </row>
    <row r="209" spans="3:27" x14ac:dyDescent="0.25">
      <c r="E209" s="86"/>
      <c r="F209" s="120" t="s">
        <v>255</v>
      </c>
      <c r="G209" s="101" t="s">
        <v>165</v>
      </c>
      <c r="H209" s="186"/>
      <c r="I209" s="96"/>
      <c r="J209" s="199">
        <f t="shared" ref="J209:K209" si="157">IF(J$20, $H156, $H153)</f>
        <v>7.7841705461445518E-2</v>
      </c>
      <c r="K209" s="199">
        <f t="shared" si="157"/>
        <v>7.7841705461445518E-2</v>
      </c>
      <c r="L209" s="199">
        <f t="shared" ref="L209:M209" si="158">IF(L$20, $H156, $H153)</f>
        <v>7.7841705461445518E-2</v>
      </c>
      <c r="M209" s="199">
        <f t="shared" si="158"/>
        <v>7.7841705461445518E-2</v>
      </c>
      <c r="N209" s="199">
        <f t="shared" ref="N209:P209" si="159">IF(N$20, $H156, $H153)</f>
        <v>7.7841705461445518E-2</v>
      </c>
      <c r="O209" s="199">
        <f t="shared" si="159"/>
        <v>7.7841705461445518E-2</v>
      </c>
      <c r="P209" s="199">
        <f t="shared" si="159"/>
        <v>7.7841705461445518E-2</v>
      </c>
      <c r="Q209" s="199">
        <f t="shared" ref="Q209:S209" si="160">IF(Q$20, $H156, $H153)</f>
        <v>7.7841705461445518E-2</v>
      </c>
      <c r="R209" s="199">
        <f t="shared" si="160"/>
        <v>7.7841705461445518E-2</v>
      </c>
      <c r="S209" s="199">
        <f t="shared" si="160"/>
        <v>7.7841705461445518E-2</v>
      </c>
      <c r="T209" s="199">
        <f t="shared" ref="T209:U209" si="161">IF(T$20, $H156, $H153)</f>
        <v>7.7841705461445518E-2</v>
      </c>
      <c r="U209" s="199">
        <f t="shared" si="161"/>
        <v>7.7841705461445518E-2</v>
      </c>
      <c r="V209" s="199">
        <f t="shared" ref="V209:W209" si="162">IF(V$20, $H156, $H153)</f>
        <v>7.7841705461445518E-2</v>
      </c>
      <c r="W209" s="199">
        <f t="shared" si="162"/>
        <v>7.7841705461445518E-2</v>
      </c>
      <c r="X209" s="199">
        <f t="shared" ref="X209:Y209" si="163">IF(X$20, $H156, $H153)</f>
        <v>7.7841705461445518E-2</v>
      </c>
      <c r="Y209" s="199">
        <f t="shared" si="163"/>
        <v>7.7841705461445518E-2</v>
      </c>
    </row>
    <row r="210" spans="3:27" x14ac:dyDescent="0.25">
      <c r="E210" s="86"/>
      <c r="F210" s="118"/>
      <c r="G210" s="94"/>
      <c r="H210" s="155"/>
      <c r="J210" s="190"/>
      <c r="K210" s="190"/>
      <c r="L210" s="190"/>
      <c r="M210" s="190"/>
      <c r="N210" s="190"/>
      <c r="O210" s="190"/>
      <c r="P210" s="190"/>
      <c r="Q210" s="190"/>
      <c r="R210" s="190"/>
      <c r="S210" s="190"/>
      <c r="T210" s="190"/>
      <c r="U210" s="190"/>
      <c r="V210" s="190"/>
      <c r="W210" s="190"/>
      <c r="X210" s="190"/>
      <c r="Y210" s="190"/>
    </row>
    <row r="211" spans="3:27" x14ac:dyDescent="0.25">
      <c r="E211" s="75" t="s">
        <v>441</v>
      </c>
      <c r="G211" s="94"/>
    </row>
    <row r="212" spans="3:27" x14ac:dyDescent="0.25">
      <c r="E212" s="86"/>
      <c r="F212" s="116" t="s">
        <v>420</v>
      </c>
      <c r="G212" s="98" t="s">
        <v>165</v>
      </c>
      <c r="H212" s="154"/>
      <c r="I212" s="95"/>
      <c r="J212" s="198">
        <f t="shared" ref="J212:K212" si="164">IF(J$20, $H162, $H159)</f>
        <v>0.61002286090315028</v>
      </c>
      <c r="K212" s="198">
        <f t="shared" si="164"/>
        <v>0.61002286090315028</v>
      </c>
      <c r="L212" s="198">
        <f t="shared" ref="L212:M212" si="165">IF(L$20, $H162, $H159)</f>
        <v>0.61002286090315028</v>
      </c>
      <c r="M212" s="198">
        <f t="shared" si="165"/>
        <v>0.61002286090315028</v>
      </c>
      <c r="N212" s="198">
        <f t="shared" ref="N212:P212" si="166">IF(N$20, $H162, $H159)</f>
        <v>0.61002286090315028</v>
      </c>
      <c r="O212" s="198">
        <f t="shared" si="166"/>
        <v>0.61002286090315028</v>
      </c>
      <c r="P212" s="198">
        <f t="shared" si="166"/>
        <v>0.61002286090315028</v>
      </c>
      <c r="Q212" s="198">
        <f t="shared" ref="Q212:S212" si="167">IF(Q$20, $H162, $H159)</f>
        <v>0.5798279501794078</v>
      </c>
      <c r="R212" s="198">
        <f t="shared" si="167"/>
        <v>0.61002286090315028</v>
      </c>
      <c r="S212" s="198">
        <f t="shared" si="167"/>
        <v>0.61002286090315028</v>
      </c>
      <c r="T212" s="198">
        <f t="shared" ref="T212:U212" si="168">IF(T$20, $H162, $H159)</f>
        <v>0.61002286090315028</v>
      </c>
      <c r="U212" s="198">
        <f t="shared" si="168"/>
        <v>0.61002286090315028</v>
      </c>
      <c r="V212" s="198">
        <f t="shared" ref="V212:W212" si="169">IF(V$20, $H162, $H159)</f>
        <v>0.61002286090315028</v>
      </c>
      <c r="W212" s="198">
        <f t="shared" si="169"/>
        <v>0.61002286090315028</v>
      </c>
      <c r="X212" s="198">
        <f t="shared" ref="X212:Y212" si="170">IF(X$20, $H162, $H159)</f>
        <v>0.61002286090315028</v>
      </c>
      <c r="Y212" s="198">
        <f t="shared" si="170"/>
        <v>0.61002286090315028</v>
      </c>
    </row>
    <row r="213" spans="3:27" x14ac:dyDescent="0.25">
      <c r="E213" s="86"/>
      <c r="F213" s="118" t="s">
        <v>421</v>
      </c>
      <c r="G213" s="94" t="s">
        <v>165</v>
      </c>
      <c r="H213" s="155"/>
      <c r="J213" s="190">
        <f t="shared" ref="J213:K213" si="171">IF(J$20, $H163, $H160)</f>
        <v>0.31213543363540425</v>
      </c>
      <c r="K213" s="190">
        <f t="shared" si="171"/>
        <v>0.31213543363540425</v>
      </c>
      <c r="L213" s="190">
        <f t="shared" ref="L213:M213" si="172">IF(L$20, $H163, $H160)</f>
        <v>0.31213543363540425</v>
      </c>
      <c r="M213" s="190">
        <f t="shared" si="172"/>
        <v>0.31213543363540425</v>
      </c>
      <c r="N213" s="190">
        <f t="shared" ref="N213:P213" si="173">IF(N$20, $H163, $H160)</f>
        <v>0.31213543363540425</v>
      </c>
      <c r="O213" s="190">
        <f t="shared" si="173"/>
        <v>0.31213543363540425</v>
      </c>
      <c r="P213" s="190">
        <f t="shared" si="173"/>
        <v>0.31213543363540425</v>
      </c>
      <c r="Q213" s="190">
        <f t="shared" ref="Q213:S213" si="174">IF(Q$20, $H163, $H160)</f>
        <v>0.34233034435914667</v>
      </c>
      <c r="R213" s="190">
        <f t="shared" si="174"/>
        <v>0.31213543363540425</v>
      </c>
      <c r="S213" s="190">
        <f t="shared" si="174"/>
        <v>0.31213543363540425</v>
      </c>
      <c r="T213" s="190">
        <f t="shared" ref="T213:U213" si="175">IF(T$20, $H163, $H160)</f>
        <v>0.31213543363540425</v>
      </c>
      <c r="U213" s="190">
        <f t="shared" si="175"/>
        <v>0.31213543363540425</v>
      </c>
      <c r="V213" s="190">
        <f t="shared" ref="V213:W213" si="176">IF(V$20, $H163, $H160)</f>
        <v>0.31213543363540425</v>
      </c>
      <c r="W213" s="190">
        <f t="shared" si="176"/>
        <v>0.31213543363540425</v>
      </c>
      <c r="X213" s="190">
        <f t="shared" ref="X213:Y213" si="177">IF(X$20, $H163, $H160)</f>
        <v>0.31213543363540425</v>
      </c>
      <c r="Y213" s="190">
        <f t="shared" si="177"/>
        <v>0.31213543363540425</v>
      </c>
    </row>
    <row r="214" spans="3:27" x14ac:dyDescent="0.25">
      <c r="E214" s="86"/>
      <c r="F214" s="120" t="s">
        <v>255</v>
      </c>
      <c r="G214" s="101" t="s">
        <v>165</v>
      </c>
      <c r="H214" s="186"/>
      <c r="I214" s="96"/>
      <c r="J214" s="199">
        <f t="shared" ref="J214:K214" si="178">IF(J$20, $H164, $H161)</f>
        <v>7.7841705461445518E-2</v>
      </c>
      <c r="K214" s="199">
        <f t="shared" si="178"/>
        <v>7.7841705461445518E-2</v>
      </c>
      <c r="L214" s="199">
        <f t="shared" ref="L214:M214" si="179">IF(L$20, $H164, $H161)</f>
        <v>7.7841705461445518E-2</v>
      </c>
      <c r="M214" s="199">
        <f t="shared" si="179"/>
        <v>7.7841705461445518E-2</v>
      </c>
      <c r="N214" s="199">
        <f t="shared" ref="N214:P214" si="180">IF(N$20, $H164, $H161)</f>
        <v>7.7841705461445518E-2</v>
      </c>
      <c r="O214" s="199">
        <f t="shared" si="180"/>
        <v>7.7841705461445518E-2</v>
      </c>
      <c r="P214" s="199">
        <f t="shared" si="180"/>
        <v>7.7841705461445518E-2</v>
      </c>
      <c r="Q214" s="199">
        <f t="shared" ref="Q214:S214" si="181">IF(Q$20, $H164, $H161)</f>
        <v>7.7841705461445518E-2</v>
      </c>
      <c r="R214" s="199">
        <f t="shared" si="181"/>
        <v>7.7841705461445518E-2</v>
      </c>
      <c r="S214" s="199">
        <f t="shared" si="181"/>
        <v>7.7841705461445518E-2</v>
      </c>
      <c r="T214" s="199">
        <f t="shared" ref="T214:U214" si="182">IF(T$20, $H164, $H161)</f>
        <v>7.7841705461445518E-2</v>
      </c>
      <c r="U214" s="199">
        <f t="shared" si="182"/>
        <v>7.7841705461445518E-2</v>
      </c>
      <c r="V214" s="199">
        <f t="shared" ref="V214:W214" si="183">IF(V$20, $H164, $H161)</f>
        <v>7.7841705461445518E-2</v>
      </c>
      <c r="W214" s="199">
        <f t="shared" si="183"/>
        <v>7.7841705461445518E-2</v>
      </c>
      <c r="X214" s="199">
        <f t="shared" ref="X214:Y214" si="184">IF(X$20, $H164, $H161)</f>
        <v>7.7841705461445518E-2</v>
      </c>
      <c r="Y214" s="199">
        <f t="shared" si="184"/>
        <v>7.7841705461445518E-2</v>
      </c>
    </row>
    <row r="215" spans="3:27" x14ac:dyDescent="0.25">
      <c r="E215" s="86"/>
      <c r="F215" s="118"/>
      <c r="G215" s="94"/>
      <c r="H215" s="155"/>
      <c r="J215" s="190"/>
      <c r="K215" s="190"/>
      <c r="L215" s="190"/>
      <c r="M215" s="190"/>
      <c r="N215" s="190"/>
      <c r="O215" s="190"/>
      <c r="P215" s="190"/>
      <c r="Q215" s="190"/>
      <c r="R215" s="190"/>
      <c r="S215" s="190"/>
      <c r="T215" s="190"/>
      <c r="U215" s="190"/>
      <c r="V215" s="190"/>
      <c r="W215" s="190"/>
      <c r="X215" s="190"/>
      <c r="Y215" s="190"/>
    </row>
    <row r="216" spans="3:27" x14ac:dyDescent="0.25">
      <c r="E216" s="75" t="s">
        <v>442</v>
      </c>
      <c r="G216" s="94"/>
    </row>
    <row r="217" spans="3:27" x14ac:dyDescent="0.25">
      <c r="E217" s="86"/>
      <c r="F217" s="116" t="s">
        <v>420</v>
      </c>
      <c r="G217" s="98" t="s">
        <v>165</v>
      </c>
      <c r="H217" s="154"/>
      <c r="I217" s="95"/>
      <c r="J217" s="198">
        <f t="shared" ref="J217:K217" si="185">IF(J$20, $H170, $H167)</f>
        <v>0.61002286090315028</v>
      </c>
      <c r="K217" s="198">
        <f t="shared" si="185"/>
        <v>0.61002286090315028</v>
      </c>
      <c r="L217" s="198">
        <f t="shared" ref="L217:M217" si="186">IF(L$20, $H170, $H167)</f>
        <v>0.61002286090315028</v>
      </c>
      <c r="M217" s="198">
        <f t="shared" si="186"/>
        <v>0.61002286090315028</v>
      </c>
      <c r="N217" s="198">
        <f t="shared" ref="N217:P217" si="187">IF(N$20, $H170, $H167)</f>
        <v>0.61002286090315028</v>
      </c>
      <c r="O217" s="198">
        <f t="shared" si="187"/>
        <v>0.61002286090315028</v>
      </c>
      <c r="P217" s="198">
        <f t="shared" si="187"/>
        <v>0.61002286090315028</v>
      </c>
      <c r="Q217" s="198">
        <f t="shared" ref="Q217:S217" si="188">IF(Q$20, $H170, $H167)</f>
        <v>0.5798279501794078</v>
      </c>
      <c r="R217" s="198">
        <f t="shared" si="188"/>
        <v>0.61002286090315028</v>
      </c>
      <c r="S217" s="198">
        <f t="shared" si="188"/>
        <v>0.61002286090315028</v>
      </c>
      <c r="T217" s="198">
        <f t="shared" ref="T217:U217" si="189">IF(T$20, $H170, $H167)</f>
        <v>0.61002286090315028</v>
      </c>
      <c r="U217" s="198">
        <f t="shared" si="189"/>
        <v>0.61002286090315028</v>
      </c>
      <c r="V217" s="198">
        <f t="shared" ref="V217:W217" si="190">IF(V$20, $H170, $H167)</f>
        <v>0.61002286090315028</v>
      </c>
      <c r="W217" s="198">
        <f t="shared" si="190"/>
        <v>0.61002286090315028</v>
      </c>
      <c r="X217" s="198">
        <f t="shared" ref="X217:Y217" si="191">IF(X$20, $H170, $H167)</f>
        <v>0.61002286090315028</v>
      </c>
      <c r="Y217" s="198">
        <f t="shared" si="191"/>
        <v>0.61002286090315028</v>
      </c>
    </row>
    <row r="218" spans="3:27" x14ac:dyDescent="0.25">
      <c r="E218" s="86"/>
      <c r="F218" s="118" t="s">
        <v>421</v>
      </c>
      <c r="G218" s="94" t="s">
        <v>165</v>
      </c>
      <c r="H218" s="155"/>
      <c r="J218" s="190">
        <f t="shared" ref="J218:K218" si="192">IF(J$20, $H171, $H168)</f>
        <v>0.31213543363540425</v>
      </c>
      <c r="K218" s="190">
        <f t="shared" si="192"/>
        <v>0.31213543363540425</v>
      </c>
      <c r="L218" s="190">
        <f t="shared" ref="L218:M218" si="193">IF(L$20, $H171, $H168)</f>
        <v>0.31213543363540425</v>
      </c>
      <c r="M218" s="190">
        <f t="shared" si="193"/>
        <v>0.31213543363540425</v>
      </c>
      <c r="N218" s="190">
        <f t="shared" ref="N218:P218" si="194">IF(N$20, $H171, $H168)</f>
        <v>0.31213543363540425</v>
      </c>
      <c r="O218" s="190">
        <f t="shared" si="194"/>
        <v>0.31213543363540425</v>
      </c>
      <c r="P218" s="190">
        <f t="shared" si="194"/>
        <v>0.31213543363540425</v>
      </c>
      <c r="Q218" s="190">
        <f t="shared" ref="Q218:S218" si="195">IF(Q$20, $H171, $H168)</f>
        <v>0.34233034435914667</v>
      </c>
      <c r="R218" s="190">
        <f t="shared" si="195"/>
        <v>0.31213543363540425</v>
      </c>
      <c r="S218" s="190">
        <f t="shared" si="195"/>
        <v>0.31213543363540425</v>
      </c>
      <c r="T218" s="190">
        <f t="shared" ref="T218:U218" si="196">IF(T$20, $H171, $H168)</f>
        <v>0.31213543363540425</v>
      </c>
      <c r="U218" s="190">
        <f t="shared" si="196"/>
        <v>0.31213543363540425</v>
      </c>
      <c r="V218" s="190">
        <f t="shared" ref="V218:W218" si="197">IF(V$20, $H171, $H168)</f>
        <v>0.31213543363540425</v>
      </c>
      <c r="W218" s="190">
        <f t="shared" si="197"/>
        <v>0.31213543363540425</v>
      </c>
      <c r="X218" s="190">
        <f t="shared" ref="X218:Y218" si="198">IF(X$20, $H171, $H168)</f>
        <v>0.31213543363540425</v>
      </c>
      <c r="Y218" s="190">
        <f t="shared" si="198"/>
        <v>0.31213543363540425</v>
      </c>
    </row>
    <row r="219" spans="3:27" x14ac:dyDescent="0.25">
      <c r="E219" s="86"/>
      <c r="F219" s="120" t="s">
        <v>255</v>
      </c>
      <c r="G219" s="101" t="s">
        <v>165</v>
      </c>
      <c r="H219" s="186"/>
      <c r="I219" s="96"/>
      <c r="J219" s="199">
        <f t="shared" ref="J219:K219" si="199">IF(J$20, $H172, $H169)</f>
        <v>7.7841705461445518E-2</v>
      </c>
      <c r="K219" s="199">
        <f t="shared" si="199"/>
        <v>7.7841705461445518E-2</v>
      </c>
      <c r="L219" s="199">
        <f t="shared" ref="L219:M219" si="200">IF(L$20, $H172, $H169)</f>
        <v>7.7841705461445518E-2</v>
      </c>
      <c r="M219" s="199">
        <f t="shared" si="200"/>
        <v>7.7841705461445518E-2</v>
      </c>
      <c r="N219" s="199">
        <f t="shared" ref="N219:P219" si="201">IF(N$20, $H172, $H169)</f>
        <v>7.7841705461445518E-2</v>
      </c>
      <c r="O219" s="199">
        <f t="shared" si="201"/>
        <v>7.7841705461445518E-2</v>
      </c>
      <c r="P219" s="199">
        <f t="shared" si="201"/>
        <v>7.7841705461445518E-2</v>
      </c>
      <c r="Q219" s="199">
        <f t="shared" ref="Q219:S219" si="202">IF(Q$20, $H172, $H169)</f>
        <v>7.7841705461445518E-2</v>
      </c>
      <c r="R219" s="199">
        <f t="shared" si="202"/>
        <v>7.7841705461445518E-2</v>
      </c>
      <c r="S219" s="199">
        <f t="shared" si="202"/>
        <v>7.7841705461445518E-2</v>
      </c>
      <c r="T219" s="199">
        <f t="shared" ref="T219:U219" si="203">IF(T$20, $H172, $H169)</f>
        <v>7.7841705461445518E-2</v>
      </c>
      <c r="U219" s="199">
        <f t="shared" si="203"/>
        <v>7.7841705461445518E-2</v>
      </c>
      <c r="V219" s="199">
        <f t="shared" ref="V219:W219" si="204">IF(V$20, $H172, $H169)</f>
        <v>7.7841705461445518E-2</v>
      </c>
      <c r="W219" s="199">
        <f t="shared" si="204"/>
        <v>7.7841705461445518E-2</v>
      </c>
      <c r="X219" s="199">
        <f t="shared" ref="X219:Y219" si="205">IF(X$20, $H172, $H169)</f>
        <v>7.7841705461445518E-2</v>
      </c>
      <c r="Y219" s="199">
        <f t="shared" si="205"/>
        <v>7.7841705461445518E-2</v>
      </c>
    </row>
    <row r="220" spans="3:27" x14ac:dyDescent="0.25">
      <c r="D220" s="86"/>
      <c r="E220" s="118"/>
      <c r="G220" s="94"/>
      <c r="H220" s="155"/>
      <c r="J220" s="190"/>
      <c r="K220" s="190"/>
      <c r="L220" s="190"/>
      <c r="M220" s="190"/>
      <c r="N220" s="190"/>
      <c r="O220" s="190"/>
      <c r="P220" s="190"/>
      <c r="Q220" s="190"/>
      <c r="R220" s="190"/>
      <c r="S220" s="190"/>
      <c r="T220" s="190"/>
      <c r="U220" s="190"/>
      <c r="V220" s="190"/>
      <c r="W220" s="190"/>
      <c r="X220" s="190"/>
      <c r="Y220" s="190"/>
    </row>
    <row r="221" spans="3:27" x14ac:dyDescent="0.2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25">
      <c r="D222" s="86"/>
      <c r="E222" s="118"/>
      <c r="G222" s="94"/>
      <c r="H222" s="155"/>
      <c r="J222" s="190"/>
      <c r="K222" s="190"/>
      <c r="L222" s="190"/>
      <c r="M222" s="190"/>
      <c r="N222" s="190"/>
      <c r="O222" s="190"/>
      <c r="P222" s="190"/>
      <c r="Q222" s="190"/>
      <c r="R222" s="190"/>
      <c r="S222" s="190"/>
      <c r="T222" s="190"/>
      <c r="U222" s="190"/>
      <c r="V222" s="190"/>
      <c r="W222" s="190"/>
      <c r="X222" s="190"/>
      <c r="Y222" s="190"/>
    </row>
    <row r="223" spans="3:27" x14ac:dyDescent="0.25">
      <c r="E223" s="75" t="s">
        <v>443</v>
      </c>
      <c r="G223" s="94"/>
    </row>
    <row r="224" spans="3:27" x14ac:dyDescent="0.25">
      <c r="F224" s="98" t="s">
        <v>420</v>
      </c>
      <c r="G224" s="98" t="s">
        <v>444</v>
      </c>
      <c r="H224" s="95"/>
      <c r="I224" s="95"/>
      <c r="J224" s="222">
        <f t="shared" ref="J224:Y224" si="206">1 / J24</f>
        <v>1.0946907498631637E-3</v>
      </c>
      <c r="K224" s="222">
        <f t="shared" si="206"/>
        <v>1.0946907498631637E-3</v>
      </c>
      <c r="L224" s="222">
        <f t="shared" si="206"/>
        <v>1.0946907498631637E-3</v>
      </c>
      <c r="M224" s="222">
        <f t="shared" si="206"/>
        <v>1.0946907498631637E-3</v>
      </c>
      <c r="N224" s="222">
        <f t="shared" si="206"/>
        <v>1.0946907498631637E-3</v>
      </c>
      <c r="O224" s="222">
        <f t="shared" si="206"/>
        <v>1.0946907498631637E-3</v>
      </c>
      <c r="P224" s="222">
        <f t="shared" si="206"/>
        <v>1.0946907498631637E-3</v>
      </c>
      <c r="Q224" s="222">
        <f t="shared" si="206"/>
        <v>3.3613445378151263E-3</v>
      </c>
      <c r="R224" s="222">
        <f t="shared" si="206"/>
        <v>1.0946907498631637E-3</v>
      </c>
      <c r="S224" s="222">
        <f t="shared" si="206"/>
        <v>1.0946907498631637E-3</v>
      </c>
      <c r="T224" s="222">
        <f t="shared" si="206"/>
        <v>1.0946907498631637E-3</v>
      </c>
      <c r="U224" s="222">
        <f t="shared" si="206"/>
        <v>1.0946907498631637E-3</v>
      </c>
      <c r="V224" s="222">
        <f t="shared" si="206"/>
        <v>1.0946907498631637E-3</v>
      </c>
      <c r="W224" s="222">
        <f t="shared" si="206"/>
        <v>1.0946907498631637E-3</v>
      </c>
      <c r="X224" s="222">
        <f t="shared" si="206"/>
        <v>1.0946907498631637E-3</v>
      </c>
      <c r="Y224" s="222">
        <f t="shared" si="206"/>
        <v>1.0946907498631637E-3</v>
      </c>
    </row>
    <row r="225" spans="5:25" x14ac:dyDescent="0.25">
      <c r="F225" s="94" t="s">
        <v>421</v>
      </c>
      <c r="G225" s="94" t="s">
        <v>444</v>
      </c>
      <c r="J225" s="106">
        <f t="shared" ref="J225:Y225" si="207">1 / J25</f>
        <v>3.6489691662105453E-4</v>
      </c>
      <c r="K225" s="106">
        <f t="shared" si="207"/>
        <v>3.6489691662105453E-4</v>
      </c>
      <c r="L225" s="106">
        <f t="shared" si="207"/>
        <v>3.6489691662105453E-4</v>
      </c>
      <c r="M225" s="106">
        <f t="shared" si="207"/>
        <v>3.6489691662105453E-4</v>
      </c>
      <c r="N225" s="106">
        <f t="shared" si="207"/>
        <v>3.6489691662105453E-4</v>
      </c>
      <c r="O225" s="106">
        <f t="shared" si="207"/>
        <v>3.6489691662105453E-4</v>
      </c>
      <c r="P225" s="106">
        <f t="shared" si="207"/>
        <v>3.6489691662105453E-4</v>
      </c>
      <c r="Q225" s="106">
        <f t="shared" si="207"/>
        <v>2.9792939073439596E-4</v>
      </c>
      <c r="R225" s="106">
        <f t="shared" si="207"/>
        <v>3.6489691662105453E-4</v>
      </c>
      <c r="S225" s="106">
        <f t="shared" si="207"/>
        <v>3.6489691662105453E-4</v>
      </c>
      <c r="T225" s="106">
        <f t="shared" si="207"/>
        <v>3.6489691662105453E-4</v>
      </c>
      <c r="U225" s="106">
        <f t="shared" si="207"/>
        <v>3.6489691662105453E-4</v>
      </c>
      <c r="V225" s="106">
        <f t="shared" si="207"/>
        <v>3.6489691662105453E-4</v>
      </c>
      <c r="W225" s="106">
        <f t="shared" si="207"/>
        <v>3.6489691662105453E-4</v>
      </c>
      <c r="X225" s="106">
        <f t="shared" si="207"/>
        <v>3.6489691662105453E-4</v>
      </c>
      <c r="Y225" s="106">
        <f t="shared" si="207"/>
        <v>3.6489691662105453E-4</v>
      </c>
    </row>
    <row r="226" spans="5:25" x14ac:dyDescent="0.25">
      <c r="F226" s="101" t="s">
        <v>255</v>
      </c>
      <c r="G226" s="101" t="s">
        <v>444</v>
      </c>
      <c r="H226" s="96"/>
      <c r="I226" s="96"/>
      <c r="J226" s="195">
        <f t="shared" ref="J226:Y226" si="208">1 / J26</f>
        <v>1.9584802193497845E-4</v>
      </c>
      <c r="K226" s="195">
        <f t="shared" si="208"/>
        <v>1.9584802193497845E-4</v>
      </c>
      <c r="L226" s="195">
        <f t="shared" si="208"/>
        <v>1.9584802193497845E-4</v>
      </c>
      <c r="M226" s="195">
        <f t="shared" si="208"/>
        <v>1.9584802193497845E-4</v>
      </c>
      <c r="N226" s="195">
        <f t="shared" si="208"/>
        <v>1.9584802193497845E-4</v>
      </c>
      <c r="O226" s="195">
        <f t="shared" si="208"/>
        <v>1.9584802193497845E-4</v>
      </c>
      <c r="P226" s="195">
        <f t="shared" si="208"/>
        <v>1.9584802193497845E-4</v>
      </c>
      <c r="Q226" s="195">
        <f t="shared" si="208"/>
        <v>1.9584802193497845E-4</v>
      </c>
      <c r="R226" s="195">
        <f t="shared" si="208"/>
        <v>1.9584802193497845E-4</v>
      </c>
      <c r="S226" s="195">
        <f t="shared" si="208"/>
        <v>1.9584802193497845E-4</v>
      </c>
      <c r="T226" s="195">
        <f t="shared" si="208"/>
        <v>1.9584802193497845E-4</v>
      </c>
      <c r="U226" s="195">
        <f t="shared" si="208"/>
        <v>1.9584802193497845E-4</v>
      </c>
      <c r="V226" s="195">
        <f t="shared" si="208"/>
        <v>1.9584802193497845E-4</v>
      </c>
      <c r="W226" s="195">
        <f t="shared" si="208"/>
        <v>1.9584802193497845E-4</v>
      </c>
      <c r="X226" s="195">
        <f t="shared" si="208"/>
        <v>1.9584802193497845E-4</v>
      </c>
      <c r="Y226" s="195">
        <f t="shared" si="208"/>
        <v>1.9584802193497845E-4</v>
      </c>
    </row>
    <row r="227" spans="5:25" x14ac:dyDescent="0.25">
      <c r="G227" s="94"/>
      <c r="J227" s="106"/>
      <c r="K227" s="106"/>
      <c r="L227" s="106"/>
      <c r="M227" s="106"/>
      <c r="N227" s="106"/>
      <c r="O227" s="106"/>
      <c r="P227" s="106"/>
      <c r="Q227" s="106"/>
      <c r="R227" s="106"/>
      <c r="S227" s="106"/>
      <c r="T227" s="106"/>
      <c r="U227" s="106"/>
      <c r="V227" s="106"/>
      <c r="W227" s="106"/>
      <c r="X227" s="106"/>
      <c r="Y227" s="106"/>
    </row>
    <row r="228" spans="5:25" x14ac:dyDescent="0.25">
      <c r="E228" s="75" t="s">
        <v>154</v>
      </c>
      <c r="G228" s="94"/>
      <c r="J228" s="106"/>
      <c r="K228" s="106"/>
      <c r="L228" s="106"/>
      <c r="M228" s="106"/>
      <c r="N228" s="106"/>
      <c r="O228" s="106"/>
      <c r="P228" s="106"/>
      <c r="Q228" s="106"/>
      <c r="R228" s="106"/>
      <c r="S228" s="106"/>
      <c r="T228" s="106"/>
      <c r="U228" s="106"/>
      <c r="V228" s="106"/>
      <c r="W228" s="106"/>
      <c r="X228" s="106"/>
      <c r="Y228" s="106"/>
    </row>
    <row r="229" spans="5:25" x14ac:dyDescent="0.25">
      <c r="F229" s="223" t="s">
        <v>189</v>
      </c>
      <c r="G229" s="98" t="s">
        <v>281</v>
      </c>
      <c r="H229" s="95"/>
      <c r="I229" s="95"/>
      <c r="J229" s="146">
        <f>J177 * J$224 * hours_in_year</f>
        <v>8.5463292888190203</v>
      </c>
      <c r="K229" s="146">
        <f t="shared" ref="K229:Y229" si="209">K177 * K$224 * hours_in_year</f>
        <v>8.5463292888190203</v>
      </c>
      <c r="L229" s="146">
        <f t="shared" si="209"/>
        <v>8.5463292888190203</v>
      </c>
      <c r="M229" s="146">
        <f t="shared" si="209"/>
        <v>8.5463292888190203</v>
      </c>
      <c r="N229" s="146">
        <f t="shared" si="209"/>
        <v>8.5463292888190203</v>
      </c>
      <c r="O229" s="146">
        <f t="shared" si="209"/>
        <v>8.5463292888190203</v>
      </c>
      <c r="P229" s="146">
        <f t="shared" si="209"/>
        <v>8.5463292888190203</v>
      </c>
      <c r="Q229" s="146">
        <f t="shared" si="209"/>
        <v>24.900706030696664</v>
      </c>
      <c r="R229" s="146">
        <f t="shared" si="209"/>
        <v>8.5463292888190203</v>
      </c>
      <c r="S229" s="146">
        <f t="shared" si="209"/>
        <v>8.5463292888190203</v>
      </c>
      <c r="T229" s="146">
        <f t="shared" si="209"/>
        <v>8.5463292888190203</v>
      </c>
      <c r="U229" s="146">
        <f t="shared" si="209"/>
        <v>8.5463292888190203</v>
      </c>
      <c r="V229" s="146">
        <f t="shared" si="209"/>
        <v>8.5463292888190203</v>
      </c>
      <c r="W229" s="146">
        <f t="shared" si="209"/>
        <v>8.5463292888190203</v>
      </c>
      <c r="X229" s="146">
        <f t="shared" si="209"/>
        <v>8.5463292888190203</v>
      </c>
      <c r="Y229" s="146">
        <f t="shared" si="209"/>
        <v>8.5463292888190203</v>
      </c>
    </row>
    <row r="230" spans="5:25" x14ac:dyDescent="0.25">
      <c r="F230" s="224" t="s">
        <v>190</v>
      </c>
      <c r="G230" s="94" t="s">
        <v>281</v>
      </c>
      <c r="J230" s="146">
        <f t="shared" ref="J230:Y230" si="210">J182 * J224 * hours_in_year</f>
        <v>6.309499959591288</v>
      </c>
      <c r="K230" s="146">
        <f t="shared" si="210"/>
        <v>6.309499959591288</v>
      </c>
      <c r="L230" s="146">
        <f t="shared" si="210"/>
        <v>6.309499959591288</v>
      </c>
      <c r="M230" s="146">
        <f t="shared" si="210"/>
        <v>6.309499959591288</v>
      </c>
      <c r="N230" s="146">
        <f t="shared" si="210"/>
        <v>6.309499959591288</v>
      </c>
      <c r="O230" s="146">
        <f t="shared" si="210"/>
        <v>6.309499959591288</v>
      </c>
      <c r="P230" s="146">
        <f t="shared" si="210"/>
        <v>6.309499959591288</v>
      </c>
      <c r="Q230" s="146">
        <f t="shared" si="210"/>
        <v>19.305136941451202</v>
      </c>
      <c r="R230" s="146">
        <f t="shared" si="210"/>
        <v>6.309499959591288</v>
      </c>
      <c r="S230" s="146">
        <f t="shared" si="210"/>
        <v>6.309499959591288</v>
      </c>
      <c r="T230" s="146">
        <f t="shared" si="210"/>
        <v>6.309499959591288</v>
      </c>
      <c r="U230" s="146">
        <f t="shared" si="210"/>
        <v>6.309499959591288</v>
      </c>
      <c r="V230" s="146">
        <f t="shared" si="210"/>
        <v>6.309499959591288</v>
      </c>
      <c r="W230" s="146">
        <f t="shared" si="210"/>
        <v>6.309499959591288</v>
      </c>
      <c r="X230" s="146">
        <f t="shared" si="210"/>
        <v>6.309499959591288</v>
      </c>
      <c r="Y230" s="146">
        <f t="shared" si="210"/>
        <v>6.309499959591288</v>
      </c>
    </row>
    <row r="231" spans="5:25" x14ac:dyDescent="0.25">
      <c r="F231" s="224" t="s">
        <v>191</v>
      </c>
      <c r="G231" s="94" t="s">
        <v>281</v>
      </c>
      <c r="J231" s="146">
        <f t="shared" ref="J231:Y231" si="211">J187 * J224 * hours_in_year</f>
        <v>6.309499959591288</v>
      </c>
      <c r="K231" s="146">
        <f t="shared" si="211"/>
        <v>6.309499959591288</v>
      </c>
      <c r="L231" s="146">
        <f t="shared" si="211"/>
        <v>6.309499959591288</v>
      </c>
      <c r="M231" s="146">
        <f t="shared" si="211"/>
        <v>6.309499959591288</v>
      </c>
      <c r="N231" s="146">
        <f t="shared" si="211"/>
        <v>6.309499959591288</v>
      </c>
      <c r="O231" s="146">
        <f t="shared" si="211"/>
        <v>6.309499959591288</v>
      </c>
      <c r="P231" s="146">
        <f t="shared" si="211"/>
        <v>6.309499959591288</v>
      </c>
      <c r="Q231" s="146">
        <f t="shared" si="211"/>
        <v>19.305136941451202</v>
      </c>
      <c r="R231" s="146">
        <f t="shared" si="211"/>
        <v>6.309499959591288</v>
      </c>
      <c r="S231" s="146">
        <f t="shared" si="211"/>
        <v>6.309499959591288</v>
      </c>
      <c r="T231" s="146">
        <f t="shared" si="211"/>
        <v>6.309499959591288</v>
      </c>
      <c r="U231" s="146">
        <f t="shared" si="211"/>
        <v>6.309499959591288</v>
      </c>
      <c r="V231" s="146">
        <f t="shared" si="211"/>
        <v>6.309499959591288</v>
      </c>
      <c r="W231" s="146">
        <f t="shared" si="211"/>
        <v>6.309499959591288</v>
      </c>
      <c r="X231" s="146">
        <f t="shared" si="211"/>
        <v>6.309499959591288</v>
      </c>
      <c r="Y231" s="146">
        <f t="shared" si="211"/>
        <v>6.309499959591288</v>
      </c>
    </row>
    <row r="232" spans="5:25" x14ac:dyDescent="0.25">
      <c r="F232" s="224" t="s">
        <v>192</v>
      </c>
      <c r="G232" s="94" t="s">
        <v>281</v>
      </c>
      <c r="J232" s="146">
        <f t="shared" ref="J232:Y232" si="212">J192 * J224 * hours_in_year</f>
        <v>5.8498087153930998</v>
      </c>
      <c r="K232" s="146">
        <f t="shared" si="212"/>
        <v>5.8498087153930998</v>
      </c>
      <c r="L232" s="146">
        <f t="shared" si="212"/>
        <v>5.8498087153930998</v>
      </c>
      <c r="M232" s="146">
        <f t="shared" si="212"/>
        <v>5.8498087153930998</v>
      </c>
      <c r="N232" s="146">
        <f t="shared" si="212"/>
        <v>5.8498087153930998</v>
      </c>
      <c r="O232" s="146">
        <f t="shared" si="212"/>
        <v>5.8498087153930998</v>
      </c>
      <c r="P232" s="146">
        <f t="shared" si="212"/>
        <v>5.8498087153930998</v>
      </c>
      <c r="Q232" s="146">
        <f t="shared" si="212"/>
        <v>17.073253255702898</v>
      </c>
      <c r="R232" s="146">
        <f t="shared" si="212"/>
        <v>5.8498087153930998</v>
      </c>
      <c r="S232" s="146">
        <f t="shared" si="212"/>
        <v>5.8498087153930998</v>
      </c>
      <c r="T232" s="146">
        <f t="shared" si="212"/>
        <v>5.8498087153930998</v>
      </c>
      <c r="U232" s="146">
        <f t="shared" si="212"/>
        <v>5.8498087153930998</v>
      </c>
      <c r="V232" s="146">
        <f t="shared" si="212"/>
        <v>5.8498087153930998</v>
      </c>
      <c r="W232" s="146">
        <f t="shared" si="212"/>
        <v>5.8498087153930998</v>
      </c>
      <c r="X232" s="146">
        <f t="shared" si="212"/>
        <v>5.8498087153930998</v>
      </c>
      <c r="Y232" s="146">
        <f t="shared" si="212"/>
        <v>5.8498087153930998</v>
      </c>
    </row>
    <row r="233" spans="5:25" x14ac:dyDescent="0.25">
      <c r="F233" s="224" t="s">
        <v>193</v>
      </c>
      <c r="G233" s="94" t="s">
        <v>281</v>
      </c>
      <c r="J233" s="146">
        <f t="shared" ref="J233:Y233" si="213">J197 * J224 * hours_in_year</f>
        <v>5.8498087153930998</v>
      </c>
      <c r="K233" s="146">
        <f t="shared" si="213"/>
        <v>5.8498087153930998</v>
      </c>
      <c r="L233" s="146">
        <f t="shared" si="213"/>
        <v>5.8498087153930998</v>
      </c>
      <c r="M233" s="146">
        <f t="shared" si="213"/>
        <v>5.8498087153930998</v>
      </c>
      <c r="N233" s="146">
        <f t="shared" si="213"/>
        <v>5.8498087153930998</v>
      </c>
      <c r="O233" s="146">
        <f t="shared" si="213"/>
        <v>5.8498087153930998</v>
      </c>
      <c r="P233" s="146">
        <f t="shared" si="213"/>
        <v>5.8498087153930998</v>
      </c>
      <c r="Q233" s="146">
        <f t="shared" si="213"/>
        <v>17.073253255702898</v>
      </c>
      <c r="R233" s="146">
        <f t="shared" si="213"/>
        <v>5.8498087153930998</v>
      </c>
      <c r="S233" s="146">
        <f t="shared" si="213"/>
        <v>5.8498087153930998</v>
      </c>
      <c r="T233" s="146">
        <f t="shared" si="213"/>
        <v>5.8498087153930998</v>
      </c>
      <c r="U233" s="146">
        <f t="shared" si="213"/>
        <v>5.8498087153930998</v>
      </c>
      <c r="V233" s="146">
        <f t="shared" si="213"/>
        <v>5.8498087153930998</v>
      </c>
      <c r="W233" s="146">
        <f t="shared" si="213"/>
        <v>5.8498087153930998</v>
      </c>
      <c r="X233" s="146">
        <f t="shared" si="213"/>
        <v>5.8498087153930998</v>
      </c>
      <c r="Y233" s="146">
        <f t="shared" si="213"/>
        <v>5.8498087153930998</v>
      </c>
    </row>
    <row r="234" spans="5:25" x14ac:dyDescent="0.25">
      <c r="F234" s="224" t="s">
        <v>194</v>
      </c>
      <c r="G234" s="94" t="s">
        <v>281</v>
      </c>
      <c r="J234" s="146">
        <f t="shared" ref="J234:Y234" si="214">J202 * J224 * hours_in_year</f>
        <v>0</v>
      </c>
      <c r="K234" s="146">
        <f t="shared" si="214"/>
        <v>0</v>
      </c>
      <c r="L234" s="146">
        <f t="shared" si="214"/>
        <v>0</v>
      </c>
      <c r="M234" s="146">
        <f t="shared" si="214"/>
        <v>0</v>
      </c>
      <c r="N234" s="146">
        <f t="shared" si="214"/>
        <v>0</v>
      </c>
      <c r="O234" s="146">
        <f t="shared" si="214"/>
        <v>0</v>
      </c>
      <c r="P234" s="146">
        <f t="shared" si="214"/>
        <v>0</v>
      </c>
      <c r="Q234" s="146">
        <f t="shared" si="214"/>
        <v>0</v>
      </c>
      <c r="R234" s="146">
        <f t="shared" si="214"/>
        <v>0</v>
      </c>
      <c r="S234" s="146">
        <f t="shared" si="214"/>
        <v>0</v>
      </c>
      <c r="T234" s="146">
        <f t="shared" si="214"/>
        <v>0</v>
      </c>
      <c r="U234" s="146">
        <f t="shared" si="214"/>
        <v>0</v>
      </c>
      <c r="V234" s="146">
        <f t="shared" si="214"/>
        <v>0</v>
      </c>
      <c r="W234" s="146">
        <f t="shared" si="214"/>
        <v>0</v>
      </c>
      <c r="X234" s="146">
        <f t="shared" si="214"/>
        <v>0</v>
      </c>
      <c r="Y234" s="146">
        <f t="shared" si="214"/>
        <v>0</v>
      </c>
    </row>
    <row r="235" spans="5:25" x14ac:dyDescent="0.25">
      <c r="F235" s="224" t="s">
        <v>195</v>
      </c>
      <c r="G235" s="94" t="s">
        <v>281</v>
      </c>
      <c r="J235" s="146">
        <f t="shared" ref="J235:Y235" si="215">J207 * J224 * hours_in_year</f>
        <v>5.8498087153930998</v>
      </c>
      <c r="K235" s="146">
        <f t="shared" si="215"/>
        <v>5.8498087153930998</v>
      </c>
      <c r="L235" s="146">
        <f t="shared" si="215"/>
        <v>5.8498087153930998</v>
      </c>
      <c r="M235" s="146">
        <f t="shared" si="215"/>
        <v>5.8498087153930998</v>
      </c>
      <c r="N235" s="146">
        <f t="shared" si="215"/>
        <v>5.8498087153930998</v>
      </c>
      <c r="O235" s="146">
        <f t="shared" si="215"/>
        <v>5.8498087153930998</v>
      </c>
      <c r="P235" s="146">
        <f t="shared" si="215"/>
        <v>5.8498087153930998</v>
      </c>
      <c r="Q235" s="146">
        <f t="shared" si="215"/>
        <v>17.073253255702898</v>
      </c>
      <c r="R235" s="146">
        <f t="shared" si="215"/>
        <v>5.8498087153930998</v>
      </c>
      <c r="S235" s="146">
        <f t="shared" si="215"/>
        <v>5.8498087153930998</v>
      </c>
      <c r="T235" s="146">
        <f t="shared" si="215"/>
        <v>5.8498087153930998</v>
      </c>
      <c r="U235" s="146">
        <f t="shared" si="215"/>
        <v>5.8498087153930998</v>
      </c>
      <c r="V235" s="146">
        <f t="shared" si="215"/>
        <v>5.8498087153930998</v>
      </c>
      <c r="W235" s="146">
        <f t="shared" si="215"/>
        <v>5.8498087153930998</v>
      </c>
      <c r="X235" s="146">
        <f t="shared" si="215"/>
        <v>5.8498087153930998</v>
      </c>
      <c r="Y235" s="146">
        <f t="shared" si="215"/>
        <v>5.8498087153930998</v>
      </c>
    </row>
    <row r="236" spans="5:25" x14ac:dyDescent="0.25">
      <c r="F236" s="224" t="s">
        <v>196</v>
      </c>
      <c r="G236" s="94" t="s">
        <v>281</v>
      </c>
      <c r="J236" s="146">
        <f t="shared" ref="J236:Y236" si="216">J212 * J224 * hours_in_year</f>
        <v>5.8498087153930998</v>
      </c>
      <c r="K236" s="146">
        <f t="shared" si="216"/>
        <v>5.8498087153930998</v>
      </c>
      <c r="L236" s="146">
        <f t="shared" si="216"/>
        <v>5.8498087153930998</v>
      </c>
      <c r="M236" s="146">
        <f t="shared" si="216"/>
        <v>5.8498087153930998</v>
      </c>
      <c r="N236" s="146">
        <f t="shared" si="216"/>
        <v>5.8498087153930998</v>
      </c>
      <c r="O236" s="146">
        <f t="shared" si="216"/>
        <v>5.8498087153930998</v>
      </c>
      <c r="P236" s="146">
        <f t="shared" si="216"/>
        <v>5.8498087153930998</v>
      </c>
      <c r="Q236" s="146">
        <f t="shared" si="216"/>
        <v>17.073253255702898</v>
      </c>
      <c r="R236" s="146">
        <f t="shared" si="216"/>
        <v>5.8498087153930998</v>
      </c>
      <c r="S236" s="146">
        <f t="shared" si="216"/>
        <v>5.8498087153930998</v>
      </c>
      <c r="T236" s="146">
        <f t="shared" si="216"/>
        <v>5.8498087153930998</v>
      </c>
      <c r="U236" s="146">
        <f t="shared" si="216"/>
        <v>5.8498087153930998</v>
      </c>
      <c r="V236" s="146">
        <f t="shared" si="216"/>
        <v>5.8498087153930998</v>
      </c>
      <c r="W236" s="146">
        <f t="shared" si="216"/>
        <v>5.8498087153930998</v>
      </c>
      <c r="X236" s="146">
        <f t="shared" si="216"/>
        <v>5.8498087153930998</v>
      </c>
      <c r="Y236" s="146">
        <f t="shared" si="216"/>
        <v>5.8498087153930998</v>
      </c>
    </row>
    <row r="237" spans="5:25" x14ac:dyDescent="0.25">
      <c r="F237" s="225" t="s">
        <v>197</v>
      </c>
      <c r="G237" s="101" t="s">
        <v>281</v>
      </c>
      <c r="H237" s="96"/>
      <c r="I237" s="96"/>
      <c r="J237" s="146">
        <f t="shared" ref="J237:Y237" si="217">J217 * J224 * hours_in_year</f>
        <v>5.8498087153930998</v>
      </c>
      <c r="K237" s="146">
        <f t="shared" si="217"/>
        <v>5.8498087153930998</v>
      </c>
      <c r="L237" s="146">
        <f t="shared" si="217"/>
        <v>5.8498087153930998</v>
      </c>
      <c r="M237" s="146">
        <f t="shared" si="217"/>
        <v>5.8498087153930998</v>
      </c>
      <c r="N237" s="146">
        <f t="shared" si="217"/>
        <v>5.8498087153930998</v>
      </c>
      <c r="O237" s="146">
        <f t="shared" si="217"/>
        <v>5.8498087153930998</v>
      </c>
      <c r="P237" s="146">
        <f t="shared" si="217"/>
        <v>5.8498087153930998</v>
      </c>
      <c r="Q237" s="146">
        <f t="shared" si="217"/>
        <v>17.073253255702898</v>
      </c>
      <c r="R237" s="146">
        <f t="shared" si="217"/>
        <v>5.8498087153930998</v>
      </c>
      <c r="S237" s="146">
        <f t="shared" si="217"/>
        <v>5.8498087153930998</v>
      </c>
      <c r="T237" s="146">
        <f t="shared" si="217"/>
        <v>5.8498087153930998</v>
      </c>
      <c r="U237" s="146">
        <f t="shared" si="217"/>
        <v>5.8498087153930998</v>
      </c>
      <c r="V237" s="146">
        <f t="shared" si="217"/>
        <v>5.8498087153930998</v>
      </c>
      <c r="W237" s="146">
        <f t="shared" si="217"/>
        <v>5.8498087153930998</v>
      </c>
      <c r="X237" s="146">
        <f t="shared" si="217"/>
        <v>5.8498087153930998</v>
      </c>
      <c r="Y237" s="146">
        <f t="shared" si="217"/>
        <v>5.8498087153930998</v>
      </c>
    </row>
    <row r="238" spans="5:25" x14ac:dyDescent="0.25">
      <c r="G238" s="94"/>
      <c r="J238" s="168"/>
      <c r="K238" s="168"/>
      <c r="L238" s="168"/>
      <c r="M238" s="168"/>
      <c r="N238" s="168"/>
      <c r="O238" s="168"/>
      <c r="P238" s="168"/>
      <c r="Q238" s="168"/>
      <c r="R238" s="168"/>
      <c r="S238" s="168"/>
      <c r="T238" s="168"/>
      <c r="U238" s="168"/>
      <c r="V238" s="168"/>
      <c r="W238" s="168"/>
      <c r="X238" s="168"/>
      <c r="Y238" s="168"/>
    </row>
    <row r="239" spans="5:25" x14ac:dyDescent="0.25">
      <c r="E239" s="75" t="s">
        <v>155</v>
      </c>
      <c r="G239" s="94"/>
      <c r="J239" s="106"/>
      <c r="K239" s="106"/>
      <c r="L239" s="106"/>
      <c r="M239" s="106"/>
      <c r="N239" s="106"/>
      <c r="O239" s="106"/>
      <c r="P239" s="106"/>
      <c r="Q239" s="106"/>
      <c r="R239" s="106"/>
      <c r="S239" s="106"/>
      <c r="T239" s="106"/>
      <c r="U239" s="106"/>
      <c r="V239" s="106"/>
      <c r="W239" s="106"/>
      <c r="X239" s="106"/>
      <c r="Y239" s="106"/>
    </row>
    <row r="240" spans="5:25" x14ac:dyDescent="0.25">
      <c r="F240" s="98" t="s">
        <v>189</v>
      </c>
      <c r="G240" s="98" t="s">
        <v>281</v>
      </c>
      <c r="H240" s="95"/>
      <c r="I240" s="95"/>
      <c r="J240" s="146">
        <f t="shared" ref="J240:Y240" si="218">J178 * J225 * hours_in_year</f>
        <v>0.24784017147110024</v>
      </c>
      <c r="K240" s="146">
        <f t="shared" si="218"/>
        <v>0.24784017147110024</v>
      </c>
      <c r="L240" s="146">
        <f t="shared" si="218"/>
        <v>0.24784017147110024</v>
      </c>
      <c r="M240" s="146">
        <f t="shared" si="218"/>
        <v>0.24784017147110024</v>
      </c>
      <c r="N240" s="146">
        <f t="shared" si="218"/>
        <v>0.24784017147110024</v>
      </c>
      <c r="O240" s="146">
        <f t="shared" si="218"/>
        <v>0.24784017147110024</v>
      </c>
      <c r="P240" s="146">
        <f t="shared" si="218"/>
        <v>0.24784017147110024</v>
      </c>
      <c r="Q240" s="146">
        <f t="shared" si="218"/>
        <v>0.32126255060940467</v>
      </c>
      <c r="R240" s="146">
        <f t="shared" si="218"/>
        <v>0.24784017147110024</v>
      </c>
      <c r="S240" s="146">
        <f t="shared" si="218"/>
        <v>0.24784017147110024</v>
      </c>
      <c r="T240" s="146">
        <f t="shared" si="218"/>
        <v>0.24784017147110024</v>
      </c>
      <c r="U240" s="146">
        <f t="shared" si="218"/>
        <v>0.24784017147110024</v>
      </c>
      <c r="V240" s="146">
        <f t="shared" si="218"/>
        <v>0.24784017147110024</v>
      </c>
      <c r="W240" s="146">
        <f t="shared" si="218"/>
        <v>0.24784017147110024</v>
      </c>
      <c r="X240" s="146">
        <f t="shared" si="218"/>
        <v>0.24784017147110024</v>
      </c>
      <c r="Y240" s="146">
        <f t="shared" si="218"/>
        <v>0.24784017147110024</v>
      </c>
    </row>
    <row r="241" spans="5:25" x14ac:dyDescent="0.25">
      <c r="F241" s="94" t="s">
        <v>190</v>
      </c>
      <c r="G241" s="94" t="s">
        <v>281</v>
      </c>
      <c r="J241" s="146">
        <f t="shared" ref="J241:Y241" si="219">J183 * J225 * hours_in_year</f>
        <v>0.83030289047019967</v>
      </c>
      <c r="K241" s="146">
        <f t="shared" si="219"/>
        <v>0.83030289047019967</v>
      </c>
      <c r="L241" s="146">
        <f t="shared" si="219"/>
        <v>0.83030289047019967</v>
      </c>
      <c r="M241" s="146">
        <f t="shared" si="219"/>
        <v>0.83030289047019967</v>
      </c>
      <c r="N241" s="146">
        <f t="shared" si="219"/>
        <v>0.83030289047019967</v>
      </c>
      <c r="O241" s="146">
        <f t="shared" si="219"/>
        <v>0.83030289047019967</v>
      </c>
      <c r="P241" s="146">
        <f t="shared" si="219"/>
        <v>0.83030289047019967</v>
      </c>
      <c r="Q241" s="146">
        <f t="shared" si="219"/>
        <v>0.68401461174988554</v>
      </c>
      <c r="R241" s="146">
        <f t="shared" si="219"/>
        <v>0.83030289047019967</v>
      </c>
      <c r="S241" s="146">
        <f t="shared" si="219"/>
        <v>0.83030289047019967</v>
      </c>
      <c r="T241" s="146">
        <f t="shared" si="219"/>
        <v>0.83030289047019967</v>
      </c>
      <c r="U241" s="146">
        <f t="shared" si="219"/>
        <v>0.83030289047019967</v>
      </c>
      <c r="V241" s="146">
        <f t="shared" si="219"/>
        <v>0.83030289047019967</v>
      </c>
      <c r="W241" s="146">
        <f t="shared" si="219"/>
        <v>0.83030289047019967</v>
      </c>
      <c r="X241" s="146">
        <f t="shared" si="219"/>
        <v>0.83030289047019967</v>
      </c>
      <c r="Y241" s="146">
        <f t="shared" si="219"/>
        <v>0.83030289047019967</v>
      </c>
    </row>
    <row r="242" spans="5:25" x14ac:dyDescent="0.25">
      <c r="F242" s="94" t="s">
        <v>191</v>
      </c>
      <c r="G242" s="94" t="s">
        <v>281</v>
      </c>
      <c r="J242" s="146">
        <f t="shared" ref="J242:Y242" si="220">J188 * J225 * hours_in_year</f>
        <v>0.83030289047019967</v>
      </c>
      <c r="K242" s="146">
        <f t="shared" si="220"/>
        <v>0.83030289047019967</v>
      </c>
      <c r="L242" s="146">
        <f t="shared" si="220"/>
        <v>0.83030289047019967</v>
      </c>
      <c r="M242" s="146">
        <f t="shared" si="220"/>
        <v>0.83030289047019967</v>
      </c>
      <c r="N242" s="146">
        <f t="shared" si="220"/>
        <v>0.83030289047019967</v>
      </c>
      <c r="O242" s="146">
        <f t="shared" si="220"/>
        <v>0.83030289047019967</v>
      </c>
      <c r="P242" s="146">
        <f t="shared" si="220"/>
        <v>0.83030289047019967</v>
      </c>
      <c r="Q242" s="146">
        <f t="shared" si="220"/>
        <v>0.68401461174988554</v>
      </c>
      <c r="R242" s="146">
        <f t="shared" si="220"/>
        <v>0.83030289047019967</v>
      </c>
      <c r="S242" s="146">
        <f t="shared" si="220"/>
        <v>0.83030289047019967</v>
      </c>
      <c r="T242" s="146">
        <f t="shared" si="220"/>
        <v>0.83030289047019967</v>
      </c>
      <c r="U242" s="146">
        <f t="shared" si="220"/>
        <v>0.83030289047019967</v>
      </c>
      <c r="V242" s="146">
        <f t="shared" si="220"/>
        <v>0.83030289047019967</v>
      </c>
      <c r="W242" s="146">
        <f t="shared" si="220"/>
        <v>0.83030289047019967</v>
      </c>
      <c r="X242" s="146">
        <f t="shared" si="220"/>
        <v>0.83030289047019967</v>
      </c>
      <c r="Y242" s="146">
        <f t="shared" si="220"/>
        <v>0.83030289047019967</v>
      </c>
    </row>
    <row r="243" spans="5:25" x14ac:dyDescent="0.25">
      <c r="F243" s="94" t="s">
        <v>192</v>
      </c>
      <c r="G243" s="94" t="s">
        <v>281</v>
      </c>
      <c r="J243" s="146">
        <f t="shared" ref="J243:Y243" si="221">J193 * J225 * hours_in_year</f>
        <v>0.99773997396319691</v>
      </c>
      <c r="K243" s="146">
        <f t="shared" si="221"/>
        <v>0.99773997396319691</v>
      </c>
      <c r="L243" s="146">
        <f t="shared" si="221"/>
        <v>0.99773997396319691</v>
      </c>
      <c r="M243" s="146">
        <f t="shared" si="221"/>
        <v>0.99773997396319691</v>
      </c>
      <c r="N243" s="146">
        <f t="shared" si="221"/>
        <v>0.99773997396319691</v>
      </c>
      <c r="O243" s="146">
        <f t="shared" si="221"/>
        <v>0.99773997396319691</v>
      </c>
      <c r="P243" s="146">
        <f t="shared" si="221"/>
        <v>0.99773997396319691</v>
      </c>
      <c r="Q243" s="146">
        <f t="shared" si="221"/>
        <v>0.89343477330139276</v>
      </c>
      <c r="R243" s="146">
        <f t="shared" si="221"/>
        <v>0.99773997396319691</v>
      </c>
      <c r="S243" s="146">
        <f t="shared" si="221"/>
        <v>0.99773997396319691</v>
      </c>
      <c r="T243" s="146">
        <f t="shared" si="221"/>
        <v>0.99773997396319691</v>
      </c>
      <c r="U243" s="146">
        <f t="shared" si="221"/>
        <v>0.99773997396319691</v>
      </c>
      <c r="V243" s="146">
        <f t="shared" si="221"/>
        <v>0.99773997396319691</v>
      </c>
      <c r="W243" s="146">
        <f t="shared" si="221"/>
        <v>0.99773997396319691</v>
      </c>
      <c r="X243" s="146">
        <f t="shared" si="221"/>
        <v>0.99773997396319691</v>
      </c>
      <c r="Y243" s="146">
        <f t="shared" si="221"/>
        <v>0.99773997396319691</v>
      </c>
    </row>
    <row r="244" spans="5:25" x14ac:dyDescent="0.25">
      <c r="F244" s="94" t="s">
        <v>193</v>
      </c>
      <c r="G244" s="94" t="s">
        <v>281</v>
      </c>
      <c r="J244" s="146">
        <f t="shared" ref="J244:Y244" si="222">J198 * J225 * hours_in_year</f>
        <v>0.99773997396319691</v>
      </c>
      <c r="K244" s="146">
        <f t="shared" si="222"/>
        <v>0.99773997396319691</v>
      </c>
      <c r="L244" s="146">
        <f t="shared" si="222"/>
        <v>0.99773997396319691</v>
      </c>
      <c r="M244" s="146">
        <f t="shared" si="222"/>
        <v>0.99773997396319691</v>
      </c>
      <c r="N244" s="146">
        <f t="shared" si="222"/>
        <v>0.99773997396319691</v>
      </c>
      <c r="O244" s="146">
        <f t="shared" si="222"/>
        <v>0.99773997396319691</v>
      </c>
      <c r="P244" s="146">
        <f t="shared" si="222"/>
        <v>0.99773997396319691</v>
      </c>
      <c r="Q244" s="146">
        <f t="shared" si="222"/>
        <v>0.89343477330139276</v>
      </c>
      <c r="R244" s="146">
        <f t="shared" si="222"/>
        <v>0.99773997396319691</v>
      </c>
      <c r="S244" s="146">
        <f t="shared" si="222"/>
        <v>0.99773997396319691</v>
      </c>
      <c r="T244" s="146">
        <f t="shared" si="222"/>
        <v>0.99773997396319691</v>
      </c>
      <c r="U244" s="146">
        <f t="shared" si="222"/>
        <v>0.99773997396319691</v>
      </c>
      <c r="V244" s="146">
        <f t="shared" si="222"/>
        <v>0.99773997396319691</v>
      </c>
      <c r="W244" s="146">
        <f t="shared" si="222"/>
        <v>0.99773997396319691</v>
      </c>
      <c r="X244" s="146">
        <f t="shared" si="222"/>
        <v>0.99773997396319691</v>
      </c>
      <c r="Y244" s="146">
        <f t="shared" si="222"/>
        <v>0.99773997396319691</v>
      </c>
    </row>
    <row r="245" spans="5:25" x14ac:dyDescent="0.25">
      <c r="F245" s="94" t="s">
        <v>194</v>
      </c>
      <c r="G245" s="94" t="s">
        <v>281</v>
      </c>
      <c r="J245" s="146">
        <f t="shared" ref="J245:Y245" si="223">J203 * J225 * hours_in_year</f>
        <v>0</v>
      </c>
      <c r="K245" s="146">
        <f t="shared" si="223"/>
        <v>0</v>
      </c>
      <c r="L245" s="146">
        <f t="shared" si="223"/>
        <v>0</v>
      </c>
      <c r="M245" s="146">
        <f t="shared" si="223"/>
        <v>0</v>
      </c>
      <c r="N245" s="146">
        <f t="shared" si="223"/>
        <v>0</v>
      </c>
      <c r="O245" s="146">
        <f t="shared" si="223"/>
        <v>0</v>
      </c>
      <c r="P245" s="146">
        <f t="shared" si="223"/>
        <v>0</v>
      </c>
      <c r="Q245" s="146">
        <f t="shared" si="223"/>
        <v>0</v>
      </c>
      <c r="R245" s="146">
        <f t="shared" si="223"/>
        <v>0</v>
      </c>
      <c r="S245" s="146">
        <f t="shared" si="223"/>
        <v>0</v>
      </c>
      <c r="T245" s="146">
        <f t="shared" si="223"/>
        <v>0</v>
      </c>
      <c r="U245" s="146">
        <f t="shared" si="223"/>
        <v>0</v>
      </c>
      <c r="V245" s="146">
        <f t="shared" si="223"/>
        <v>0</v>
      </c>
      <c r="W245" s="146">
        <f t="shared" si="223"/>
        <v>0</v>
      </c>
      <c r="X245" s="146">
        <f t="shared" si="223"/>
        <v>0</v>
      </c>
      <c r="Y245" s="146">
        <f t="shared" si="223"/>
        <v>0</v>
      </c>
    </row>
    <row r="246" spans="5:25" x14ac:dyDescent="0.25">
      <c r="F246" s="94" t="s">
        <v>195</v>
      </c>
      <c r="G246" s="94" t="s">
        <v>281</v>
      </c>
      <c r="J246" s="146">
        <f t="shared" ref="J246:Y246" si="224">J208 * J225 * hours_in_year</f>
        <v>0.99773997396319691</v>
      </c>
      <c r="K246" s="146">
        <f t="shared" si="224"/>
        <v>0.99773997396319691</v>
      </c>
      <c r="L246" s="146">
        <f t="shared" si="224"/>
        <v>0.99773997396319691</v>
      </c>
      <c r="M246" s="146">
        <f t="shared" si="224"/>
        <v>0.99773997396319691</v>
      </c>
      <c r="N246" s="146">
        <f t="shared" si="224"/>
        <v>0.99773997396319691</v>
      </c>
      <c r="O246" s="146">
        <f t="shared" si="224"/>
        <v>0.99773997396319691</v>
      </c>
      <c r="P246" s="146">
        <f t="shared" si="224"/>
        <v>0.99773997396319691</v>
      </c>
      <c r="Q246" s="146">
        <f t="shared" si="224"/>
        <v>0.89343477330139276</v>
      </c>
      <c r="R246" s="146">
        <f t="shared" si="224"/>
        <v>0.99773997396319691</v>
      </c>
      <c r="S246" s="146">
        <f t="shared" si="224"/>
        <v>0.99773997396319691</v>
      </c>
      <c r="T246" s="146">
        <f t="shared" si="224"/>
        <v>0.99773997396319691</v>
      </c>
      <c r="U246" s="146">
        <f t="shared" si="224"/>
        <v>0.99773997396319691</v>
      </c>
      <c r="V246" s="146">
        <f t="shared" si="224"/>
        <v>0.99773997396319691</v>
      </c>
      <c r="W246" s="146">
        <f t="shared" si="224"/>
        <v>0.99773997396319691</v>
      </c>
      <c r="X246" s="146">
        <f t="shared" si="224"/>
        <v>0.99773997396319691</v>
      </c>
      <c r="Y246" s="146">
        <f t="shared" si="224"/>
        <v>0.99773997396319691</v>
      </c>
    </row>
    <row r="247" spans="5:25" x14ac:dyDescent="0.25">
      <c r="F247" s="94" t="s">
        <v>196</v>
      </c>
      <c r="G247" s="94" t="s">
        <v>281</v>
      </c>
      <c r="J247" s="146">
        <f t="shared" ref="J247:Y247" si="225">J213 * J225 * hours_in_year</f>
        <v>0.99773997396319691</v>
      </c>
      <c r="K247" s="146">
        <f t="shared" si="225"/>
        <v>0.99773997396319691</v>
      </c>
      <c r="L247" s="146">
        <f t="shared" si="225"/>
        <v>0.99773997396319691</v>
      </c>
      <c r="M247" s="146">
        <f t="shared" si="225"/>
        <v>0.99773997396319691</v>
      </c>
      <c r="N247" s="146">
        <f t="shared" si="225"/>
        <v>0.99773997396319691</v>
      </c>
      <c r="O247" s="146">
        <f t="shared" si="225"/>
        <v>0.99773997396319691</v>
      </c>
      <c r="P247" s="146">
        <f t="shared" si="225"/>
        <v>0.99773997396319691</v>
      </c>
      <c r="Q247" s="146">
        <f t="shared" si="225"/>
        <v>0.89343477330139276</v>
      </c>
      <c r="R247" s="146">
        <f t="shared" si="225"/>
        <v>0.99773997396319691</v>
      </c>
      <c r="S247" s="146">
        <f t="shared" si="225"/>
        <v>0.99773997396319691</v>
      </c>
      <c r="T247" s="146">
        <f t="shared" si="225"/>
        <v>0.99773997396319691</v>
      </c>
      <c r="U247" s="146">
        <f t="shared" si="225"/>
        <v>0.99773997396319691</v>
      </c>
      <c r="V247" s="146">
        <f t="shared" si="225"/>
        <v>0.99773997396319691</v>
      </c>
      <c r="W247" s="146">
        <f t="shared" si="225"/>
        <v>0.99773997396319691</v>
      </c>
      <c r="X247" s="146">
        <f t="shared" si="225"/>
        <v>0.99773997396319691</v>
      </c>
      <c r="Y247" s="146">
        <f t="shared" si="225"/>
        <v>0.99773997396319691</v>
      </c>
    </row>
    <row r="248" spans="5:25" x14ac:dyDescent="0.25">
      <c r="F248" s="101" t="s">
        <v>197</v>
      </c>
      <c r="G248" s="101" t="s">
        <v>281</v>
      </c>
      <c r="H248" s="96"/>
      <c r="I248" s="96"/>
      <c r="J248" s="146">
        <f t="shared" ref="J248:Y248" si="226">J218 * J225 * hours_in_year</f>
        <v>0.99773997396319691</v>
      </c>
      <c r="K248" s="146">
        <f t="shared" si="226"/>
        <v>0.99773997396319691</v>
      </c>
      <c r="L248" s="146">
        <f t="shared" si="226"/>
        <v>0.99773997396319691</v>
      </c>
      <c r="M248" s="146">
        <f t="shared" si="226"/>
        <v>0.99773997396319691</v>
      </c>
      <c r="N248" s="146">
        <f t="shared" si="226"/>
        <v>0.99773997396319691</v>
      </c>
      <c r="O248" s="146">
        <f t="shared" si="226"/>
        <v>0.99773997396319691</v>
      </c>
      <c r="P248" s="146">
        <f t="shared" si="226"/>
        <v>0.99773997396319691</v>
      </c>
      <c r="Q248" s="146">
        <f t="shared" si="226"/>
        <v>0.89343477330139276</v>
      </c>
      <c r="R248" s="146">
        <f t="shared" si="226"/>
        <v>0.99773997396319691</v>
      </c>
      <c r="S248" s="146">
        <f t="shared" si="226"/>
        <v>0.99773997396319691</v>
      </c>
      <c r="T248" s="146">
        <f t="shared" si="226"/>
        <v>0.99773997396319691</v>
      </c>
      <c r="U248" s="146">
        <f t="shared" si="226"/>
        <v>0.99773997396319691</v>
      </c>
      <c r="V248" s="146">
        <f t="shared" si="226"/>
        <v>0.99773997396319691</v>
      </c>
      <c r="W248" s="146">
        <f t="shared" si="226"/>
        <v>0.99773997396319691</v>
      </c>
      <c r="X248" s="146">
        <f t="shared" si="226"/>
        <v>0.99773997396319691</v>
      </c>
      <c r="Y248" s="146">
        <f t="shared" si="226"/>
        <v>0.99773997396319691</v>
      </c>
    </row>
    <row r="249" spans="5:25" x14ac:dyDescent="0.25">
      <c r="J249" s="106"/>
      <c r="K249" s="106"/>
      <c r="L249" s="106"/>
      <c r="M249" s="106"/>
      <c r="N249" s="106"/>
      <c r="O249" s="106"/>
      <c r="P249" s="106"/>
      <c r="Q249" s="106"/>
      <c r="R249" s="106"/>
      <c r="S249" s="106"/>
      <c r="T249" s="106"/>
      <c r="U249" s="106"/>
      <c r="V249" s="106"/>
      <c r="W249" s="106"/>
      <c r="X249" s="106"/>
      <c r="Y249" s="106"/>
    </row>
    <row r="250" spans="5:25" x14ac:dyDescent="0.25">
      <c r="E250" s="75" t="s">
        <v>156</v>
      </c>
      <c r="G250" s="94"/>
      <c r="J250" s="106"/>
      <c r="K250" s="106"/>
      <c r="L250" s="106"/>
      <c r="M250" s="106"/>
      <c r="N250" s="106"/>
      <c r="O250" s="106"/>
      <c r="P250" s="106"/>
      <c r="Q250" s="106"/>
      <c r="R250" s="106"/>
      <c r="S250" s="106"/>
      <c r="T250" s="106"/>
      <c r="U250" s="106"/>
      <c r="V250" s="106"/>
      <c r="W250" s="106"/>
      <c r="X250" s="106"/>
      <c r="Y250" s="106"/>
    </row>
    <row r="251" spans="5:25" x14ac:dyDescent="0.25">
      <c r="F251" s="98" t="s">
        <v>189</v>
      </c>
      <c r="G251" s="98" t="s">
        <v>281</v>
      </c>
      <c r="H251" s="95"/>
      <c r="I251" s="95"/>
      <c r="J251" s="146">
        <f t="shared" ref="J251:Y251" si="227">J179 * J226 * hours_in_year</f>
        <v>5.3607952359435114E-2</v>
      </c>
      <c r="K251" s="146">
        <f t="shared" si="227"/>
        <v>5.3607952359435114E-2</v>
      </c>
      <c r="L251" s="146">
        <f t="shared" si="227"/>
        <v>5.3607952359435114E-2</v>
      </c>
      <c r="M251" s="146">
        <f t="shared" si="227"/>
        <v>5.3607952359435114E-2</v>
      </c>
      <c r="N251" s="146">
        <f t="shared" si="227"/>
        <v>5.3607952359435114E-2</v>
      </c>
      <c r="O251" s="146">
        <f t="shared" si="227"/>
        <v>5.3607952359435114E-2</v>
      </c>
      <c r="P251" s="146">
        <f t="shared" si="227"/>
        <v>5.3607952359435114E-2</v>
      </c>
      <c r="Q251" s="146">
        <f t="shared" si="227"/>
        <v>5.3607952359435114E-2</v>
      </c>
      <c r="R251" s="146">
        <f t="shared" si="227"/>
        <v>5.3607952359435114E-2</v>
      </c>
      <c r="S251" s="146">
        <f t="shared" si="227"/>
        <v>5.3607952359435114E-2</v>
      </c>
      <c r="T251" s="146">
        <f t="shared" si="227"/>
        <v>5.3607952359435114E-2</v>
      </c>
      <c r="U251" s="146">
        <f t="shared" si="227"/>
        <v>5.3607952359435114E-2</v>
      </c>
      <c r="V251" s="146">
        <f t="shared" si="227"/>
        <v>5.3607952359435114E-2</v>
      </c>
      <c r="W251" s="146">
        <f t="shared" si="227"/>
        <v>5.3607952359435114E-2</v>
      </c>
      <c r="X251" s="146">
        <f t="shared" si="227"/>
        <v>5.3607952359435114E-2</v>
      </c>
      <c r="Y251" s="146">
        <f t="shared" si="227"/>
        <v>5.3607952359435114E-2</v>
      </c>
    </row>
    <row r="252" spans="5:25" x14ac:dyDescent="0.25">
      <c r="F252" s="94" t="s">
        <v>190</v>
      </c>
      <c r="G252" s="94" t="s">
        <v>281</v>
      </c>
      <c r="J252" s="146">
        <f t="shared" ref="J252:Y252" si="228">J184 * J226 * hours_in_year</f>
        <v>0.14117248640418639</v>
      </c>
      <c r="K252" s="146">
        <f t="shared" si="228"/>
        <v>0.14117248640418639</v>
      </c>
      <c r="L252" s="146">
        <f t="shared" si="228"/>
        <v>0.14117248640418639</v>
      </c>
      <c r="M252" s="146">
        <f t="shared" si="228"/>
        <v>0.14117248640418639</v>
      </c>
      <c r="N252" s="146">
        <f t="shared" si="228"/>
        <v>0.14117248640418639</v>
      </c>
      <c r="O252" s="146">
        <f t="shared" si="228"/>
        <v>0.14117248640418639</v>
      </c>
      <c r="P252" s="146">
        <f t="shared" si="228"/>
        <v>0.14117248640418639</v>
      </c>
      <c r="Q252" s="146">
        <f t="shared" si="228"/>
        <v>0.14117248640418639</v>
      </c>
      <c r="R252" s="146">
        <f t="shared" si="228"/>
        <v>0.14117248640418639</v>
      </c>
      <c r="S252" s="146">
        <f t="shared" si="228"/>
        <v>0.14117248640418639</v>
      </c>
      <c r="T252" s="146">
        <f t="shared" si="228"/>
        <v>0.14117248640418639</v>
      </c>
      <c r="U252" s="146">
        <f t="shared" si="228"/>
        <v>0.14117248640418639</v>
      </c>
      <c r="V252" s="146">
        <f t="shared" si="228"/>
        <v>0.14117248640418639</v>
      </c>
      <c r="W252" s="146">
        <f t="shared" si="228"/>
        <v>0.14117248640418639</v>
      </c>
      <c r="X252" s="146">
        <f t="shared" si="228"/>
        <v>0.14117248640418639</v>
      </c>
      <c r="Y252" s="146">
        <f t="shared" si="228"/>
        <v>0.14117248640418639</v>
      </c>
    </row>
    <row r="253" spans="5:25" x14ac:dyDescent="0.25">
      <c r="F253" s="94" t="s">
        <v>191</v>
      </c>
      <c r="G253" s="94" t="s">
        <v>281</v>
      </c>
      <c r="J253" s="146">
        <f t="shared" ref="J253:Y253" si="229">J189 * J226 * hours_in_year</f>
        <v>0.14117248640418639</v>
      </c>
      <c r="K253" s="146">
        <f t="shared" si="229"/>
        <v>0.14117248640418639</v>
      </c>
      <c r="L253" s="146">
        <f t="shared" si="229"/>
        <v>0.14117248640418639</v>
      </c>
      <c r="M253" s="146">
        <f t="shared" si="229"/>
        <v>0.14117248640418639</v>
      </c>
      <c r="N253" s="146">
        <f t="shared" si="229"/>
        <v>0.14117248640418639</v>
      </c>
      <c r="O253" s="146">
        <f t="shared" si="229"/>
        <v>0.14117248640418639</v>
      </c>
      <c r="P253" s="146">
        <f t="shared" si="229"/>
        <v>0.14117248640418639</v>
      </c>
      <c r="Q253" s="146">
        <f t="shared" si="229"/>
        <v>0.14117248640418639</v>
      </c>
      <c r="R253" s="146">
        <f t="shared" si="229"/>
        <v>0.14117248640418639</v>
      </c>
      <c r="S253" s="146">
        <f t="shared" si="229"/>
        <v>0.14117248640418639</v>
      </c>
      <c r="T253" s="146">
        <f t="shared" si="229"/>
        <v>0.14117248640418639</v>
      </c>
      <c r="U253" s="146">
        <f t="shared" si="229"/>
        <v>0.14117248640418639</v>
      </c>
      <c r="V253" s="146">
        <f t="shared" si="229"/>
        <v>0.14117248640418639</v>
      </c>
      <c r="W253" s="146">
        <f t="shared" si="229"/>
        <v>0.14117248640418639</v>
      </c>
      <c r="X253" s="146">
        <f t="shared" si="229"/>
        <v>0.14117248640418639</v>
      </c>
      <c r="Y253" s="146">
        <f t="shared" si="229"/>
        <v>0.14117248640418639</v>
      </c>
    </row>
    <row r="254" spans="5:25" x14ac:dyDescent="0.25">
      <c r="F254" s="94" t="s">
        <v>192</v>
      </c>
      <c r="G254" s="94" t="s">
        <v>281</v>
      </c>
      <c r="J254" s="146">
        <f t="shared" ref="J254:Y254" si="230">J194 * J226 * hours_in_year</f>
        <v>0.13354746177874319</v>
      </c>
      <c r="K254" s="146">
        <f t="shared" si="230"/>
        <v>0.13354746177874319</v>
      </c>
      <c r="L254" s="146">
        <f t="shared" si="230"/>
        <v>0.13354746177874319</v>
      </c>
      <c r="M254" s="146">
        <f t="shared" si="230"/>
        <v>0.13354746177874319</v>
      </c>
      <c r="N254" s="146">
        <f t="shared" si="230"/>
        <v>0.13354746177874319</v>
      </c>
      <c r="O254" s="146">
        <f t="shared" si="230"/>
        <v>0.13354746177874319</v>
      </c>
      <c r="P254" s="146">
        <f t="shared" si="230"/>
        <v>0.13354746177874319</v>
      </c>
      <c r="Q254" s="146">
        <f t="shared" si="230"/>
        <v>0.13354746177874319</v>
      </c>
      <c r="R254" s="146">
        <f t="shared" si="230"/>
        <v>0.13354746177874319</v>
      </c>
      <c r="S254" s="146">
        <f t="shared" si="230"/>
        <v>0.13354746177874319</v>
      </c>
      <c r="T254" s="146">
        <f t="shared" si="230"/>
        <v>0.13354746177874319</v>
      </c>
      <c r="U254" s="146">
        <f t="shared" si="230"/>
        <v>0.13354746177874319</v>
      </c>
      <c r="V254" s="146">
        <f t="shared" si="230"/>
        <v>0.13354746177874319</v>
      </c>
      <c r="W254" s="146">
        <f t="shared" si="230"/>
        <v>0.13354746177874319</v>
      </c>
      <c r="X254" s="146">
        <f t="shared" si="230"/>
        <v>0.13354746177874319</v>
      </c>
      <c r="Y254" s="146">
        <f t="shared" si="230"/>
        <v>0.13354746177874319</v>
      </c>
    </row>
    <row r="255" spans="5:25" x14ac:dyDescent="0.25">
      <c r="F255" s="94" t="s">
        <v>193</v>
      </c>
      <c r="G255" s="94" t="s">
        <v>281</v>
      </c>
      <c r="J255" s="146">
        <f t="shared" ref="J255:Y255" si="231">J199 * J226 * hours_in_year</f>
        <v>0.13354746177874319</v>
      </c>
      <c r="K255" s="146">
        <f t="shared" si="231"/>
        <v>0.13354746177874319</v>
      </c>
      <c r="L255" s="146">
        <f t="shared" si="231"/>
        <v>0.13354746177874319</v>
      </c>
      <c r="M255" s="146">
        <f t="shared" si="231"/>
        <v>0.13354746177874319</v>
      </c>
      <c r="N255" s="146">
        <f t="shared" si="231"/>
        <v>0.13354746177874319</v>
      </c>
      <c r="O255" s="146">
        <f t="shared" si="231"/>
        <v>0.13354746177874319</v>
      </c>
      <c r="P255" s="146">
        <f t="shared" si="231"/>
        <v>0.13354746177874319</v>
      </c>
      <c r="Q255" s="146">
        <f t="shared" si="231"/>
        <v>0.13354746177874319</v>
      </c>
      <c r="R255" s="146">
        <f t="shared" si="231"/>
        <v>0.13354746177874319</v>
      </c>
      <c r="S255" s="146">
        <f t="shared" si="231"/>
        <v>0.13354746177874319</v>
      </c>
      <c r="T255" s="146">
        <f t="shared" si="231"/>
        <v>0.13354746177874319</v>
      </c>
      <c r="U255" s="146">
        <f t="shared" si="231"/>
        <v>0.13354746177874319</v>
      </c>
      <c r="V255" s="146">
        <f t="shared" si="231"/>
        <v>0.13354746177874319</v>
      </c>
      <c r="W255" s="146">
        <f t="shared" si="231"/>
        <v>0.13354746177874319</v>
      </c>
      <c r="X255" s="146">
        <f t="shared" si="231"/>
        <v>0.13354746177874319</v>
      </c>
      <c r="Y255" s="146">
        <f t="shared" si="231"/>
        <v>0.13354746177874319</v>
      </c>
    </row>
    <row r="256" spans="5:25" x14ac:dyDescent="0.25">
      <c r="F256" s="94" t="s">
        <v>194</v>
      </c>
      <c r="G256" s="94" t="s">
        <v>281</v>
      </c>
      <c r="J256" s="146">
        <f t="shared" ref="J256:Y256" si="232">J204 * J226 * hours_in_year</f>
        <v>0</v>
      </c>
      <c r="K256" s="146">
        <f t="shared" si="232"/>
        <v>0</v>
      </c>
      <c r="L256" s="146">
        <f t="shared" si="232"/>
        <v>0</v>
      </c>
      <c r="M256" s="146">
        <f t="shared" si="232"/>
        <v>0</v>
      </c>
      <c r="N256" s="146">
        <f t="shared" si="232"/>
        <v>0</v>
      </c>
      <c r="O256" s="146">
        <f t="shared" si="232"/>
        <v>0</v>
      </c>
      <c r="P256" s="146">
        <f t="shared" si="232"/>
        <v>0</v>
      </c>
      <c r="Q256" s="146">
        <f t="shared" si="232"/>
        <v>0</v>
      </c>
      <c r="R256" s="146">
        <f t="shared" si="232"/>
        <v>0</v>
      </c>
      <c r="S256" s="146">
        <f t="shared" si="232"/>
        <v>0</v>
      </c>
      <c r="T256" s="146">
        <f t="shared" si="232"/>
        <v>0</v>
      </c>
      <c r="U256" s="146">
        <f t="shared" si="232"/>
        <v>0</v>
      </c>
      <c r="V256" s="146">
        <f t="shared" si="232"/>
        <v>0</v>
      </c>
      <c r="W256" s="146">
        <f t="shared" si="232"/>
        <v>0</v>
      </c>
      <c r="X256" s="146">
        <f t="shared" si="232"/>
        <v>0</v>
      </c>
      <c r="Y256" s="146">
        <f t="shared" si="232"/>
        <v>0</v>
      </c>
    </row>
    <row r="257" spans="2:27" x14ac:dyDescent="0.25">
      <c r="F257" s="94" t="s">
        <v>195</v>
      </c>
      <c r="G257" s="94" t="s">
        <v>281</v>
      </c>
      <c r="J257" s="146">
        <f t="shared" ref="J257:Y257" si="233">J209 * J226 * hours_in_year</f>
        <v>0.13354746177874319</v>
      </c>
      <c r="K257" s="146">
        <f t="shared" si="233"/>
        <v>0.13354746177874319</v>
      </c>
      <c r="L257" s="146">
        <f t="shared" si="233"/>
        <v>0.13354746177874319</v>
      </c>
      <c r="M257" s="146">
        <f t="shared" si="233"/>
        <v>0.13354746177874319</v>
      </c>
      <c r="N257" s="146">
        <f t="shared" si="233"/>
        <v>0.13354746177874319</v>
      </c>
      <c r="O257" s="146">
        <f t="shared" si="233"/>
        <v>0.13354746177874319</v>
      </c>
      <c r="P257" s="146">
        <f t="shared" si="233"/>
        <v>0.13354746177874319</v>
      </c>
      <c r="Q257" s="146">
        <f t="shared" si="233"/>
        <v>0.13354746177874319</v>
      </c>
      <c r="R257" s="146">
        <f t="shared" si="233"/>
        <v>0.13354746177874319</v>
      </c>
      <c r="S257" s="146">
        <f t="shared" si="233"/>
        <v>0.13354746177874319</v>
      </c>
      <c r="T257" s="146">
        <f t="shared" si="233"/>
        <v>0.13354746177874319</v>
      </c>
      <c r="U257" s="146">
        <f t="shared" si="233"/>
        <v>0.13354746177874319</v>
      </c>
      <c r="V257" s="146">
        <f t="shared" si="233"/>
        <v>0.13354746177874319</v>
      </c>
      <c r="W257" s="146">
        <f t="shared" si="233"/>
        <v>0.13354746177874319</v>
      </c>
      <c r="X257" s="146">
        <f t="shared" si="233"/>
        <v>0.13354746177874319</v>
      </c>
      <c r="Y257" s="146">
        <f t="shared" si="233"/>
        <v>0.13354746177874319</v>
      </c>
    </row>
    <row r="258" spans="2:27" x14ac:dyDescent="0.25">
      <c r="F258" s="94" t="s">
        <v>196</v>
      </c>
      <c r="G258" s="94" t="s">
        <v>281</v>
      </c>
      <c r="J258" s="146">
        <f t="shared" ref="J258:Y258" si="234">J214 * J226 * hours_in_year</f>
        <v>0.13354746177874319</v>
      </c>
      <c r="K258" s="146">
        <f t="shared" si="234"/>
        <v>0.13354746177874319</v>
      </c>
      <c r="L258" s="146">
        <f t="shared" si="234"/>
        <v>0.13354746177874319</v>
      </c>
      <c r="M258" s="146">
        <f t="shared" si="234"/>
        <v>0.13354746177874319</v>
      </c>
      <c r="N258" s="146">
        <f t="shared" si="234"/>
        <v>0.13354746177874319</v>
      </c>
      <c r="O258" s="146">
        <f t="shared" si="234"/>
        <v>0.13354746177874319</v>
      </c>
      <c r="P258" s="146">
        <f t="shared" si="234"/>
        <v>0.13354746177874319</v>
      </c>
      <c r="Q258" s="146">
        <f t="shared" si="234"/>
        <v>0.13354746177874319</v>
      </c>
      <c r="R258" s="146">
        <f t="shared" si="234"/>
        <v>0.13354746177874319</v>
      </c>
      <c r="S258" s="146">
        <f t="shared" si="234"/>
        <v>0.13354746177874319</v>
      </c>
      <c r="T258" s="146">
        <f t="shared" si="234"/>
        <v>0.13354746177874319</v>
      </c>
      <c r="U258" s="146">
        <f t="shared" si="234"/>
        <v>0.13354746177874319</v>
      </c>
      <c r="V258" s="146">
        <f t="shared" si="234"/>
        <v>0.13354746177874319</v>
      </c>
      <c r="W258" s="146">
        <f t="shared" si="234"/>
        <v>0.13354746177874319</v>
      </c>
      <c r="X258" s="146">
        <f t="shared" si="234"/>
        <v>0.13354746177874319</v>
      </c>
      <c r="Y258" s="146">
        <f t="shared" si="234"/>
        <v>0.13354746177874319</v>
      </c>
    </row>
    <row r="259" spans="2:27" x14ac:dyDescent="0.25">
      <c r="F259" s="101" t="s">
        <v>197</v>
      </c>
      <c r="G259" s="101" t="s">
        <v>281</v>
      </c>
      <c r="H259" s="96"/>
      <c r="I259" s="96"/>
      <c r="J259" s="146">
        <f t="shared" ref="J259:Y259" si="235">J219 * J226 * hours_in_year</f>
        <v>0.13354746177874319</v>
      </c>
      <c r="K259" s="146">
        <f t="shared" si="235"/>
        <v>0.13354746177874319</v>
      </c>
      <c r="L259" s="146">
        <f t="shared" si="235"/>
        <v>0.13354746177874319</v>
      </c>
      <c r="M259" s="146">
        <f t="shared" si="235"/>
        <v>0.13354746177874319</v>
      </c>
      <c r="N259" s="146">
        <f t="shared" si="235"/>
        <v>0.13354746177874319</v>
      </c>
      <c r="O259" s="146">
        <f t="shared" si="235"/>
        <v>0.13354746177874319</v>
      </c>
      <c r="P259" s="146">
        <f t="shared" si="235"/>
        <v>0.13354746177874319</v>
      </c>
      <c r="Q259" s="146">
        <f t="shared" si="235"/>
        <v>0.13354746177874319</v>
      </c>
      <c r="R259" s="146">
        <f t="shared" si="235"/>
        <v>0.13354746177874319</v>
      </c>
      <c r="S259" s="146">
        <f t="shared" si="235"/>
        <v>0.13354746177874319</v>
      </c>
      <c r="T259" s="146">
        <f t="shared" si="235"/>
        <v>0.13354746177874319</v>
      </c>
      <c r="U259" s="146">
        <f t="shared" si="235"/>
        <v>0.13354746177874319</v>
      </c>
      <c r="V259" s="146">
        <f t="shared" si="235"/>
        <v>0.13354746177874319</v>
      </c>
      <c r="W259" s="146">
        <f t="shared" si="235"/>
        <v>0.13354746177874319</v>
      </c>
      <c r="X259" s="146">
        <f t="shared" si="235"/>
        <v>0.13354746177874319</v>
      </c>
      <c r="Y259" s="146">
        <f t="shared" si="235"/>
        <v>0.13354746177874319</v>
      </c>
    </row>
    <row r="260" spans="2:27" x14ac:dyDescent="0.25">
      <c r="J260" s="106"/>
      <c r="K260" s="106"/>
      <c r="L260" s="106"/>
      <c r="M260" s="106"/>
      <c r="N260" s="106"/>
      <c r="O260" s="106"/>
      <c r="P260" s="106"/>
      <c r="Q260" s="106"/>
      <c r="R260" s="106"/>
      <c r="S260" s="106"/>
      <c r="T260" s="106"/>
      <c r="U260" s="106"/>
      <c r="V260" s="106"/>
      <c r="W260" s="106"/>
      <c r="X260" s="106"/>
      <c r="Y260" s="106"/>
    </row>
    <row r="261" spans="2:27" x14ac:dyDescent="0.25">
      <c r="B261" s="85" t="s">
        <v>797</v>
      </c>
      <c r="C261" s="152"/>
      <c r="D261" s="159"/>
      <c r="E261" s="159"/>
      <c r="F261" s="152"/>
      <c r="G261" s="152"/>
      <c r="H261" s="152"/>
      <c r="I261" s="152"/>
      <c r="J261" s="226"/>
      <c r="K261" s="226"/>
      <c r="L261" s="226"/>
      <c r="M261" s="226"/>
      <c r="N261" s="226"/>
      <c r="O261" s="226"/>
      <c r="P261" s="226"/>
      <c r="Q261" s="226"/>
      <c r="R261" s="226"/>
      <c r="S261" s="226"/>
      <c r="T261" s="226"/>
      <c r="U261" s="226"/>
      <c r="V261" s="226"/>
      <c r="W261" s="226"/>
      <c r="X261" s="226"/>
      <c r="Y261" s="226"/>
      <c r="Z261" s="152"/>
      <c r="AA261" s="152"/>
    </row>
    <row r="262" spans="2:27" x14ac:dyDescent="0.25">
      <c r="F262" s="94"/>
      <c r="G262" s="94"/>
      <c r="J262" s="106"/>
      <c r="K262" s="106"/>
      <c r="L262" s="106"/>
      <c r="M262" s="106"/>
      <c r="N262" s="106"/>
      <c r="O262" s="106"/>
      <c r="P262" s="106"/>
      <c r="Q262" s="106"/>
      <c r="R262" s="106"/>
      <c r="S262" s="106"/>
      <c r="T262" s="106"/>
      <c r="U262" s="106"/>
      <c r="V262" s="106"/>
      <c r="W262" s="106"/>
      <c r="X262" s="106"/>
      <c r="Y262" s="106"/>
    </row>
    <row r="263" spans="2:27" x14ac:dyDescent="0.25">
      <c r="C263" s="86" t="s">
        <v>817</v>
      </c>
      <c r="F263" s="94"/>
      <c r="G263" s="94"/>
      <c r="J263" s="106"/>
      <c r="K263" s="106"/>
      <c r="L263" s="106"/>
      <c r="M263" s="106"/>
      <c r="N263" s="106"/>
      <c r="O263" s="106"/>
      <c r="P263" s="106"/>
      <c r="Q263" s="106"/>
      <c r="R263" s="106"/>
      <c r="S263" s="106"/>
      <c r="T263" s="106"/>
      <c r="U263" s="106"/>
      <c r="V263" s="106"/>
      <c r="W263" s="106"/>
      <c r="X263" s="106"/>
      <c r="Y263" s="106"/>
    </row>
    <row r="264" spans="2:27" x14ac:dyDescent="0.25">
      <c r="F264" s="94"/>
      <c r="G264" s="94"/>
      <c r="J264" s="106"/>
      <c r="K264" s="106"/>
      <c r="L264" s="106"/>
      <c r="M264" s="106"/>
      <c r="N264" s="106"/>
      <c r="O264" s="106"/>
      <c r="P264" s="106"/>
      <c r="Q264" s="106"/>
      <c r="R264" s="106"/>
      <c r="S264" s="106"/>
      <c r="T264" s="106"/>
      <c r="U264" s="106"/>
      <c r="V264" s="106"/>
      <c r="W264" s="106"/>
      <c r="X264" s="106"/>
      <c r="Y264" s="106"/>
    </row>
    <row r="265" spans="2:27" x14ac:dyDescent="0.2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25">
      <c r="F266" s="94"/>
      <c r="G266" s="94"/>
      <c r="J266" s="106"/>
      <c r="K266" s="106"/>
      <c r="L266" s="106"/>
      <c r="M266" s="106"/>
      <c r="N266" s="106"/>
      <c r="O266" s="106"/>
      <c r="P266" s="106"/>
      <c r="Q266" s="106"/>
      <c r="R266" s="106"/>
      <c r="S266" s="106"/>
      <c r="T266" s="106"/>
      <c r="U266" s="106"/>
      <c r="V266" s="106"/>
      <c r="W266" s="106"/>
      <c r="X266" s="106"/>
      <c r="Y266" s="106"/>
    </row>
    <row r="267" spans="2:27" x14ac:dyDescent="0.25">
      <c r="E267" s="94" t="s">
        <v>427</v>
      </c>
      <c r="G267" s="94" t="s">
        <v>281</v>
      </c>
      <c r="J267" s="151">
        <f>J91</f>
        <v>1.9374026925139718</v>
      </c>
      <c r="K267" s="151">
        <f t="shared" ref="K267:Y267" si="236">K91</f>
        <v>1.9374026925139718</v>
      </c>
      <c r="L267" s="151">
        <f t="shared" si="236"/>
        <v>1.8455316610240311</v>
      </c>
      <c r="M267" s="151">
        <f t="shared" si="236"/>
        <v>1.8455316610240311</v>
      </c>
      <c r="N267" s="151">
        <f t="shared" si="236"/>
        <v>1.5155867839453283</v>
      </c>
      <c r="O267" s="151">
        <f t="shared" si="236"/>
        <v>1.2843068028221891</v>
      </c>
      <c r="P267" s="151">
        <f t="shared" si="236"/>
        <v>1.2100067341575076</v>
      </c>
      <c r="Q267" s="151">
        <f t="shared" si="236"/>
        <v>2.0349805925328903</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25">
      <c r="F268" s="94"/>
      <c r="G268" s="94"/>
      <c r="J268" s="106"/>
      <c r="K268" s="106"/>
      <c r="L268" s="106"/>
      <c r="M268" s="106"/>
      <c r="N268" s="106"/>
      <c r="O268" s="106"/>
      <c r="P268" s="106"/>
      <c r="Q268" s="106"/>
      <c r="R268" s="106"/>
      <c r="S268" s="106"/>
      <c r="T268" s="106"/>
      <c r="U268" s="106"/>
      <c r="V268" s="106"/>
      <c r="W268" s="106"/>
      <c r="X268" s="106"/>
      <c r="Y268" s="106"/>
    </row>
    <row r="269" spans="2:27" x14ac:dyDescent="0.2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25">
      <c r="F270" s="94"/>
      <c r="G270" s="94"/>
      <c r="J270" s="106"/>
      <c r="K270" s="106"/>
      <c r="L270" s="106"/>
      <c r="M270" s="106"/>
      <c r="N270" s="106"/>
      <c r="O270" s="106"/>
      <c r="P270" s="106"/>
      <c r="Q270" s="106"/>
      <c r="R270" s="106"/>
      <c r="S270" s="106"/>
      <c r="T270" s="106"/>
      <c r="U270" s="106"/>
      <c r="V270" s="106"/>
      <c r="W270" s="106"/>
      <c r="X270" s="106"/>
      <c r="Y270" s="106"/>
    </row>
    <row r="271" spans="2:27" x14ac:dyDescent="0.25">
      <c r="E271" s="75" t="s">
        <v>154</v>
      </c>
      <c r="G271" s="94"/>
      <c r="J271" s="106"/>
      <c r="K271" s="106"/>
      <c r="L271" s="106"/>
      <c r="M271" s="106"/>
      <c r="N271" s="106"/>
      <c r="O271" s="106"/>
      <c r="P271" s="106"/>
      <c r="Q271" s="106"/>
      <c r="R271" s="106"/>
      <c r="S271" s="106"/>
      <c r="T271" s="106"/>
      <c r="U271" s="106"/>
      <c r="V271" s="106"/>
      <c r="W271" s="106"/>
      <c r="X271" s="106"/>
      <c r="Y271" s="106"/>
    </row>
    <row r="272" spans="2:27" x14ac:dyDescent="0.25">
      <c r="F272" s="98" t="s">
        <v>189</v>
      </c>
      <c r="G272" s="98" t="s">
        <v>281</v>
      </c>
      <c r="H272" s="95"/>
      <c r="I272" s="95"/>
      <c r="J272" s="149">
        <f>J229 * J$93</f>
        <v>12.417193122317768</v>
      </c>
      <c r="K272" s="149">
        <f t="shared" ref="K272:Y272" si="237">K229 * K$93</f>
        <v>12.417193122317768</v>
      </c>
      <c r="L272" s="149">
        <f t="shared" si="237"/>
        <v>14.166648164202092</v>
      </c>
      <c r="M272" s="149">
        <f t="shared" si="237"/>
        <v>14.166648164202092</v>
      </c>
      <c r="N272" s="149">
        <f t="shared" si="237"/>
        <v>11.44967060192257</v>
      </c>
      <c r="O272" s="149">
        <f t="shared" si="237"/>
        <v>10.038652003661383</v>
      </c>
      <c r="P272" s="149">
        <f t="shared" si="237"/>
        <v>9.5386179368391453</v>
      </c>
      <c r="Q272" s="149">
        <f t="shared" si="237"/>
        <v>30.319049919599514</v>
      </c>
      <c r="R272" s="149">
        <f t="shared" si="237"/>
        <v>8.5463292888190203</v>
      </c>
      <c r="S272" s="149">
        <f t="shared" si="237"/>
        <v>8.5463292888190203</v>
      </c>
      <c r="T272" s="149">
        <f t="shared" si="237"/>
        <v>8.5463292888190203</v>
      </c>
      <c r="U272" s="149">
        <f t="shared" si="237"/>
        <v>8.5463292888190203</v>
      </c>
      <c r="V272" s="149">
        <f t="shared" si="237"/>
        <v>8.5463292888190203</v>
      </c>
      <c r="W272" s="149">
        <f t="shared" si="237"/>
        <v>8.5463292888190203</v>
      </c>
      <c r="X272" s="149">
        <f t="shared" si="237"/>
        <v>8.5463292888190203</v>
      </c>
      <c r="Y272" s="149">
        <f t="shared" si="237"/>
        <v>8.5463292888190203</v>
      </c>
    </row>
    <row r="273" spans="5:25" x14ac:dyDescent="0.25">
      <c r="F273" s="94" t="s">
        <v>190</v>
      </c>
      <c r="G273" s="94" t="s">
        <v>281</v>
      </c>
      <c r="J273" s="151">
        <f t="shared" ref="J273:Y273" si="238">J230 * J$93</f>
        <v>9.1672432521410023</v>
      </c>
      <c r="K273" s="151">
        <f t="shared" si="238"/>
        <v>9.1672432521410023</v>
      </c>
      <c r="L273" s="151">
        <f t="shared" si="238"/>
        <v>10.45881371977053</v>
      </c>
      <c r="M273" s="151">
        <f t="shared" si="238"/>
        <v>10.45881371977053</v>
      </c>
      <c r="N273" s="151">
        <f t="shared" si="238"/>
        <v>8.4529502384931821</v>
      </c>
      <c r="O273" s="151">
        <f t="shared" si="238"/>
        <v>7.4112373009447925</v>
      </c>
      <c r="P273" s="151">
        <f t="shared" si="238"/>
        <v>7.0420770664407524</v>
      </c>
      <c r="Q273" s="151">
        <f t="shared" si="238"/>
        <v>23.505896174630998</v>
      </c>
      <c r="R273" s="151">
        <f t="shared" si="238"/>
        <v>6.309499959591288</v>
      </c>
      <c r="S273" s="151">
        <f t="shared" si="238"/>
        <v>6.309499959591288</v>
      </c>
      <c r="T273" s="151">
        <f t="shared" si="238"/>
        <v>6.309499959591288</v>
      </c>
      <c r="U273" s="151">
        <f t="shared" si="238"/>
        <v>6.309499959591288</v>
      </c>
      <c r="V273" s="151">
        <f t="shared" si="238"/>
        <v>6.309499959591288</v>
      </c>
      <c r="W273" s="151">
        <f t="shared" si="238"/>
        <v>6.309499959591288</v>
      </c>
      <c r="X273" s="151">
        <f t="shared" si="238"/>
        <v>6.309499959591288</v>
      </c>
      <c r="Y273" s="151">
        <f t="shared" si="238"/>
        <v>6.309499959591288</v>
      </c>
    </row>
    <row r="274" spans="5:25" x14ac:dyDescent="0.25">
      <c r="F274" s="94" t="s">
        <v>191</v>
      </c>
      <c r="G274" s="94" t="s">
        <v>281</v>
      </c>
      <c r="J274" s="151">
        <f t="shared" ref="J274:Y274" si="239">J231 * J$93</f>
        <v>9.1672432521410023</v>
      </c>
      <c r="K274" s="151">
        <f t="shared" si="239"/>
        <v>9.1672432521410023</v>
      </c>
      <c r="L274" s="151">
        <f t="shared" si="239"/>
        <v>10.45881371977053</v>
      </c>
      <c r="M274" s="151">
        <f t="shared" si="239"/>
        <v>10.45881371977053</v>
      </c>
      <c r="N274" s="151">
        <f t="shared" si="239"/>
        <v>8.4529502384931821</v>
      </c>
      <c r="O274" s="151">
        <f t="shared" si="239"/>
        <v>7.4112373009447925</v>
      </c>
      <c r="P274" s="151">
        <f t="shared" si="239"/>
        <v>7.0420770664407524</v>
      </c>
      <c r="Q274" s="151">
        <f t="shared" si="239"/>
        <v>23.505896174630998</v>
      </c>
      <c r="R274" s="151">
        <f t="shared" si="239"/>
        <v>6.309499959591288</v>
      </c>
      <c r="S274" s="151">
        <f t="shared" si="239"/>
        <v>6.309499959591288</v>
      </c>
      <c r="T274" s="151">
        <f t="shared" si="239"/>
        <v>6.309499959591288</v>
      </c>
      <c r="U274" s="151">
        <f t="shared" si="239"/>
        <v>6.309499959591288</v>
      </c>
      <c r="V274" s="151">
        <f t="shared" si="239"/>
        <v>6.309499959591288</v>
      </c>
      <c r="W274" s="151">
        <f t="shared" si="239"/>
        <v>6.309499959591288</v>
      </c>
      <c r="X274" s="151">
        <f t="shared" si="239"/>
        <v>6.309499959591288</v>
      </c>
      <c r="Y274" s="151">
        <f t="shared" si="239"/>
        <v>6.309499959591288</v>
      </c>
    </row>
    <row r="275" spans="5:25" x14ac:dyDescent="0.25">
      <c r="F275" s="94" t="s">
        <v>192</v>
      </c>
      <c r="G275" s="94" t="s">
        <v>281</v>
      </c>
      <c r="J275" s="151">
        <f t="shared" ref="J275:Y275" si="240">J232 * J$93</f>
        <v>8.4993454023219943</v>
      </c>
      <c r="K275" s="151">
        <f t="shared" si="240"/>
        <v>8.4993454023219943</v>
      </c>
      <c r="L275" s="151">
        <f t="shared" si="240"/>
        <v>9.6968159192364567</v>
      </c>
      <c r="M275" s="151">
        <f t="shared" si="240"/>
        <v>9.6968159192364567</v>
      </c>
      <c r="N275" s="151">
        <f t="shared" si="240"/>
        <v>7.8370936354082668</v>
      </c>
      <c r="O275" s="151">
        <f t="shared" si="240"/>
        <v>6.8712767782823869</v>
      </c>
      <c r="P275" s="151">
        <f t="shared" si="240"/>
        <v>6.5290124513137284</v>
      </c>
      <c r="Q275" s="151">
        <f t="shared" si="240"/>
        <v>20.788359057429449</v>
      </c>
      <c r="R275" s="151">
        <f t="shared" si="240"/>
        <v>5.8498087153930998</v>
      </c>
      <c r="S275" s="151">
        <f t="shared" si="240"/>
        <v>5.8498087153930998</v>
      </c>
      <c r="T275" s="151">
        <f t="shared" si="240"/>
        <v>5.8498087153930998</v>
      </c>
      <c r="U275" s="151">
        <f t="shared" si="240"/>
        <v>5.8498087153930998</v>
      </c>
      <c r="V275" s="151">
        <f t="shared" si="240"/>
        <v>5.8498087153930998</v>
      </c>
      <c r="W275" s="151">
        <f t="shared" si="240"/>
        <v>5.8498087153930998</v>
      </c>
      <c r="X275" s="151">
        <f t="shared" si="240"/>
        <v>5.8498087153930998</v>
      </c>
      <c r="Y275" s="151">
        <f t="shared" si="240"/>
        <v>5.8498087153930998</v>
      </c>
    </row>
    <row r="276" spans="5:25" x14ac:dyDescent="0.25">
      <c r="F276" s="94" t="s">
        <v>193</v>
      </c>
      <c r="G276" s="94" t="s">
        <v>281</v>
      </c>
      <c r="J276" s="151">
        <f t="shared" ref="J276:Y276" si="241">J233 * J$93</f>
        <v>8.4993454023219943</v>
      </c>
      <c r="K276" s="151">
        <f t="shared" si="241"/>
        <v>8.4993454023219943</v>
      </c>
      <c r="L276" s="151">
        <f t="shared" si="241"/>
        <v>9.6968159192364567</v>
      </c>
      <c r="M276" s="151">
        <f t="shared" si="241"/>
        <v>9.6968159192364567</v>
      </c>
      <c r="N276" s="151">
        <f t="shared" si="241"/>
        <v>7.8370936354082668</v>
      </c>
      <c r="O276" s="151">
        <f t="shared" si="241"/>
        <v>6.8712767782823869</v>
      </c>
      <c r="P276" s="151">
        <f t="shared" si="241"/>
        <v>6.5290124513137284</v>
      </c>
      <c r="Q276" s="151">
        <f t="shared" si="241"/>
        <v>20.788359057429449</v>
      </c>
      <c r="R276" s="151">
        <f t="shared" si="241"/>
        <v>5.8498087153930998</v>
      </c>
      <c r="S276" s="151">
        <f t="shared" si="241"/>
        <v>5.8498087153930998</v>
      </c>
      <c r="T276" s="151">
        <f t="shared" si="241"/>
        <v>5.8498087153930998</v>
      </c>
      <c r="U276" s="151">
        <f t="shared" si="241"/>
        <v>5.8498087153930998</v>
      </c>
      <c r="V276" s="151">
        <f t="shared" si="241"/>
        <v>5.8498087153930998</v>
      </c>
      <c r="W276" s="151">
        <f t="shared" si="241"/>
        <v>5.8498087153930998</v>
      </c>
      <c r="X276" s="151">
        <f t="shared" si="241"/>
        <v>5.8498087153930998</v>
      </c>
      <c r="Y276" s="151">
        <f t="shared" si="241"/>
        <v>5.8498087153930998</v>
      </c>
    </row>
    <row r="277" spans="5:25" x14ac:dyDescent="0.25">
      <c r="F277" s="94" t="s">
        <v>194</v>
      </c>
      <c r="G277" s="94" t="s">
        <v>281</v>
      </c>
      <c r="J277" s="151">
        <f t="shared" ref="J277:Y277" si="242">J234 * J$93</f>
        <v>0</v>
      </c>
      <c r="K277" s="151">
        <f t="shared" si="242"/>
        <v>0</v>
      </c>
      <c r="L277" s="151">
        <f t="shared" si="242"/>
        <v>0</v>
      </c>
      <c r="M277" s="151">
        <f t="shared" si="242"/>
        <v>0</v>
      </c>
      <c r="N277" s="151">
        <f t="shared" si="242"/>
        <v>0</v>
      </c>
      <c r="O277" s="151">
        <f t="shared" si="242"/>
        <v>0</v>
      </c>
      <c r="P277" s="151">
        <f t="shared" si="242"/>
        <v>0</v>
      </c>
      <c r="Q277" s="151">
        <f t="shared" si="242"/>
        <v>0</v>
      </c>
      <c r="R277" s="151">
        <f t="shared" si="242"/>
        <v>0</v>
      </c>
      <c r="S277" s="151">
        <f t="shared" si="242"/>
        <v>0</v>
      </c>
      <c r="T277" s="151">
        <f t="shared" si="242"/>
        <v>0</v>
      </c>
      <c r="U277" s="151">
        <f t="shared" si="242"/>
        <v>0</v>
      </c>
      <c r="V277" s="151">
        <f t="shared" si="242"/>
        <v>0</v>
      </c>
      <c r="W277" s="151">
        <f t="shared" si="242"/>
        <v>0</v>
      </c>
      <c r="X277" s="151">
        <f t="shared" si="242"/>
        <v>0</v>
      </c>
      <c r="Y277" s="151">
        <f t="shared" si="242"/>
        <v>0</v>
      </c>
    </row>
    <row r="278" spans="5:25" x14ac:dyDescent="0.25">
      <c r="F278" s="94" t="s">
        <v>195</v>
      </c>
      <c r="G278" s="94" t="s">
        <v>281</v>
      </c>
      <c r="J278" s="151">
        <f t="shared" ref="J278:Y278" si="243">J235 * J$93</f>
        <v>8.4993454023219943</v>
      </c>
      <c r="K278" s="151">
        <f t="shared" si="243"/>
        <v>8.4993454023219943</v>
      </c>
      <c r="L278" s="151">
        <f t="shared" si="243"/>
        <v>9.6968159192364567</v>
      </c>
      <c r="M278" s="151">
        <f t="shared" si="243"/>
        <v>9.6968159192364567</v>
      </c>
      <c r="N278" s="151">
        <f t="shared" si="243"/>
        <v>7.8370936354082668</v>
      </c>
      <c r="O278" s="151">
        <f t="shared" si="243"/>
        <v>6.8712767782823869</v>
      </c>
      <c r="P278" s="151">
        <f t="shared" si="243"/>
        <v>6.5290124513137284</v>
      </c>
      <c r="Q278" s="151">
        <f t="shared" si="243"/>
        <v>20.788359057429449</v>
      </c>
      <c r="R278" s="151">
        <f t="shared" si="243"/>
        <v>5.8498087153930998</v>
      </c>
      <c r="S278" s="151">
        <f t="shared" si="243"/>
        <v>5.8498087153930998</v>
      </c>
      <c r="T278" s="151">
        <f t="shared" si="243"/>
        <v>5.8498087153930998</v>
      </c>
      <c r="U278" s="151">
        <f t="shared" si="243"/>
        <v>5.8498087153930998</v>
      </c>
      <c r="V278" s="151">
        <f t="shared" si="243"/>
        <v>5.8498087153930998</v>
      </c>
      <c r="W278" s="151">
        <f t="shared" si="243"/>
        <v>5.8498087153930998</v>
      </c>
      <c r="X278" s="151">
        <f t="shared" si="243"/>
        <v>5.8498087153930998</v>
      </c>
      <c r="Y278" s="151">
        <f t="shared" si="243"/>
        <v>5.8498087153930998</v>
      </c>
    </row>
    <row r="279" spans="5:25" x14ac:dyDescent="0.25">
      <c r="F279" s="94" t="s">
        <v>196</v>
      </c>
      <c r="G279" s="94" t="s">
        <v>281</v>
      </c>
      <c r="J279" s="151">
        <f t="shared" ref="J279:Y279" si="244">J236 * J$93</f>
        <v>8.4993454023219943</v>
      </c>
      <c r="K279" s="151">
        <f t="shared" si="244"/>
        <v>8.4993454023219943</v>
      </c>
      <c r="L279" s="151">
        <f t="shared" si="244"/>
        <v>9.6968159192364567</v>
      </c>
      <c r="M279" s="151">
        <f t="shared" si="244"/>
        <v>9.6968159192364567</v>
      </c>
      <c r="N279" s="151">
        <f t="shared" si="244"/>
        <v>7.8370936354082668</v>
      </c>
      <c r="O279" s="151">
        <f t="shared" si="244"/>
        <v>6.8712767782823869</v>
      </c>
      <c r="P279" s="151">
        <f t="shared" si="244"/>
        <v>6.5290124513137284</v>
      </c>
      <c r="Q279" s="151">
        <f t="shared" si="244"/>
        <v>20.788359057429449</v>
      </c>
      <c r="R279" s="151">
        <f t="shared" si="244"/>
        <v>5.8498087153930998</v>
      </c>
      <c r="S279" s="151">
        <f t="shared" si="244"/>
        <v>5.8498087153930998</v>
      </c>
      <c r="T279" s="151">
        <f t="shared" si="244"/>
        <v>5.8498087153930998</v>
      </c>
      <c r="U279" s="151">
        <f t="shared" si="244"/>
        <v>5.8498087153930998</v>
      </c>
      <c r="V279" s="151">
        <f t="shared" si="244"/>
        <v>5.8498087153930998</v>
      </c>
      <c r="W279" s="151">
        <f t="shared" si="244"/>
        <v>5.8498087153930998</v>
      </c>
      <c r="X279" s="151">
        <f t="shared" si="244"/>
        <v>5.8498087153930998</v>
      </c>
      <c r="Y279" s="151">
        <f t="shared" si="244"/>
        <v>5.8498087153930998</v>
      </c>
    </row>
    <row r="280" spans="5:25" x14ac:dyDescent="0.25">
      <c r="F280" s="101" t="s">
        <v>197</v>
      </c>
      <c r="G280" s="101" t="s">
        <v>281</v>
      </c>
      <c r="H280" s="96"/>
      <c r="I280" s="96"/>
      <c r="J280" s="150">
        <f t="shared" ref="J280:Y280" si="245">J237 * J$93</f>
        <v>8.4993454023219943</v>
      </c>
      <c r="K280" s="150">
        <f t="shared" si="245"/>
        <v>8.4993454023219943</v>
      </c>
      <c r="L280" s="150">
        <f t="shared" si="245"/>
        <v>9.6968159192364567</v>
      </c>
      <c r="M280" s="150">
        <f t="shared" si="245"/>
        <v>9.6968159192364567</v>
      </c>
      <c r="N280" s="150">
        <f t="shared" si="245"/>
        <v>7.8370936354082668</v>
      </c>
      <c r="O280" s="150">
        <f t="shared" si="245"/>
        <v>6.8712767782823869</v>
      </c>
      <c r="P280" s="150">
        <f t="shared" si="245"/>
        <v>6.5290124513137284</v>
      </c>
      <c r="Q280" s="150">
        <f t="shared" si="245"/>
        <v>20.788359057429449</v>
      </c>
      <c r="R280" s="150">
        <f t="shared" si="245"/>
        <v>5.8498087153930998</v>
      </c>
      <c r="S280" s="150">
        <f t="shared" si="245"/>
        <v>5.8498087153930998</v>
      </c>
      <c r="T280" s="150">
        <f t="shared" si="245"/>
        <v>5.8498087153930998</v>
      </c>
      <c r="U280" s="150">
        <f t="shared" si="245"/>
        <v>5.8498087153930998</v>
      </c>
      <c r="V280" s="150">
        <f t="shared" si="245"/>
        <v>5.8498087153930998</v>
      </c>
      <c r="W280" s="150">
        <f t="shared" si="245"/>
        <v>5.8498087153930998</v>
      </c>
      <c r="X280" s="150">
        <f t="shared" si="245"/>
        <v>5.8498087153930998</v>
      </c>
      <c r="Y280" s="150">
        <f t="shared" si="245"/>
        <v>5.8498087153930998</v>
      </c>
    </row>
    <row r="281" spans="5:25" x14ac:dyDescent="0.25">
      <c r="J281" s="106"/>
      <c r="K281" s="106"/>
      <c r="L281" s="106"/>
      <c r="M281" s="106"/>
      <c r="N281" s="106"/>
      <c r="O281" s="106"/>
      <c r="P281" s="106"/>
      <c r="Q281" s="106"/>
      <c r="R281" s="106"/>
      <c r="S281" s="106"/>
      <c r="T281" s="106"/>
      <c r="U281" s="106"/>
      <c r="V281" s="106"/>
      <c r="W281" s="106"/>
      <c r="X281" s="106"/>
      <c r="Y281" s="106"/>
    </row>
    <row r="282" spans="5:25" x14ac:dyDescent="0.25">
      <c r="E282" s="75" t="s">
        <v>155</v>
      </c>
      <c r="F282" s="94"/>
      <c r="G282" s="94"/>
      <c r="J282" s="106"/>
      <c r="K282" s="106"/>
      <c r="L282" s="106"/>
      <c r="M282" s="106"/>
      <c r="N282" s="106"/>
      <c r="O282" s="106"/>
      <c r="P282" s="106"/>
      <c r="Q282" s="106"/>
      <c r="R282" s="106"/>
      <c r="S282" s="106"/>
      <c r="T282" s="106"/>
      <c r="U282" s="106"/>
      <c r="V282" s="106"/>
      <c r="W282" s="106"/>
      <c r="X282" s="106"/>
      <c r="Y282" s="106"/>
    </row>
    <row r="283" spans="5:25" x14ac:dyDescent="0.25">
      <c r="F283" s="98" t="s">
        <v>189</v>
      </c>
      <c r="G283" s="98" t="s">
        <v>281</v>
      </c>
      <c r="H283" s="95"/>
      <c r="I283" s="95"/>
      <c r="J283" s="149">
        <f>J240 * J$93</f>
        <v>0.36009369269812741</v>
      </c>
      <c r="K283" s="149">
        <f t="shared" ref="K283:Y283" si="246">K240 * K$93</f>
        <v>0.36009369269812741</v>
      </c>
      <c r="L283" s="149">
        <f t="shared" si="246"/>
        <v>0.41082719744721802</v>
      </c>
      <c r="M283" s="149">
        <f t="shared" si="246"/>
        <v>0.41082719744721802</v>
      </c>
      <c r="N283" s="149">
        <f t="shared" si="246"/>
        <v>0.33203592201632015</v>
      </c>
      <c r="O283" s="149">
        <f t="shared" si="246"/>
        <v>0.29111694036656344</v>
      </c>
      <c r="P283" s="149">
        <f t="shared" si="246"/>
        <v>0.27661615006531121</v>
      </c>
      <c r="Q283" s="149">
        <f t="shared" si="246"/>
        <v>0.3911686398456668</v>
      </c>
      <c r="R283" s="149">
        <f t="shared" si="246"/>
        <v>0.24784017147110024</v>
      </c>
      <c r="S283" s="149">
        <f t="shared" si="246"/>
        <v>0.24784017147110024</v>
      </c>
      <c r="T283" s="149">
        <f t="shared" si="246"/>
        <v>0.24784017147110024</v>
      </c>
      <c r="U283" s="149">
        <f t="shared" si="246"/>
        <v>0.24784017147110024</v>
      </c>
      <c r="V283" s="149">
        <f t="shared" si="246"/>
        <v>0.24784017147110024</v>
      </c>
      <c r="W283" s="149">
        <f t="shared" si="246"/>
        <v>0.24784017147110024</v>
      </c>
      <c r="X283" s="149">
        <f t="shared" si="246"/>
        <v>0.24784017147110024</v>
      </c>
      <c r="Y283" s="149">
        <f t="shared" si="246"/>
        <v>0.24784017147110024</v>
      </c>
    </row>
    <row r="284" spans="5:25" x14ac:dyDescent="0.25">
      <c r="F284" s="94" t="s">
        <v>190</v>
      </c>
      <c r="G284" s="94" t="s">
        <v>281</v>
      </c>
      <c r="J284" s="151">
        <f t="shared" ref="J284:Y284" si="247">J241 * J$93</f>
        <v>1.2063695409531574</v>
      </c>
      <c r="K284" s="151">
        <f t="shared" si="247"/>
        <v>1.2063695409531574</v>
      </c>
      <c r="L284" s="151">
        <f t="shared" si="247"/>
        <v>1.3763346252525179</v>
      </c>
      <c r="M284" s="151">
        <f t="shared" si="247"/>
        <v>1.3763346252525179</v>
      </c>
      <c r="N284" s="151">
        <f t="shared" si="247"/>
        <v>1.1123716714432459</v>
      </c>
      <c r="O284" s="151">
        <f t="shared" si="247"/>
        <v>0.97528675685000454</v>
      </c>
      <c r="P284" s="151">
        <f t="shared" si="247"/>
        <v>0.92670686752146636</v>
      </c>
      <c r="Q284" s="151">
        <f t="shared" si="247"/>
        <v>0.83285482483164919</v>
      </c>
      <c r="R284" s="151">
        <f t="shared" si="247"/>
        <v>0.83030289047019967</v>
      </c>
      <c r="S284" s="151">
        <f t="shared" si="247"/>
        <v>0.83030289047019967</v>
      </c>
      <c r="T284" s="151">
        <f t="shared" si="247"/>
        <v>0.83030289047019967</v>
      </c>
      <c r="U284" s="151">
        <f t="shared" si="247"/>
        <v>0.83030289047019967</v>
      </c>
      <c r="V284" s="151">
        <f t="shared" si="247"/>
        <v>0.83030289047019967</v>
      </c>
      <c r="W284" s="151">
        <f t="shared" si="247"/>
        <v>0.83030289047019967</v>
      </c>
      <c r="X284" s="151">
        <f t="shared" si="247"/>
        <v>0.83030289047019967</v>
      </c>
      <c r="Y284" s="151">
        <f t="shared" si="247"/>
        <v>0.83030289047019967</v>
      </c>
    </row>
    <row r="285" spans="5:25" x14ac:dyDescent="0.25">
      <c r="F285" s="94" t="s">
        <v>191</v>
      </c>
      <c r="G285" s="94" t="s">
        <v>281</v>
      </c>
      <c r="J285" s="151">
        <f t="shared" ref="J285:Y285" si="248">J242 * J$93</f>
        <v>1.2063695409531574</v>
      </c>
      <c r="K285" s="151">
        <f t="shared" si="248"/>
        <v>1.2063695409531574</v>
      </c>
      <c r="L285" s="151">
        <f t="shared" si="248"/>
        <v>1.3763346252525179</v>
      </c>
      <c r="M285" s="151">
        <f t="shared" si="248"/>
        <v>1.3763346252525179</v>
      </c>
      <c r="N285" s="151">
        <f t="shared" si="248"/>
        <v>1.1123716714432459</v>
      </c>
      <c r="O285" s="151">
        <f t="shared" si="248"/>
        <v>0.97528675685000454</v>
      </c>
      <c r="P285" s="151">
        <f t="shared" si="248"/>
        <v>0.92670686752146636</v>
      </c>
      <c r="Q285" s="151">
        <f t="shared" si="248"/>
        <v>0.83285482483164919</v>
      </c>
      <c r="R285" s="151">
        <f t="shared" si="248"/>
        <v>0.83030289047019967</v>
      </c>
      <c r="S285" s="151">
        <f t="shared" si="248"/>
        <v>0.83030289047019967</v>
      </c>
      <c r="T285" s="151">
        <f t="shared" si="248"/>
        <v>0.83030289047019967</v>
      </c>
      <c r="U285" s="151">
        <f t="shared" si="248"/>
        <v>0.83030289047019967</v>
      </c>
      <c r="V285" s="151">
        <f t="shared" si="248"/>
        <v>0.83030289047019967</v>
      </c>
      <c r="W285" s="151">
        <f t="shared" si="248"/>
        <v>0.83030289047019967</v>
      </c>
      <c r="X285" s="151">
        <f t="shared" si="248"/>
        <v>0.83030289047019967</v>
      </c>
      <c r="Y285" s="151">
        <f t="shared" si="248"/>
        <v>0.83030289047019967</v>
      </c>
    </row>
    <row r="286" spans="5:25" x14ac:dyDescent="0.25">
      <c r="F286" s="94" t="s">
        <v>192</v>
      </c>
      <c r="G286" s="94" t="s">
        <v>281</v>
      </c>
      <c r="J286" s="151">
        <f t="shared" ref="J286:Y286" si="249">J243 * J$93</f>
        <v>1.4496434110917948</v>
      </c>
      <c r="K286" s="151">
        <f t="shared" si="249"/>
        <v>1.4496434110917948</v>
      </c>
      <c r="L286" s="151">
        <f t="shared" si="249"/>
        <v>1.6538832863588351</v>
      </c>
      <c r="M286" s="151">
        <f t="shared" si="249"/>
        <v>1.6538832863588351</v>
      </c>
      <c r="N286" s="151">
        <f t="shared" si="249"/>
        <v>1.3366901346985203</v>
      </c>
      <c r="O286" s="151">
        <f t="shared" si="249"/>
        <v>1.1719609729831466</v>
      </c>
      <c r="P286" s="151">
        <f t="shared" si="249"/>
        <v>1.1135845683359917</v>
      </c>
      <c r="Q286" s="151">
        <f t="shared" si="249"/>
        <v>1.0878443951845305</v>
      </c>
      <c r="R286" s="151">
        <f t="shared" si="249"/>
        <v>0.99773997396319691</v>
      </c>
      <c r="S286" s="151">
        <f t="shared" si="249"/>
        <v>0.99773997396319691</v>
      </c>
      <c r="T286" s="151">
        <f t="shared" si="249"/>
        <v>0.99773997396319691</v>
      </c>
      <c r="U286" s="151">
        <f t="shared" si="249"/>
        <v>0.99773997396319691</v>
      </c>
      <c r="V286" s="151">
        <f t="shared" si="249"/>
        <v>0.99773997396319691</v>
      </c>
      <c r="W286" s="151">
        <f t="shared" si="249"/>
        <v>0.99773997396319691</v>
      </c>
      <c r="X286" s="151">
        <f t="shared" si="249"/>
        <v>0.99773997396319691</v>
      </c>
      <c r="Y286" s="151">
        <f t="shared" si="249"/>
        <v>0.99773997396319691</v>
      </c>
    </row>
    <row r="287" spans="5:25" x14ac:dyDescent="0.25">
      <c r="F287" s="94" t="s">
        <v>193</v>
      </c>
      <c r="G287" s="94" t="s">
        <v>281</v>
      </c>
      <c r="J287" s="151">
        <f t="shared" ref="J287:Y287" si="250">J244 * J$93</f>
        <v>1.4496434110917948</v>
      </c>
      <c r="K287" s="151">
        <f t="shared" si="250"/>
        <v>1.4496434110917948</v>
      </c>
      <c r="L287" s="151">
        <f t="shared" si="250"/>
        <v>1.6538832863588351</v>
      </c>
      <c r="M287" s="151">
        <f t="shared" si="250"/>
        <v>1.6538832863588351</v>
      </c>
      <c r="N287" s="151">
        <f t="shared" si="250"/>
        <v>1.3366901346985203</v>
      </c>
      <c r="O287" s="151">
        <f t="shared" si="250"/>
        <v>1.1719609729831466</v>
      </c>
      <c r="P287" s="151">
        <f t="shared" si="250"/>
        <v>1.1135845683359917</v>
      </c>
      <c r="Q287" s="151">
        <f t="shared" si="250"/>
        <v>1.0878443951845305</v>
      </c>
      <c r="R287" s="151">
        <f t="shared" si="250"/>
        <v>0.99773997396319691</v>
      </c>
      <c r="S287" s="151">
        <f t="shared" si="250"/>
        <v>0.99773997396319691</v>
      </c>
      <c r="T287" s="151">
        <f t="shared" si="250"/>
        <v>0.99773997396319691</v>
      </c>
      <c r="U287" s="151">
        <f t="shared" si="250"/>
        <v>0.99773997396319691</v>
      </c>
      <c r="V287" s="151">
        <f t="shared" si="250"/>
        <v>0.99773997396319691</v>
      </c>
      <c r="W287" s="151">
        <f t="shared" si="250"/>
        <v>0.99773997396319691</v>
      </c>
      <c r="X287" s="151">
        <f t="shared" si="250"/>
        <v>0.99773997396319691</v>
      </c>
      <c r="Y287" s="151">
        <f t="shared" si="250"/>
        <v>0.99773997396319691</v>
      </c>
    </row>
    <row r="288" spans="5:25" x14ac:dyDescent="0.25">
      <c r="F288" s="94" t="s">
        <v>194</v>
      </c>
      <c r="G288" s="94" t="s">
        <v>281</v>
      </c>
      <c r="J288" s="151">
        <f t="shared" ref="J288:Y288" si="251">J245 * J$93</f>
        <v>0</v>
      </c>
      <c r="K288" s="151">
        <f t="shared" si="251"/>
        <v>0</v>
      </c>
      <c r="L288" s="151">
        <f t="shared" si="251"/>
        <v>0</v>
      </c>
      <c r="M288" s="151">
        <f t="shared" si="251"/>
        <v>0</v>
      </c>
      <c r="N288" s="151">
        <f t="shared" si="251"/>
        <v>0</v>
      </c>
      <c r="O288" s="151">
        <f t="shared" si="251"/>
        <v>0</v>
      </c>
      <c r="P288" s="151">
        <f t="shared" si="251"/>
        <v>0</v>
      </c>
      <c r="Q288" s="151">
        <f t="shared" si="251"/>
        <v>0</v>
      </c>
      <c r="R288" s="151">
        <f t="shared" si="251"/>
        <v>0</v>
      </c>
      <c r="S288" s="151">
        <f t="shared" si="251"/>
        <v>0</v>
      </c>
      <c r="T288" s="151">
        <f t="shared" si="251"/>
        <v>0</v>
      </c>
      <c r="U288" s="151">
        <f t="shared" si="251"/>
        <v>0</v>
      </c>
      <c r="V288" s="151">
        <f t="shared" si="251"/>
        <v>0</v>
      </c>
      <c r="W288" s="151">
        <f t="shared" si="251"/>
        <v>0</v>
      </c>
      <c r="X288" s="151">
        <f t="shared" si="251"/>
        <v>0</v>
      </c>
      <c r="Y288" s="151">
        <f t="shared" si="251"/>
        <v>0</v>
      </c>
    </row>
    <row r="289" spans="2:27" x14ac:dyDescent="0.25">
      <c r="F289" s="94" t="s">
        <v>195</v>
      </c>
      <c r="G289" s="94" t="s">
        <v>281</v>
      </c>
      <c r="J289" s="151">
        <f t="shared" ref="J289:Y289" si="252">J246 * J$93</f>
        <v>1.4496434110917948</v>
      </c>
      <c r="K289" s="151">
        <f t="shared" si="252"/>
        <v>1.4496434110917948</v>
      </c>
      <c r="L289" s="151">
        <f t="shared" si="252"/>
        <v>1.6538832863588351</v>
      </c>
      <c r="M289" s="151">
        <f t="shared" si="252"/>
        <v>1.6538832863588351</v>
      </c>
      <c r="N289" s="151">
        <f t="shared" si="252"/>
        <v>1.3366901346985203</v>
      </c>
      <c r="O289" s="151">
        <f t="shared" si="252"/>
        <v>1.1719609729831466</v>
      </c>
      <c r="P289" s="151">
        <f t="shared" si="252"/>
        <v>1.1135845683359917</v>
      </c>
      <c r="Q289" s="151">
        <f t="shared" si="252"/>
        <v>1.0878443951845305</v>
      </c>
      <c r="R289" s="151">
        <f t="shared" si="252"/>
        <v>0.99773997396319691</v>
      </c>
      <c r="S289" s="151">
        <f t="shared" si="252"/>
        <v>0.99773997396319691</v>
      </c>
      <c r="T289" s="151">
        <f t="shared" si="252"/>
        <v>0.99773997396319691</v>
      </c>
      <c r="U289" s="151">
        <f t="shared" si="252"/>
        <v>0.99773997396319691</v>
      </c>
      <c r="V289" s="151">
        <f t="shared" si="252"/>
        <v>0.99773997396319691</v>
      </c>
      <c r="W289" s="151">
        <f t="shared" si="252"/>
        <v>0.99773997396319691</v>
      </c>
      <c r="X289" s="151">
        <f t="shared" si="252"/>
        <v>0.99773997396319691</v>
      </c>
      <c r="Y289" s="151">
        <f t="shared" si="252"/>
        <v>0.99773997396319691</v>
      </c>
    </row>
    <row r="290" spans="2:27" x14ac:dyDescent="0.25">
      <c r="F290" s="94" t="s">
        <v>196</v>
      </c>
      <c r="G290" s="94" t="s">
        <v>281</v>
      </c>
      <c r="J290" s="151">
        <f t="shared" ref="J290:Y290" si="253">J247 * J$93</f>
        <v>1.4496434110917948</v>
      </c>
      <c r="K290" s="151">
        <f t="shared" si="253"/>
        <v>1.4496434110917948</v>
      </c>
      <c r="L290" s="151">
        <f t="shared" si="253"/>
        <v>1.6538832863588351</v>
      </c>
      <c r="M290" s="151">
        <f t="shared" si="253"/>
        <v>1.6538832863588351</v>
      </c>
      <c r="N290" s="151">
        <f t="shared" si="253"/>
        <v>1.3366901346985203</v>
      </c>
      <c r="O290" s="151">
        <f t="shared" si="253"/>
        <v>1.1719609729831466</v>
      </c>
      <c r="P290" s="151">
        <f t="shared" si="253"/>
        <v>1.1135845683359917</v>
      </c>
      <c r="Q290" s="151">
        <f t="shared" si="253"/>
        <v>1.0878443951845305</v>
      </c>
      <c r="R290" s="151">
        <f t="shared" si="253"/>
        <v>0.99773997396319691</v>
      </c>
      <c r="S290" s="151">
        <f t="shared" si="253"/>
        <v>0.99773997396319691</v>
      </c>
      <c r="T290" s="151">
        <f t="shared" si="253"/>
        <v>0.99773997396319691</v>
      </c>
      <c r="U290" s="151">
        <f t="shared" si="253"/>
        <v>0.99773997396319691</v>
      </c>
      <c r="V290" s="151">
        <f t="shared" si="253"/>
        <v>0.99773997396319691</v>
      </c>
      <c r="W290" s="151">
        <f t="shared" si="253"/>
        <v>0.99773997396319691</v>
      </c>
      <c r="X290" s="151">
        <f t="shared" si="253"/>
        <v>0.99773997396319691</v>
      </c>
      <c r="Y290" s="151">
        <f t="shared" si="253"/>
        <v>0.99773997396319691</v>
      </c>
    </row>
    <row r="291" spans="2:27" x14ac:dyDescent="0.25">
      <c r="F291" s="101" t="s">
        <v>197</v>
      </c>
      <c r="G291" s="101" t="s">
        <v>281</v>
      </c>
      <c r="H291" s="96"/>
      <c r="I291" s="96"/>
      <c r="J291" s="150">
        <f t="shared" ref="J291:Y291" si="254">J248 * J$93</f>
        <v>1.4496434110917948</v>
      </c>
      <c r="K291" s="150">
        <f t="shared" si="254"/>
        <v>1.4496434110917948</v>
      </c>
      <c r="L291" s="150">
        <f t="shared" si="254"/>
        <v>1.6538832863588351</v>
      </c>
      <c r="M291" s="150">
        <f t="shared" si="254"/>
        <v>1.6538832863588351</v>
      </c>
      <c r="N291" s="150">
        <f t="shared" si="254"/>
        <v>1.3366901346985203</v>
      </c>
      <c r="O291" s="150">
        <f t="shared" si="254"/>
        <v>1.1719609729831466</v>
      </c>
      <c r="P291" s="150">
        <f t="shared" si="254"/>
        <v>1.1135845683359917</v>
      </c>
      <c r="Q291" s="150">
        <f t="shared" si="254"/>
        <v>1.0878443951845305</v>
      </c>
      <c r="R291" s="150">
        <f t="shared" si="254"/>
        <v>0.99773997396319691</v>
      </c>
      <c r="S291" s="150">
        <f t="shared" si="254"/>
        <v>0.99773997396319691</v>
      </c>
      <c r="T291" s="150">
        <f t="shared" si="254"/>
        <v>0.99773997396319691</v>
      </c>
      <c r="U291" s="150">
        <f t="shared" si="254"/>
        <v>0.99773997396319691</v>
      </c>
      <c r="V291" s="150">
        <f t="shared" si="254"/>
        <v>0.99773997396319691</v>
      </c>
      <c r="W291" s="150">
        <f t="shared" si="254"/>
        <v>0.99773997396319691</v>
      </c>
      <c r="X291" s="150">
        <f t="shared" si="254"/>
        <v>0.99773997396319691</v>
      </c>
      <c r="Y291" s="150">
        <f t="shared" si="254"/>
        <v>0.99773997396319691</v>
      </c>
    </row>
    <row r="292" spans="2:27" x14ac:dyDescent="0.25">
      <c r="J292" s="106"/>
      <c r="K292" s="106"/>
      <c r="L292" s="106"/>
      <c r="M292" s="106"/>
      <c r="N292" s="106"/>
      <c r="O292" s="106"/>
      <c r="P292" s="106"/>
      <c r="Q292" s="106"/>
      <c r="R292" s="106"/>
      <c r="S292" s="106"/>
      <c r="T292" s="106"/>
      <c r="U292" s="106"/>
      <c r="V292" s="106"/>
      <c r="W292" s="106"/>
      <c r="X292" s="106"/>
      <c r="Y292" s="106"/>
    </row>
    <row r="293" spans="2:27" x14ac:dyDescent="0.25">
      <c r="E293" s="75" t="s">
        <v>156</v>
      </c>
      <c r="F293" s="94"/>
      <c r="G293" s="94"/>
      <c r="J293" s="106"/>
      <c r="K293" s="106"/>
      <c r="L293" s="106"/>
      <c r="M293" s="106"/>
      <c r="N293" s="106"/>
      <c r="O293" s="106"/>
      <c r="P293" s="106"/>
      <c r="Q293" s="106"/>
      <c r="R293" s="106"/>
      <c r="S293" s="106"/>
      <c r="T293" s="106"/>
      <c r="U293" s="106"/>
      <c r="V293" s="106"/>
      <c r="W293" s="106"/>
      <c r="X293" s="106"/>
      <c r="Y293" s="106"/>
    </row>
    <row r="294" spans="2:27" x14ac:dyDescent="0.25">
      <c r="F294" s="98" t="s">
        <v>189</v>
      </c>
      <c r="G294" s="98" t="s">
        <v>281</v>
      </c>
      <c r="H294" s="95"/>
      <c r="I294" s="95"/>
      <c r="J294" s="149">
        <f>J251 * J$93</f>
        <v>7.7888444833267234E-2</v>
      </c>
      <c r="K294" s="149">
        <f t="shared" ref="K294:Y294" si="255">K251 * K$93</f>
        <v>7.7888444833267234E-2</v>
      </c>
      <c r="L294" s="149">
        <f t="shared" si="255"/>
        <v>8.8862127144222064E-2</v>
      </c>
      <c r="M294" s="149">
        <f t="shared" si="255"/>
        <v>8.8862127144222064E-2</v>
      </c>
      <c r="N294" s="149">
        <f t="shared" si="255"/>
        <v>7.1819535079475888E-2</v>
      </c>
      <c r="O294" s="149">
        <f t="shared" si="255"/>
        <v>6.2968738996434348E-2</v>
      </c>
      <c r="P294" s="149">
        <f t="shared" si="255"/>
        <v>5.9832210841900151E-2</v>
      </c>
      <c r="Q294" s="149">
        <f t="shared" si="255"/>
        <v>6.5272935701885901E-2</v>
      </c>
      <c r="R294" s="149">
        <f t="shared" si="255"/>
        <v>5.3607952359435114E-2</v>
      </c>
      <c r="S294" s="149">
        <f t="shared" si="255"/>
        <v>5.3607952359435114E-2</v>
      </c>
      <c r="T294" s="149">
        <f t="shared" si="255"/>
        <v>5.3607952359435114E-2</v>
      </c>
      <c r="U294" s="149">
        <f t="shared" si="255"/>
        <v>5.3607952359435114E-2</v>
      </c>
      <c r="V294" s="149">
        <f t="shared" si="255"/>
        <v>5.3607952359435114E-2</v>
      </c>
      <c r="W294" s="149">
        <f t="shared" si="255"/>
        <v>5.3607952359435114E-2</v>
      </c>
      <c r="X294" s="149">
        <f t="shared" si="255"/>
        <v>5.3607952359435114E-2</v>
      </c>
      <c r="Y294" s="149">
        <f t="shared" si="255"/>
        <v>5.3607952359435114E-2</v>
      </c>
    </row>
    <row r="295" spans="2:27" x14ac:dyDescent="0.25">
      <c r="F295" s="94" t="s">
        <v>190</v>
      </c>
      <c r="G295" s="94" t="s">
        <v>281</v>
      </c>
      <c r="J295" s="151">
        <f t="shared" ref="J295:Y295" si="256">J252 * J$93</f>
        <v>0.2051133262009843</v>
      </c>
      <c r="K295" s="151">
        <f t="shared" si="256"/>
        <v>0.2051133262009843</v>
      </c>
      <c r="L295" s="151">
        <f t="shared" si="256"/>
        <v>0.23401168826600116</v>
      </c>
      <c r="M295" s="151">
        <f t="shared" si="256"/>
        <v>0.23401168826600116</v>
      </c>
      <c r="N295" s="151">
        <f t="shared" si="256"/>
        <v>0.18913131155582782</v>
      </c>
      <c r="O295" s="151">
        <f t="shared" si="256"/>
        <v>0.16582340974824283</v>
      </c>
      <c r="P295" s="151">
        <f t="shared" si="256"/>
        <v>0.15756360017216609</v>
      </c>
      <c r="Q295" s="151">
        <f t="shared" si="256"/>
        <v>0.17189133742979096</v>
      </c>
      <c r="R295" s="151">
        <f t="shared" si="256"/>
        <v>0.14117248640418639</v>
      </c>
      <c r="S295" s="151">
        <f t="shared" si="256"/>
        <v>0.14117248640418639</v>
      </c>
      <c r="T295" s="151">
        <f t="shared" si="256"/>
        <v>0.14117248640418639</v>
      </c>
      <c r="U295" s="151">
        <f t="shared" si="256"/>
        <v>0.14117248640418639</v>
      </c>
      <c r="V295" s="151">
        <f t="shared" si="256"/>
        <v>0.14117248640418639</v>
      </c>
      <c r="W295" s="151">
        <f t="shared" si="256"/>
        <v>0.14117248640418639</v>
      </c>
      <c r="X295" s="151">
        <f t="shared" si="256"/>
        <v>0.14117248640418639</v>
      </c>
      <c r="Y295" s="151">
        <f t="shared" si="256"/>
        <v>0.14117248640418639</v>
      </c>
    </row>
    <row r="296" spans="2:27" x14ac:dyDescent="0.25">
      <c r="F296" s="94" t="s">
        <v>191</v>
      </c>
      <c r="G296" s="94" t="s">
        <v>281</v>
      </c>
      <c r="J296" s="151">
        <f t="shared" ref="J296:Y296" si="257">J253 * J$93</f>
        <v>0.2051133262009843</v>
      </c>
      <c r="K296" s="151">
        <f t="shared" si="257"/>
        <v>0.2051133262009843</v>
      </c>
      <c r="L296" s="151">
        <f t="shared" si="257"/>
        <v>0.23401168826600116</v>
      </c>
      <c r="M296" s="151">
        <f t="shared" si="257"/>
        <v>0.23401168826600116</v>
      </c>
      <c r="N296" s="151">
        <f t="shared" si="257"/>
        <v>0.18913131155582782</v>
      </c>
      <c r="O296" s="151">
        <f t="shared" si="257"/>
        <v>0.16582340974824283</v>
      </c>
      <c r="P296" s="151">
        <f t="shared" si="257"/>
        <v>0.15756360017216609</v>
      </c>
      <c r="Q296" s="151">
        <f t="shared" si="257"/>
        <v>0.17189133742979096</v>
      </c>
      <c r="R296" s="151">
        <f t="shared" si="257"/>
        <v>0.14117248640418639</v>
      </c>
      <c r="S296" s="151">
        <f t="shared" si="257"/>
        <v>0.14117248640418639</v>
      </c>
      <c r="T296" s="151">
        <f t="shared" si="257"/>
        <v>0.14117248640418639</v>
      </c>
      <c r="U296" s="151">
        <f t="shared" si="257"/>
        <v>0.14117248640418639</v>
      </c>
      <c r="V296" s="151">
        <f t="shared" si="257"/>
        <v>0.14117248640418639</v>
      </c>
      <c r="W296" s="151">
        <f t="shared" si="257"/>
        <v>0.14117248640418639</v>
      </c>
      <c r="X296" s="151">
        <f t="shared" si="257"/>
        <v>0.14117248640418639</v>
      </c>
      <c r="Y296" s="151">
        <f t="shared" si="257"/>
        <v>0.14117248640418639</v>
      </c>
    </row>
    <row r="297" spans="2:27" x14ac:dyDescent="0.25">
      <c r="F297" s="94" t="s">
        <v>192</v>
      </c>
      <c r="G297" s="94" t="s">
        <v>281</v>
      </c>
      <c r="J297" s="151">
        <f t="shared" ref="J297:Y297" si="258">J254 * J$93</f>
        <v>0.19403472155835408</v>
      </c>
      <c r="K297" s="151">
        <f t="shared" si="258"/>
        <v>0.19403472155835408</v>
      </c>
      <c r="L297" s="151">
        <f t="shared" si="258"/>
        <v>0.22137222195695636</v>
      </c>
      <c r="M297" s="151">
        <f t="shared" si="258"/>
        <v>0.22137222195695636</v>
      </c>
      <c r="N297" s="151">
        <f t="shared" si="258"/>
        <v>0.17891592933236369</v>
      </c>
      <c r="O297" s="151">
        <f t="shared" si="258"/>
        <v>0.15686693660669013</v>
      </c>
      <c r="P297" s="151">
        <f t="shared" si="258"/>
        <v>0.14905325681852927</v>
      </c>
      <c r="Q297" s="151">
        <f t="shared" si="258"/>
        <v>0.16260712267812916</v>
      </c>
      <c r="R297" s="151">
        <f t="shared" si="258"/>
        <v>0.13354746177874319</v>
      </c>
      <c r="S297" s="151">
        <f t="shared" si="258"/>
        <v>0.13354746177874319</v>
      </c>
      <c r="T297" s="151">
        <f t="shared" si="258"/>
        <v>0.13354746177874319</v>
      </c>
      <c r="U297" s="151">
        <f t="shared" si="258"/>
        <v>0.13354746177874319</v>
      </c>
      <c r="V297" s="151">
        <f t="shared" si="258"/>
        <v>0.13354746177874319</v>
      </c>
      <c r="W297" s="151">
        <f t="shared" si="258"/>
        <v>0.13354746177874319</v>
      </c>
      <c r="X297" s="151">
        <f t="shared" si="258"/>
        <v>0.13354746177874319</v>
      </c>
      <c r="Y297" s="151">
        <f t="shared" si="258"/>
        <v>0.13354746177874319</v>
      </c>
    </row>
    <row r="298" spans="2:27" x14ac:dyDescent="0.25">
      <c r="F298" s="94" t="s">
        <v>193</v>
      </c>
      <c r="G298" s="94" t="s">
        <v>281</v>
      </c>
      <c r="J298" s="151">
        <f t="shared" ref="J298:Y298" si="259">J255 * J$93</f>
        <v>0.19403472155835408</v>
      </c>
      <c r="K298" s="151">
        <f t="shared" si="259"/>
        <v>0.19403472155835408</v>
      </c>
      <c r="L298" s="151">
        <f t="shared" si="259"/>
        <v>0.22137222195695636</v>
      </c>
      <c r="M298" s="151">
        <f t="shared" si="259"/>
        <v>0.22137222195695636</v>
      </c>
      <c r="N298" s="151">
        <f t="shared" si="259"/>
        <v>0.17891592933236369</v>
      </c>
      <c r="O298" s="151">
        <f t="shared" si="259"/>
        <v>0.15686693660669013</v>
      </c>
      <c r="P298" s="151">
        <f t="shared" si="259"/>
        <v>0.14905325681852927</v>
      </c>
      <c r="Q298" s="151">
        <f t="shared" si="259"/>
        <v>0.16260712267812916</v>
      </c>
      <c r="R298" s="151">
        <f t="shared" si="259"/>
        <v>0.13354746177874319</v>
      </c>
      <c r="S298" s="151">
        <f t="shared" si="259"/>
        <v>0.13354746177874319</v>
      </c>
      <c r="T298" s="151">
        <f t="shared" si="259"/>
        <v>0.13354746177874319</v>
      </c>
      <c r="U298" s="151">
        <f t="shared" si="259"/>
        <v>0.13354746177874319</v>
      </c>
      <c r="V298" s="151">
        <f t="shared" si="259"/>
        <v>0.13354746177874319</v>
      </c>
      <c r="W298" s="151">
        <f t="shared" si="259"/>
        <v>0.13354746177874319</v>
      </c>
      <c r="X298" s="151">
        <f t="shared" si="259"/>
        <v>0.13354746177874319</v>
      </c>
      <c r="Y298" s="151">
        <f t="shared" si="259"/>
        <v>0.13354746177874319</v>
      </c>
    </row>
    <row r="299" spans="2:27" x14ac:dyDescent="0.25">
      <c r="F299" s="94" t="s">
        <v>194</v>
      </c>
      <c r="G299" s="94" t="s">
        <v>281</v>
      </c>
      <c r="J299" s="151">
        <f t="shared" ref="J299:Y299" si="260">J256 * J$93</f>
        <v>0</v>
      </c>
      <c r="K299" s="151">
        <f t="shared" si="260"/>
        <v>0</v>
      </c>
      <c r="L299" s="151">
        <f t="shared" si="260"/>
        <v>0</v>
      </c>
      <c r="M299" s="151">
        <f t="shared" si="260"/>
        <v>0</v>
      </c>
      <c r="N299" s="151">
        <f t="shared" si="260"/>
        <v>0</v>
      </c>
      <c r="O299" s="151">
        <f t="shared" si="260"/>
        <v>0</v>
      </c>
      <c r="P299" s="151">
        <f t="shared" si="260"/>
        <v>0</v>
      </c>
      <c r="Q299" s="151">
        <f t="shared" si="260"/>
        <v>0</v>
      </c>
      <c r="R299" s="151">
        <f t="shared" si="260"/>
        <v>0</v>
      </c>
      <c r="S299" s="151">
        <f t="shared" si="260"/>
        <v>0</v>
      </c>
      <c r="T299" s="151">
        <f t="shared" si="260"/>
        <v>0</v>
      </c>
      <c r="U299" s="151">
        <f t="shared" si="260"/>
        <v>0</v>
      </c>
      <c r="V299" s="151">
        <f t="shared" si="260"/>
        <v>0</v>
      </c>
      <c r="W299" s="151">
        <f t="shared" si="260"/>
        <v>0</v>
      </c>
      <c r="X299" s="151">
        <f t="shared" si="260"/>
        <v>0</v>
      </c>
      <c r="Y299" s="151">
        <f t="shared" si="260"/>
        <v>0</v>
      </c>
    </row>
    <row r="300" spans="2:27" x14ac:dyDescent="0.25">
      <c r="F300" s="94" t="s">
        <v>195</v>
      </c>
      <c r="G300" s="94" t="s">
        <v>281</v>
      </c>
      <c r="J300" s="151">
        <f t="shared" ref="J300:Y300" si="261">J257 * J$93</f>
        <v>0.19403472155835408</v>
      </c>
      <c r="K300" s="151">
        <f t="shared" si="261"/>
        <v>0.19403472155835408</v>
      </c>
      <c r="L300" s="151">
        <f t="shared" si="261"/>
        <v>0.22137222195695636</v>
      </c>
      <c r="M300" s="151">
        <f t="shared" si="261"/>
        <v>0.22137222195695636</v>
      </c>
      <c r="N300" s="151">
        <f t="shared" si="261"/>
        <v>0.17891592933236369</v>
      </c>
      <c r="O300" s="151">
        <f t="shared" si="261"/>
        <v>0.15686693660669013</v>
      </c>
      <c r="P300" s="151">
        <f t="shared" si="261"/>
        <v>0.14905325681852927</v>
      </c>
      <c r="Q300" s="151">
        <f t="shared" si="261"/>
        <v>0.16260712267812916</v>
      </c>
      <c r="R300" s="151">
        <f t="shared" si="261"/>
        <v>0.13354746177874319</v>
      </c>
      <c r="S300" s="151">
        <f t="shared" si="261"/>
        <v>0.13354746177874319</v>
      </c>
      <c r="T300" s="151">
        <f t="shared" si="261"/>
        <v>0.13354746177874319</v>
      </c>
      <c r="U300" s="151">
        <f t="shared" si="261"/>
        <v>0.13354746177874319</v>
      </c>
      <c r="V300" s="151">
        <f t="shared" si="261"/>
        <v>0.13354746177874319</v>
      </c>
      <c r="W300" s="151">
        <f t="shared" si="261"/>
        <v>0.13354746177874319</v>
      </c>
      <c r="X300" s="151">
        <f t="shared" si="261"/>
        <v>0.13354746177874319</v>
      </c>
      <c r="Y300" s="151">
        <f t="shared" si="261"/>
        <v>0.13354746177874319</v>
      </c>
    </row>
    <row r="301" spans="2:27" x14ac:dyDescent="0.25">
      <c r="F301" s="94" t="s">
        <v>196</v>
      </c>
      <c r="G301" s="94" t="s">
        <v>281</v>
      </c>
      <c r="J301" s="151">
        <f t="shared" ref="J301:Y301" si="262">J258 * J$93</f>
        <v>0.19403472155835408</v>
      </c>
      <c r="K301" s="151">
        <f t="shared" si="262"/>
        <v>0.19403472155835408</v>
      </c>
      <c r="L301" s="151">
        <f t="shared" si="262"/>
        <v>0.22137222195695636</v>
      </c>
      <c r="M301" s="151">
        <f t="shared" si="262"/>
        <v>0.22137222195695636</v>
      </c>
      <c r="N301" s="151">
        <f t="shared" si="262"/>
        <v>0.17891592933236369</v>
      </c>
      <c r="O301" s="151">
        <f t="shared" si="262"/>
        <v>0.15686693660669013</v>
      </c>
      <c r="P301" s="151">
        <f t="shared" si="262"/>
        <v>0.14905325681852927</v>
      </c>
      <c r="Q301" s="151">
        <f t="shared" si="262"/>
        <v>0.16260712267812916</v>
      </c>
      <c r="R301" s="151">
        <f t="shared" si="262"/>
        <v>0.13354746177874319</v>
      </c>
      <c r="S301" s="151">
        <f t="shared" si="262"/>
        <v>0.13354746177874319</v>
      </c>
      <c r="T301" s="151">
        <f t="shared" si="262"/>
        <v>0.13354746177874319</v>
      </c>
      <c r="U301" s="151">
        <f t="shared" si="262"/>
        <v>0.13354746177874319</v>
      </c>
      <c r="V301" s="151">
        <f t="shared" si="262"/>
        <v>0.13354746177874319</v>
      </c>
      <c r="W301" s="151">
        <f t="shared" si="262"/>
        <v>0.13354746177874319</v>
      </c>
      <c r="X301" s="151">
        <f t="shared" si="262"/>
        <v>0.13354746177874319</v>
      </c>
      <c r="Y301" s="151">
        <f t="shared" si="262"/>
        <v>0.13354746177874319</v>
      </c>
    </row>
    <row r="302" spans="2:27" x14ac:dyDescent="0.25">
      <c r="F302" s="101" t="s">
        <v>197</v>
      </c>
      <c r="G302" s="101" t="s">
        <v>281</v>
      </c>
      <c r="H302" s="96"/>
      <c r="I302" s="96"/>
      <c r="J302" s="150">
        <f t="shared" ref="J302:Y302" si="263">J259 * J$93</f>
        <v>0.19403472155835408</v>
      </c>
      <c r="K302" s="150">
        <f t="shared" si="263"/>
        <v>0.19403472155835408</v>
      </c>
      <c r="L302" s="150">
        <f t="shared" si="263"/>
        <v>0.22137222195695636</v>
      </c>
      <c r="M302" s="150">
        <f t="shared" si="263"/>
        <v>0.22137222195695636</v>
      </c>
      <c r="N302" s="150">
        <f t="shared" si="263"/>
        <v>0.17891592933236369</v>
      </c>
      <c r="O302" s="150">
        <f t="shared" si="263"/>
        <v>0.15686693660669013</v>
      </c>
      <c r="P302" s="150">
        <f t="shared" si="263"/>
        <v>0.14905325681852927</v>
      </c>
      <c r="Q302" s="150">
        <f t="shared" si="263"/>
        <v>0.16260712267812916</v>
      </c>
      <c r="R302" s="150">
        <f t="shared" si="263"/>
        <v>0.13354746177874319</v>
      </c>
      <c r="S302" s="150">
        <f t="shared" si="263"/>
        <v>0.13354746177874319</v>
      </c>
      <c r="T302" s="150">
        <f t="shared" si="263"/>
        <v>0.13354746177874319</v>
      </c>
      <c r="U302" s="150">
        <f t="shared" si="263"/>
        <v>0.13354746177874319</v>
      </c>
      <c r="V302" s="150">
        <f t="shared" si="263"/>
        <v>0.13354746177874319</v>
      </c>
      <c r="W302" s="150">
        <f t="shared" si="263"/>
        <v>0.13354746177874319</v>
      </c>
      <c r="X302" s="150">
        <f t="shared" si="263"/>
        <v>0.13354746177874319</v>
      </c>
      <c r="Y302" s="150">
        <f t="shared" si="263"/>
        <v>0.13354746177874319</v>
      </c>
    </row>
    <row r="304" spans="2:27" x14ac:dyDescent="0.25">
      <c r="B304" s="85" t="s">
        <v>229</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25">
      <c r="E306" t="s">
        <v>230</v>
      </c>
      <c r="G306" s="6" t="s">
        <v>54</v>
      </c>
      <c r="H306" s="113">
        <f t="array" ref="H306">SUM(IF(ISERROR(H20:Y302), 1))</f>
        <v>0</v>
      </c>
    </row>
    <row r="308" spans="2:27" x14ac:dyDescent="0.25">
      <c r="B308" s="85" t="s">
        <v>105</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H281 &amp; IF(H281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445</v>
      </c>
      <c r="D9" s="86"/>
    </row>
    <row r="10" spans="1:43" x14ac:dyDescent="0.25">
      <c r="C10" s="86" t="s">
        <v>446</v>
      </c>
      <c r="D10" s="86"/>
    </row>
    <row r="11" spans="1:43" x14ac:dyDescent="0.25">
      <c r="C11" s="86" t="s">
        <v>447</v>
      </c>
      <c r="D11" s="86"/>
    </row>
    <row r="12" spans="1:43" x14ac:dyDescent="0.25">
      <c r="C12" s="86"/>
      <c r="D12" s="86" t="s">
        <v>448</v>
      </c>
    </row>
    <row r="13" spans="1:43" x14ac:dyDescent="0.25">
      <c r="C13" s="86"/>
      <c r="D13" s="86" t="s">
        <v>449</v>
      </c>
    </row>
    <row r="14" spans="1:43" x14ac:dyDescent="0.25">
      <c r="C14" s="86"/>
      <c r="D14" s="86" t="s">
        <v>450</v>
      </c>
    </row>
    <row r="16" spans="1:43" x14ac:dyDescent="0.25">
      <c r="B16" s="85" t="s">
        <v>451</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25">
      <c r="C17" s="75"/>
      <c r="AQ17" s="3"/>
    </row>
    <row r="18" spans="3:43" x14ac:dyDescent="0.2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25">
      <c r="H19" s="97"/>
      <c r="J19" s="97"/>
      <c r="K19" s="97"/>
      <c r="L19" s="97"/>
      <c r="M19" s="97"/>
      <c r="N19" s="97"/>
      <c r="O19" s="97"/>
      <c r="P19" s="97"/>
      <c r="Q19" s="97"/>
      <c r="R19" s="97"/>
      <c r="S19" s="97"/>
      <c r="T19" s="97"/>
      <c r="U19" s="97"/>
      <c r="V19" s="97"/>
      <c r="W19" s="97"/>
      <c r="X19" s="97"/>
      <c r="Y19" s="97"/>
    </row>
    <row r="20" spans="3:43" x14ac:dyDescent="0.25">
      <c r="D20" s="86" t="s">
        <v>452</v>
      </c>
      <c r="AQ20" s="3"/>
    </row>
    <row r="21" spans="3:43" x14ac:dyDescent="0.25">
      <c r="C21" s="75"/>
      <c r="AQ21" s="3"/>
    </row>
    <row r="22" spans="3:43" x14ac:dyDescent="0.25">
      <c r="E22" s="75" t="s">
        <v>334</v>
      </c>
      <c r="H22" s="62"/>
      <c r="J22" s="97"/>
      <c r="L22" s="97"/>
      <c r="AQ22" s="3"/>
    </row>
    <row r="23" spans="3:43" x14ac:dyDescent="0.25">
      <c r="E23" s="75"/>
      <c r="F23" s="95" t="s">
        <v>189</v>
      </c>
      <c r="G23" s="95" t="s">
        <v>165</v>
      </c>
      <c r="H23" s="175"/>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25">
      <c r="E24" s="75"/>
      <c r="F24" t="s">
        <v>190</v>
      </c>
      <c r="G24" t="s">
        <v>165</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25">
      <c r="E25" s="75"/>
      <c r="F25" t="s">
        <v>191</v>
      </c>
      <c r="G25" t="s">
        <v>165</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25">
      <c r="E26" s="75"/>
      <c r="F26" t="s">
        <v>192</v>
      </c>
      <c r="G26" t="s">
        <v>165</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25">
      <c r="E27" s="75"/>
      <c r="F27" t="s">
        <v>193</v>
      </c>
      <c r="G27" t="s">
        <v>165</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25">
      <c r="E28" s="75"/>
      <c r="F28" t="s">
        <v>194</v>
      </c>
      <c r="G28" t="s">
        <v>165</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25">
      <c r="E29" s="75"/>
      <c r="F29" t="s">
        <v>195</v>
      </c>
      <c r="G29" t="s">
        <v>165</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25">
      <c r="E30" s="75"/>
      <c r="F30" t="s">
        <v>196</v>
      </c>
      <c r="G30" t="s">
        <v>165</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25">
      <c r="E31" s="75"/>
      <c r="F31" s="96" t="s">
        <v>197</v>
      </c>
      <c r="G31" s="96" t="s">
        <v>165</v>
      </c>
      <c r="H31" s="176"/>
      <c r="I31" s="96"/>
      <c r="J31" s="186">
        <f>'Standing charge factors'!J52</f>
        <v>1</v>
      </c>
      <c r="K31" s="186">
        <f>'Standing charge factors'!K52</f>
        <v>1</v>
      </c>
      <c r="L31" s="186">
        <f>'Standing charge factors'!L52</f>
        <v>1</v>
      </c>
      <c r="M31" s="186">
        <f>'Standing charge factors'!M52</f>
        <v>1</v>
      </c>
      <c r="N31" s="186">
        <f>'Standing charge factors'!N52</f>
        <v>1</v>
      </c>
      <c r="O31" s="186">
        <f>'Standing charge factors'!O52</f>
        <v>0</v>
      </c>
      <c r="P31" s="186">
        <f>'Standing charge factors'!P52</f>
        <v>0</v>
      </c>
      <c r="Q31" s="186">
        <f>'Standing charge factors'!Q52</f>
        <v>0</v>
      </c>
      <c r="R31" s="186">
        <f>'Standing charge factors'!R52</f>
        <v>0</v>
      </c>
      <c r="S31" s="186">
        <f>'Standing charge factors'!S52</f>
        <v>0</v>
      </c>
      <c r="T31" s="186">
        <f>'Standing charge factors'!T52</f>
        <v>0</v>
      </c>
      <c r="U31" s="186">
        <f>'Standing charge factors'!U52</f>
        <v>0</v>
      </c>
      <c r="V31" s="186">
        <f>'Standing charge factors'!V52</f>
        <v>0</v>
      </c>
      <c r="W31" s="186">
        <f>'Standing charge factors'!W52</f>
        <v>0</v>
      </c>
      <c r="X31" s="186">
        <f>'Standing charge factors'!X52</f>
        <v>0</v>
      </c>
      <c r="Y31" s="186">
        <f>'Standing charge factors'!Y52</f>
        <v>0</v>
      </c>
      <c r="AQ31" s="3"/>
    </row>
    <row r="32" spans="3:43" x14ac:dyDescent="0.25">
      <c r="E32" s="75"/>
      <c r="J32" s="97"/>
      <c r="K32" s="97"/>
      <c r="L32" s="97"/>
      <c r="M32" s="97"/>
      <c r="N32" s="97"/>
      <c r="O32" s="97"/>
      <c r="P32" s="97"/>
      <c r="Q32" s="97"/>
      <c r="R32" s="97"/>
      <c r="S32" s="97"/>
      <c r="T32" s="97"/>
      <c r="U32" s="97"/>
      <c r="V32" s="97"/>
      <c r="W32" s="97"/>
      <c r="X32" s="97"/>
      <c r="Y32" s="97"/>
      <c r="AQ32" s="3"/>
    </row>
    <row r="33" spans="5:43" x14ac:dyDescent="0.25">
      <c r="E33" s="75" t="s">
        <v>453</v>
      </c>
      <c r="I33" t="s">
        <v>152</v>
      </c>
      <c r="J33" s="97"/>
      <c r="K33" s="97"/>
      <c r="L33" s="97"/>
      <c r="M33" s="97"/>
      <c r="N33" s="97"/>
      <c r="O33" s="97"/>
      <c r="P33" s="97"/>
      <c r="Q33" s="97"/>
      <c r="R33" s="97"/>
      <c r="S33" s="97"/>
      <c r="T33" s="97"/>
      <c r="U33" s="97"/>
      <c r="V33" s="97"/>
      <c r="W33" s="97"/>
      <c r="X33" s="97"/>
      <c r="Y33" s="97"/>
      <c r="AA33" t="s">
        <v>454</v>
      </c>
      <c r="AQ33" s="3"/>
    </row>
    <row r="34" spans="5:43" x14ac:dyDescent="0.25">
      <c r="E34" s="75"/>
      <c r="F34" s="95" t="s">
        <v>189</v>
      </c>
      <c r="G34" s="95" t="s">
        <v>281</v>
      </c>
      <c r="H34" s="222"/>
      <c r="I34" s="222"/>
      <c r="J34" s="170">
        <f t="array" ref="J34:Y42">TRANSPOSE('Load &amp; loss characteristics'!K145:S160)</f>
        <v>1.1020000000000001</v>
      </c>
      <c r="K34" s="170">
        <v>1.1020000000000001</v>
      </c>
      <c r="L34" s="170">
        <v>1.1020000000000001</v>
      </c>
      <c r="M34" s="170">
        <v>1.1020000000000001</v>
      </c>
      <c r="N34" s="170">
        <v>1.1020000000000001</v>
      </c>
      <c r="O34" s="170">
        <v>1.04</v>
      </c>
      <c r="P34" s="170">
        <v>1.024</v>
      </c>
      <c r="Q34" s="170">
        <v>1.1020000000000001</v>
      </c>
      <c r="R34" s="170">
        <v>-1.1020000000000001</v>
      </c>
      <c r="S34" s="170">
        <v>-1.04</v>
      </c>
      <c r="T34" s="170">
        <v>-1.1020000000000001</v>
      </c>
      <c r="U34" s="170">
        <v>-1.1020000000000001</v>
      </c>
      <c r="V34" s="170">
        <v>-1.04</v>
      </c>
      <c r="W34" s="170">
        <v>-1.04</v>
      </c>
      <c r="X34" s="170">
        <v>-1.024</v>
      </c>
      <c r="Y34" s="170">
        <v>-1.024</v>
      </c>
      <c r="AQ34" s="3"/>
    </row>
    <row r="35" spans="5:43" x14ac:dyDescent="0.25">
      <c r="E35" s="75"/>
      <c r="F35" t="s">
        <v>190</v>
      </c>
      <c r="G35" t="s">
        <v>281</v>
      </c>
      <c r="H35" s="106"/>
      <c r="I35" s="106"/>
      <c r="J35" s="167">
        <v>1.1020000000000001</v>
      </c>
      <c r="K35" s="167">
        <v>1.1020000000000001</v>
      </c>
      <c r="L35" s="167">
        <v>1.1020000000000001</v>
      </c>
      <c r="M35" s="167">
        <v>1.1020000000000001</v>
      </c>
      <c r="N35" s="167">
        <v>1.1020000000000001</v>
      </c>
      <c r="O35" s="167">
        <v>1.04</v>
      </c>
      <c r="P35" s="167">
        <v>1.024</v>
      </c>
      <c r="Q35" s="167">
        <v>1.1020000000000001</v>
      </c>
      <c r="R35" s="167">
        <v>-1.1020000000000001</v>
      </c>
      <c r="S35" s="167">
        <v>-1.04</v>
      </c>
      <c r="T35" s="167">
        <v>-1.1020000000000001</v>
      </c>
      <c r="U35" s="167">
        <v>-1.1020000000000001</v>
      </c>
      <c r="V35" s="167">
        <v>-1.04</v>
      </c>
      <c r="W35" s="167">
        <v>-1.04</v>
      </c>
      <c r="X35" s="167">
        <v>-1.024</v>
      </c>
      <c r="Y35" s="167">
        <v>-1.024</v>
      </c>
      <c r="AQ35" s="3"/>
    </row>
    <row r="36" spans="5:43" x14ac:dyDescent="0.25">
      <c r="E36" s="75"/>
      <c r="F36" t="s">
        <v>191</v>
      </c>
      <c r="G36" t="s">
        <v>281</v>
      </c>
      <c r="H36" s="106"/>
      <c r="I36" s="106"/>
      <c r="J36" s="167">
        <v>1.1020000000000001</v>
      </c>
      <c r="K36" s="167">
        <v>1.1020000000000001</v>
      </c>
      <c r="L36" s="167">
        <v>1.1020000000000001</v>
      </c>
      <c r="M36" s="167">
        <v>1.1020000000000001</v>
      </c>
      <c r="N36" s="167">
        <v>1.1020000000000001</v>
      </c>
      <c r="O36" s="167">
        <v>1.04</v>
      </c>
      <c r="P36" s="167">
        <v>1.024</v>
      </c>
      <c r="Q36" s="167">
        <v>1.1020000000000001</v>
      </c>
      <c r="R36" s="167">
        <v>-1.1020000000000001</v>
      </c>
      <c r="S36" s="167">
        <v>-1.04</v>
      </c>
      <c r="T36" s="167">
        <v>-1.1020000000000001</v>
      </c>
      <c r="U36" s="167">
        <v>-1.1020000000000001</v>
      </c>
      <c r="V36" s="167">
        <v>-1.04</v>
      </c>
      <c r="W36" s="167">
        <v>-1.04</v>
      </c>
      <c r="X36" s="167">
        <v>-1.024</v>
      </c>
      <c r="Y36" s="167">
        <v>-1.024</v>
      </c>
      <c r="AQ36" s="3"/>
    </row>
    <row r="37" spans="5:43" x14ac:dyDescent="0.25">
      <c r="E37" s="75"/>
      <c r="F37" t="s">
        <v>192</v>
      </c>
      <c r="G37" t="s">
        <v>281</v>
      </c>
      <c r="H37" s="106"/>
      <c r="I37" s="106"/>
      <c r="J37" s="167">
        <v>1.1020000000000001</v>
      </c>
      <c r="K37" s="167">
        <v>1.1020000000000001</v>
      </c>
      <c r="L37" s="167">
        <v>1.1020000000000001</v>
      </c>
      <c r="M37" s="167">
        <v>1.1020000000000001</v>
      </c>
      <c r="N37" s="167">
        <v>1.1020000000000001</v>
      </c>
      <c r="O37" s="167">
        <v>1.04</v>
      </c>
      <c r="P37" s="167">
        <v>1.024</v>
      </c>
      <c r="Q37" s="167">
        <v>1.1020000000000001</v>
      </c>
      <c r="R37" s="167">
        <v>-1.1020000000000001</v>
      </c>
      <c r="S37" s="167">
        <v>-1.04</v>
      </c>
      <c r="T37" s="167">
        <v>-1.1020000000000001</v>
      </c>
      <c r="U37" s="167">
        <v>-1.1020000000000001</v>
      </c>
      <c r="V37" s="167">
        <v>-1.04</v>
      </c>
      <c r="W37" s="167">
        <v>-1.04</v>
      </c>
      <c r="X37" s="167">
        <v>-1.024</v>
      </c>
      <c r="Y37" s="167">
        <v>-1.024</v>
      </c>
      <c r="AQ37" s="3"/>
    </row>
    <row r="38" spans="5:43" x14ac:dyDescent="0.25">
      <c r="E38" s="75"/>
      <c r="F38" t="s">
        <v>193</v>
      </c>
      <c r="G38" t="s">
        <v>281</v>
      </c>
      <c r="H38" s="106"/>
      <c r="I38" s="106"/>
      <c r="J38" s="167">
        <v>1.1020000000000001</v>
      </c>
      <c r="K38" s="167">
        <v>1.1020000000000001</v>
      </c>
      <c r="L38" s="167">
        <v>1.1020000000000001</v>
      </c>
      <c r="M38" s="167">
        <v>1.1020000000000001</v>
      </c>
      <c r="N38" s="167">
        <v>1.1020000000000001</v>
      </c>
      <c r="O38" s="167">
        <v>1.04</v>
      </c>
      <c r="P38" s="167">
        <v>1.024</v>
      </c>
      <c r="Q38" s="167">
        <v>1.1020000000000001</v>
      </c>
      <c r="R38" s="167">
        <v>-1.1020000000000001</v>
      </c>
      <c r="S38" s="167">
        <v>-1.04</v>
      </c>
      <c r="T38" s="167">
        <v>-1.1020000000000001</v>
      </c>
      <c r="U38" s="167">
        <v>-1.1020000000000001</v>
      </c>
      <c r="V38" s="167">
        <v>-1.04</v>
      </c>
      <c r="W38" s="167">
        <v>-1.04</v>
      </c>
      <c r="X38" s="167">
        <v>-1.024</v>
      </c>
      <c r="Y38" s="167">
        <v>-1.024</v>
      </c>
      <c r="AQ38" s="3"/>
    </row>
    <row r="39" spans="5:43" x14ac:dyDescent="0.25">
      <c r="E39" s="75"/>
      <c r="F39" t="s">
        <v>194</v>
      </c>
      <c r="G39" t="s">
        <v>281</v>
      </c>
      <c r="H39" s="106"/>
      <c r="I39" s="106"/>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AQ39" s="3"/>
    </row>
    <row r="40" spans="5:43" x14ac:dyDescent="0.25">
      <c r="E40" s="75"/>
      <c r="F40" t="s">
        <v>195</v>
      </c>
      <c r="G40" t="s">
        <v>281</v>
      </c>
      <c r="H40" s="106"/>
      <c r="I40" s="106"/>
      <c r="J40" s="167">
        <v>1.1020000000000001</v>
      </c>
      <c r="K40" s="167">
        <v>1.1020000000000001</v>
      </c>
      <c r="L40" s="167">
        <v>1.1020000000000001</v>
      </c>
      <c r="M40" s="167">
        <v>1.1020000000000001</v>
      </c>
      <c r="N40" s="167">
        <v>1.1020000000000001</v>
      </c>
      <c r="O40" s="167">
        <v>1.04</v>
      </c>
      <c r="P40" s="167">
        <v>1.024</v>
      </c>
      <c r="Q40" s="167">
        <v>1.1020000000000001</v>
      </c>
      <c r="R40" s="167">
        <v>-1.1020000000000001</v>
      </c>
      <c r="S40" s="167">
        <v>-1.04</v>
      </c>
      <c r="T40" s="167">
        <v>-1.1020000000000001</v>
      </c>
      <c r="U40" s="167">
        <v>-1.1020000000000001</v>
      </c>
      <c r="V40" s="167">
        <v>-1.04</v>
      </c>
      <c r="W40" s="167">
        <v>-1.04</v>
      </c>
      <c r="X40" s="167">
        <v>0</v>
      </c>
      <c r="Y40" s="167">
        <v>0</v>
      </c>
      <c r="AQ40" s="3"/>
    </row>
    <row r="41" spans="5:43" x14ac:dyDescent="0.25">
      <c r="E41" s="75"/>
      <c r="F41" t="s">
        <v>196</v>
      </c>
      <c r="G41" t="s">
        <v>281</v>
      </c>
      <c r="H41" s="106"/>
      <c r="I41" s="106"/>
      <c r="J41" s="167">
        <v>1.1020000000000001</v>
      </c>
      <c r="K41" s="167">
        <v>1.1020000000000001</v>
      </c>
      <c r="L41" s="167">
        <v>1.1020000000000001</v>
      </c>
      <c r="M41" s="167">
        <v>1.1020000000000001</v>
      </c>
      <c r="N41" s="167">
        <v>1.1020000000000001</v>
      </c>
      <c r="O41" s="167">
        <v>1.04</v>
      </c>
      <c r="P41" s="167">
        <v>0</v>
      </c>
      <c r="Q41" s="167">
        <v>1.1020000000000001</v>
      </c>
      <c r="R41" s="167">
        <v>-1.1020000000000001</v>
      </c>
      <c r="S41" s="167">
        <v>0</v>
      </c>
      <c r="T41" s="167">
        <v>-1.1020000000000001</v>
      </c>
      <c r="U41" s="167">
        <v>-1.1020000000000001</v>
      </c>
      <c r="V41" s="167">
        <v>0</v>
      </c>
      <c r="W41" s="167">
        <v>0</v>
      </c>
      <c r="X41" s="167">
        <v>0</v>
      </c>
      <c r="Y41" s="167">
        <v>0</v>
      </c>
      <c r="AQ41" s="3"/>
    </row>
    <row r="42" spans="5:43" x14ac:dyDescent="0.25">
      <c r="E42" s="75"/>
      <c r="F42" s="96" t="s">
        <v>197</v>
      </c>
      <c r="G42" s="96" t="s">
        <v>281</v>
      </c>
      <c r="H42" s="195"/>
      <c r="I42" s="195"/>
      <c r="J42" s="171">
        <v>1.1020000000000001</v>
      </c>
      <c r="K42" s="171">
        <v>1.1020000000000001</v>
      </c>
      <c r="L42" s="171">
        <v>1.1020000000000001</v>
      </c>
      <c r="M42" s="171">
        <v>1.1020000000000001</v>
      </c>
      <c r="N42" s="171">
        <v>1.1020000000000001</v>
      </c>
      <c r="O42" s="171">
        <v>0</v>
      </c>
      <c r="P42" s="171">
        <v>0</v>
      </c>
      <c r="Q42" s="171">
        <v>1.1020000000000001</v>
      </c>
      <c r="R42" s="171">
        <v>0</v>
      </c>
      <c r="S42" s="171">
        <v>0</v>
      </c>
      <c r="T42" s="171">
        <v>0</v>
      </c>
      <c r="U42" s="171">
        <v>0</v>
      </c>
      <c r="V42" s="171">
        <v>0</v>
      </c>
      <c r="W42" s="171">
        <v>0</v>
      </c>
      <c r="X42" s="171">
        <v>0</v>
      </c>
      <c r="Y42" s="171">
        <v>0</v>
      </c>
      <c r="AQ42" s="3"/>
    </row>
    <row r="43" spans="5:43" x14ac:dyDescent="0.25">
      <c r="E43" s="75"/>
      <c r="H43" s="106"/>
      <c r="I43" s="106"/>
      <c r="J43" s="106"/>
      <c r="K43" s="106"/>
      <c r="L43" s="106"/>
      <c r="M43" s="106"/>
      <c r="N43" s="106"/>
      <c r="O43" s="106"/>
      <c r="P43" s="106"/>
      <c r="Q43" s="106"/>
      <c r="R43" s="106"/>
      <c r="S43" s="106"/>
      <c r="T43" s="106"/>
      <c r="U43" s="106"/>
      <c r="V43" s="106"/>
      <c r="W43" s="106"/>
      <c r="X43" s="106"/>
      <c r="Y43" s="106"/>
      <c r="AQ43" s="3"/>
    </row>
    <row r="44" spans="5:43" x14ac:dyDescent="0.25">
      <c r="E44" s="75" t="s">
        <v>455</v>
      </c>
      <c r="H44" s="106"/>
      <c r="I44" s="106"/>
      <c r="J44" s="106"/>
      <c r="K44" s="106"/>
      <c r="L44" s="106"/>
      <c r="M44" s="106"/>
      <c r="N44" s="106"/>
      <c r="O44" s="106"/>
      <c r="P44" s="106"/>
      <c r="Q44" s="106"/>
      <c r="R44" s="106"/>
      <c r="S44" s="106"/>
      <c r="T44" s="106"/>
      <c r="U44" s="106"/>
      <c r="V44" s="106"/>
      <c r="W44" s="106"/>
      <c r="X44" s="106"/>
      <c r="Y44" s="106"/>
      <c r="AQ44" s="3"/>
    </row>
    <row r="45" spans="5:43" x14ac:dyDescent="0.25">
      <c r="E45" s="75"/>
      <c r="F45" s="95" t="s">
        <v>189</v>
      </c>
      <c r="G45" s="95" t="s">
        <v>281</v>
      </c>
      <c r="H45" s="170">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25">
      <c r="E46" s="75"/>
      <c r="F46" t="s">
        <v>190</v>
      </c>
      <c r="G46" t="s">
        <v>281</v>
      </c>
      <c r="H46" s="167">
        <f>'Load &amp; loss characteristics'!L29</f>
        <v>1.0049999999999999</v>
      </c>
      <c r="I46" s="106"/>
      <c r="J46" s="106"/>
      <c r="K46" s="106"/>
      <c r="L46" s="106"/>
      <c r="M46" s="106"/>
      <c r="N46" s="106"/>
      <c r="O46" s="106"/>
      <c r="P46" s="106"/>
      <c r="Q46" s="106"/>
      <c r="R46" s="106"/>
      <c r="S46" s="106"/>
      <c r="T46" s="106"/>
      <c r="U46" s="106"/>
      <c r="V46" s="106"/>
      <c r="W46" s="106"/>
      <c r="X46" s="106"/>
      <c r="Y46" s="106"/>
      <c r="AQ46" s="3"/>
    </row>
    <row r="47" spans="5:43" x14ac:dyDescent="0.25">
      <c r="E47" s="75"/>
      <c r="F47" t="s">
        <v>191</v>
      </c>
      <c r="G47" t="s">
        <v>281</v>
      </c>
      <c r="H47" s="167">
        <f>'Load &amp; loss characteristics'!M29</f>
        <v>1.008</v>
      </c>
      <c r="I47" s="106"/>
      <c r="J47" s="106"/>
      <c r="K47" s="106"/>
      <c r="L47" s="106"/>
      <c r="M47" s="106"/>
      <c r="N47" s="106"/>
      <c r="O47" s="106"/>
      <c r="P47" s="106"/>
      <c r="Q47" s="106"/>
      <c r="R47" s="106"/>
      <c r="S47" s="106"/>
      <c r="T47" s="106"/>
      <c r="U47" s="106"/>
      <c r="V47" s="106"/>
      <c r="W47" s="106"/>
      <c r="X47" s="106"/>
      <c r="Y47" s="106"/>
      <c r="AQ47" s="3"/>
    </row>
    <row r="48" spans="5:43" x14ac:dyDescent="0.25">
      <c r="E48" s="75"/>
      <c r="F48" t="s">
        <v>192</v>
      </c>
      <c r="G48" t="s">
        <v>281</v>
      </c>
      <c r="H48" s="167">
        <f>'Load &amp; loss characteristics'!N29</f>
        <v>1.01</v>
      </c>
      <c r="I48" s="106"/>
      <c r="J48" s="106"/>
      <c r="K48" s="106"/>
      <c r="L48" s="106"/>
      <c r="M48" s="106"/>
      <c r="N48" s="106"/>
      <c r="O48" s="106"/>
      <c r="P48" s="106"/>
      <c r="Q48" s="106"/>
      <c r="R48" s="106"/>
      <c r="S48" s="106"/>
      <c r="T48" s="106"/>
      <c r="U48" s="106"/>
      <c r="V48" s="106"/>
      <c r="W48" s="106"/>
      <c r="X48" s="106"/>
      <c r="Y48" s="106"/>
      <c r="AQ48" s="3"/>
    </row>
    <row r="49" spans="2:43" x14ac:dyDescent="0.25">
      <c r="E49" s="75"/>
      <c r="F49" t="s">
        <v>193</v>
      </c>
      <c r="G49" t="s">
        <v>281</v>
      </c>
      <c r="H49" s="167">
        <f>'Load &amp; loss characteristics'!O29</f>
        <v>1.0149999999999999</v>
      </c>
      <c r="I49" s="106"/>
      <c r="J49" s="106"/>
      <c r="K49" s="106"/>
      <c r="L49" s="106"/>
      <c r="M49" s="106"/>
      <c r="N49" s="106"/>
      <c r="O49" s="106"/>
      <c r="P49" s="106"/>
      <c r="Q49" s="106"/>
      <c r="R49" s="106"/>
      <c r="S49" s="106"/>
      <c r="T49" s="106"/>
      <c r="U49" s="106"/>
      <c r="V49" s="106"/>
      <c r="W49" s="106"/>
      <c r="X49" s="106"/>
      <c r="Y49" s="106"/>
      <c r="AQ49" s="3"/>
    </row>
    <row r="50" spans="2:43" x14ac:dyDescent="0.25">
      <c r="E50" s="75"/>
      <c r="F50" t="s">
        <v>194</v>
      </c>
      <c r="G50" t="s">
        <v>281</v>
      </c>
      <c r="H50" s="167">
        <f>'Load &amp; loss characteristics'!P29</f>
        <v>1.0149999999999999</v>
      </c>
      <c r="I50" s="106"/>
      <c r="J50" s="106"/>
      <c r="K50" s="106"/>
      <c r="L50" s="106"/>
      <c r="M50" s="106"/>
      <c r="N50" s="106"/>
      <c r="O50" s="106"/>
      <c r="P50" s="106"/>
      <c r="Q50" s="106"/>
      <c r="R50" s="106"/>
      <c r="S50" s="106"/>
      <c r="T50" s="106"/>
      <c r="U50" s="106"/>
      <c r="V50" s="106"/>
      <c r="W50" s="106"/>
      <c r="X50" s="106"/>
      <c r="Y50" s="106"/>
      <c r="AQ50" s="3"/>
    </row>
    <row r="51" spans="2:43" x14ac:dyDescent="0.25">
      <c r="E51" s="75"/>
      <c r="F51" t="s">
        <v>195</v>
      </c>
      <c r="G51" t="s">
        <v>281</v>
      </c>
      <c r="H51" s="167">
        <f>'Load &amp; loss characteristics'!Q29</f>
        <v>1.024</v>
      </c>
      <c r="I51" s="106"/>
      <c r="J51" s="106"/>
      <c r="K51" s="106"/>
      <c r="L51" s="106"/>
      <c r="M51" s="106"/>
      <c r="N51" s="106"/>
      <c r="O51" s="106"/>
      <c r="P51" s="106"/>
      <c r="Q51" s="106"/>
      <c r="R51" s="106"/>
      <c r="S51" s="106"/>
      <c r="T51" s="106"/>
      <c r="U51" s="106"/>
      <c r="V51" s="106"/>
      <c r="W51" s="106"/>
      <c r="X51" s="106"/>
      <c r="Y51" s="106"/>
      <c r="AQ51" s="3"/>
    </row>
    <row r="52" spans="2:43" x14ac:dyDescent="0.25">
      <c r="E52" s="75"/>
      <c r="F52" t="s">
        <v>196</v>
      </c>
      <c r="G52" t="s">
        <v>281</v>
      </c>
      <c r="H52" s="167">
        <f>'Load &amp; loss characteristics'!R29</f>
        <v>1.04</v>
      </c>
      <c r="I52" s="106"/>
      <c r="J52" s="106"/>
      <c r="K52" s="106"/>
      <c r="L52" s="106"/>
      <c r="M52" s="106"/>
      <c r="N52" s="106"/>
      <c r="O52" s="106"/>
      <c r="P52" s="106"/>
      <c r="Q52" s="106"/>
      <c r="R52" s="106"/>
      <c r="S52" s="106"/>
      <c r="T52" s="106"/>
      <c r="U52" s="106"/>
      <c r="V52" s="106"/>
      <c r="W52" s="106"/>
      <c r="X52" s="106"/>
      <c r="Y52" s="106"/>
      <c r="AQ52" s="3"/>
    </row>
    <row r="53" spans="2:43" x14ac:dyDescent="0.25">
      <c r="E53" s="75"/>
      <c r="F53" s="96" t="s">
        <v>197</v>
      </c>
      <c r="G53" s="96" t="s">
        <v>281</v>
      </c>
      <c r="H53" s="171">
        <f>'Load &amp; loss characteristics'!S29</f>
        <v>1.1020000000000001</v>
      </c>
      <c r="I53" s="106"/>
      <c r="J53" s="106"/>
      <c r="K53" s="106"/>
      <c r="L53" s="106"/>
      <c r="M53" s="106"/>
      <c r="N53" s="106"/>
      <c r="O53" s="106"/>
      <c r="P53" s="106"/>
      <c r="Q53" s="106"/>
      <c r="R53" s="106"/>
      <c r="S53" s="106"/>
      <c r="T53" s="106"/>
      <c r="U53" s="106"/>
      <c r="V53" s="106"/>
      <c r="W53" s="106"/>
      <c r="X53" s="106"/>
      <c r="Y53" s="106"/>
      <c r="AQ53" s="3"/>
    </row>
    <row r="54" spans="2:43" x14ac:dyDescent="0.25">
      <c r="E54" s="75"/>
      <c r="H54" s="106"/>
      <c r="I54" s="106"/>
      <c r="J54" s="106"/>
      <c r="K54" s="106"/>
      <c r="L54" s="106"/>
      <c r="M54" s="106"/>
      <c r="N54" s="106"/>
      <c r="O54" s="106"/>
      <c r="P54" s="106"/>
      <c r="Q54" s="106"/>
      <c r="R54" s="106"/>
      <c r="S54" s="106"/>
      <c r="T54" s="106"/>
      <c r="U54" s="106"/>
      <c r="V54" s="106"/>
      <c r="W54" s="106"/>
      <c r="X54" s="106"/>
      <c r="Y54" s="106"/>
      <c r="AQ54" s="3"/>
    </row>
    <row r="55" spans="2:43" x14ac:dyDescent="0.25">
      <c r="E55" s="75" t="s">
        <v>456</v>
      </c>
      <c r="H55" s="106"/>
      <c r="I55" s="106" t="s">
        <v>152</v>
      </c>
      <c r="J55" s="106"/>
      <c r="K55" s="106"/>
      <c r="L55" s="106"/>
      <c r="M55" s="106"/>
      <c r="N55" s="106"/>
      <c r="O55" s="106"/>
      <c r="P55" s="106"/>
      <c r="Q55" s="106"/>
      <c r="R55" s="106"/>
      <c r="S55" s="106"/>
      <c r="T55" s="106"/>
      <c r="U55" s="106"/>
      <c r="V55" s="106"/>
      <c r="W55" s="106"/>
      <c r="X55" s="106"/>
      <c r="Y55" s="106"/>
      <c r="AA55" t="s">
        <v>457</v>
      </c>
    </row>
    <row r="56" spans="2:43" x14ac:dyDescent="0.25">
      <c r="E56" s="75"/>
      <c r="F56" s="95" t="s">
        <v>154</v>
      </c>
      <c r="G56" s="95" t="s">
        <v>205</v>
      </c>
      <c r="H56" s="222"/>
      <c r="I56" s="222"/>
      <c r="J56" s="170">
        <f>'Volume adjustments'!J238</f>
        <v>602010.79580819397</v>
      </c>
      <c r="K56" s="170">
        <f>'Volume adjustments'!K238</f>
        <v>715.06892412151399</v>
      </c>
      <c r="L56" s="170">
        <f>'Volume adjustments'!L238</f>
        <v>159082.50952370188</v>
      </c>
      <c r="M56" s="170">
        <f>'Volume adjustments'!M238</f>
        <v>198.0273246193633</v>
      </c>
      <c r="N56" s="170">
        <f>'Volume adjustments'!N238</f>
        <v>217958.48184833908</v>
      </c>
      <c r="O56" s="170">
        <f>'Volume adjustments'!O238</f>
        <v>75751.88709803547</v>
      </c>
      <c r="P56" s="170">
        <f>'Volume adjustments'!P238</f>
        <v>260335.78369279471</v>
      </c>
      <c r="Q56" s="170">
        <f>'Volume adjustments'!Q238</f>
        <v>5961.8800051746312</v>
      </c>
      <c r="R56" s="170">
        <f>'Volume adjustments'!R238</f>
        <v>6989.1164284156448</v>
      </c>
      <c r="S56" s="170">
        <f>'Volume adjustments'!S238</f>
        <v>0</v>
      </c>
      <c r="T56" s="170">
        <f>'Volume adjustments'!T238</f>
        <v>4310.0455999999986</v>
      </c>
      <c r="U56" s="170">
        <f>'Volume adjustments'!U238</f>
        <v>0</v>
      </c>
      <c r="V56" s="170">
        <f>'Volume adjustments'!V238</f>
        <v>235.52749999999995</v>
      </c>
      <c r="W56" s="170">
        <f>'Volume adjustments'!W238</f>
        <v>0</v>
      </c>
      <c r="X56" s="170">
        <f>'Volume adjustments'!X238</f>
        <v>112429.61859999999</v>
      </c>
      <c r="Y56" s="170">
        <f>'Volume adjustments'!Y238</f>
        <v>0</v>
      </c>
      <c r="AQ56" s="3"/>
    </row>
    <row r="57" spans="2:43" x14ac:dyDescent="0.25">
      <c r="E57" s="75"/>
      <c r="F57" t="s">
        <v>155</v>
      </c>
      <c r="G57" t="s">
        <v>205</v>
      </c>
      <c r="H57" s="106"/>
      <c r="I57" s="106"/>
      <c r="J57" s="167">
        <f>'Volume adjustments'!J249</f>
        <v>1485357.3777113075</v>
      </c>
      <c r="K57" s="167">
        <f>'Volume adjustments'!K249</f>
        <v>4081.6408178065876</v>
      </c>
      <c r="L57" s="167">
        <f>'Volume adjustments'!L249</f>
        <v>575338.15339219209</v>
      </c>
      <c r="M57" s="167">
        <f>'Volume adjustments'!M249</f>
        <v>646.70434049451774</v>
      </c>
      <c r="N57" s="167">
        <f>'Volume adjustments'!N249</f>
        <v>756494.0185942814</v>
      </c>
      <c r="O57" s="167">
        <f>'Volume adjustments'!O249</f>
        <v>248975.41444504535</v>
      </c>
      <c r="P57" s="167">
        <f>'Volume adjustments'!P249</f>
        <v>840268.92271096946</v>
      </c>
      <c r="Q57" s="167">
        <f>'Volume adjustments'!Q249</f>
        <v>24728.581351992561</v>
      </c>
      <c r="R57" s="167">
        <f>'Volume adjustments'!R249</f>
        <v>30411.928111830457</v>
      </c>
      <c r="S57" s="167">
        <f>'Volume adjustments'!S249</f>
        <v>0</v>
      </c>
      <c r="T57" s="167">
        <f>'Volume adjustments'!T249</f>
        <v>14714.395000000002</v>
      </c>
      <c r="U57" s="167">
        <f>'Volume adjustments'!U249</f>
        <v>0</v>
      </c>
      <c r="V57" s="167">
        <f>'Volume adjustments'!V249</f>
        <v>949.01109999999994</v>
      </c>
      <c r="W57" s="167">
        <f>'Volume adjustments'!W249</f>
        <v>0</v>
      </c>
      <c r="X57" s="167">
        <f>'Volume adjustments'!X249</f>
        <v>305558.88569999998</v>
      </c>
      <c r="Y57" s="167">
        <f>'Volume adjustments'!Y249</f>
        <v>0</v>
      </c>
      <c r="AQ57" s="3"/>
    </row>
    <row r="58" spans="2:43" x14ac:dyDescent="0.25">
      <c r="E58" s="75"/>
      <c r="F58" s="96" t="s">
        <v>156</v>
      </c>
      <c r="G58" s="96" t="s">
        <v>205</v>
      </c>
      <c r="H58" s="195"/>
      <c r="I58" s="195"/>
      <c r="J58" s="171">
        <f>'Volume adjustments'!J260</f>
        <v>2224654.7633966957</v>
      </c>
      <c r="K58" s="171">
        <f>'Volume adjustments'!K260</f>
        <v>17683.252822043934</v>
      </c>
      <c r="L58" s="171">
        <f>'Volume adjustments'!L260</f>
        <v>633436.16108444147</v>
      </c>
      <c r="M58" s="171">
        <f>'Volume adjustments'!M260</f>
        <v>3204.1147499679787</v>
      </c>
      <c r="N58" s="171">
        <f>'Volume adjustments'!N260</f>
        <v>873121.7021386011</v>
      </c>
      <c r="O58" s="171">
        <f>'Volume adjustments'!O260</f>
        <v>339651.86436381692</v>
      </c>
      <c r="P58" s="171">
        <f>'Volume adjustments'!P260</f>
        <v>1202148.8710274233</v>
      </c>
      <c r="Q58" s="171">
        <f>'Volume adjustments'!Q260</f>
        <v>74346.95288920337</v>
      </c>
      <c r="R58" s="171">
        <f>'Volume adjustments'!R260</f>
        <v>18030.478238646261</v>
      </c>
      <c r="S58" s="171">
        <f>'Volume adjustments'!S260</f>
        <v>0</v>
      </c>
      <c r="T58" s="171">
        <f>'Volume adjustments'!T260</f>
        <v>22467.003499999995</v>
      </c>
      <c r="U58" s="171">
        <f>'Volume adjustments'!U260</f>
        <v>0</v>
      </c>
      <c r="V58" s="171">
        <f>'Volume adjustments'!V260</f>
        <v>1267.7273</v>
      </c>
      <c r="W58" s="171">
        <f>'Volume adjustments'!W260</f>
        <v>0</v>
      </c>
      <c r="X58" s="171">
        <f>'Volume adjustments'!X260</f>
        <v>457934.66330000001</v>
      </c>
      <c r="Y58" s="171">
        <f>'Volume adjustments'!Y260</f>
        <v>0</v>
      </c>
      <c r="AQ58" s="3"/>
    </row>
    <row r="59" spans="2:43" x14ac:dyDescent="0.25">
      <c r="E59" s="75"/>
      <c r="F59" s="145" t="s">
        <v>458</v>
      </c>
      <c r="G59" s="145" t="s">
        <v>205</v>
      </c>
      <c r="H59" s="227"/>
      <c r="I59" s="227"/>
      <c r="J59" s="227">
        <f t="shared" ref="J59:Y59" si="0">SUM(J56:J58)</f>
        <v>4312022.9369161967</v>
      </c>
      <c r="K59" s="227">
        <f t="shared" si="0"/>
        <v>22479.962563972036</v>
      </c>
      <c r="L59" s="227">
        <f t="shared" si="0"/>
        <v>1367856.8240003353</v>
      </c>
      <c r="M59" s="227">
        <f t="shared" si="0"/>
        <v>4048.84641508186</v>
      </c>
      <c r="N59" s="227">
        <f t="shared" si="0"/>
        <v>1847574.2025812217</v>
      </c>
      <c r="O59" s="227">
        <f t="shared" si="0"/>
        <v>664379.16590689775</v>
      </c>
      <c r="P59" s="227">
        <f t="shared" si="0"/>
        <v>2302753.5774311875</v>
      </c>
      <c r="Q59" s="227">
        <f t="shared" si="0"/>
        <v>105037.41424637056</v>
      </c>
      <c r="R59" s="227">
        <f t="shared" si="0"/>
        <v>55431.522778892366</v>
      </c>
      <c r="S59" s="227">
        <f t="shared" si="0"/>
        <v>0</v>
      </c>
      <c r="T59" s="227">
        <f t="shared" si="0"/>
        <v>41491.444099999993</v>
      </c>
      <c r="U59" s="227">
        <f t="shared" si="0"/>
        <v>0</v>
      </c>
      <c r="V59" s="227">
        <f t="shared" si="0"/>
        <v>2452.2658999999999</v>
      </c>
      <c r="W59" s="227">
        <f t="shared" si="0"/>
        <v>0</v>
      </c>
      <c r="X59" s="227">
        <f t="shared" si="0"/>
        <v>875923.16760000004</v>
      </c>
      <c r="Y59" s="227">
        <f t="shared" si="0"/>
        <v>0</v>
      </c>
      <c r="AQ59" s="3"/>
    </row>
    <row r="60" spans="2:43" x14ac:dyDescent="0.25">
      <c r="D60" s="75"/>
      <c r="J60" s="97"/>
      <c r="L60" s="97"/>
      <c r="AQ60" s="3"/>
    </row>
    <row r="61" spans="2:43" x14ac:dyDescent="0.25">
      <c r="C61" s="75"/>
      <c r="E61" s="94" t="s">
        <v>239</v>
      </c>
      <c r="F61" s="94"/>
      <c r="G61" s="94" t="s">
        <v>165</v>
      </c>
      <c r="I61" t="s">
        <v>152</v>
      </c>
      <c r="J61" s="155">
        <f>'Inputs by customer type'!J15</f>
        <v>0.4370458859170343</v>
      </c>
      <c r="K61" s="155">
        <f>'Inputs by customer type'!K15</f>
        <v>0.12911164006947018</v>
      </c>
      <c r="L61" s="155">
        <f>'Inputs by customer type'!L15</f>
        <v>0.43879877241700616</v>
      </c>
      <c r="M61" s="155">
        <f>'Inputs by customer type'!M15</f>
        <v>0.21939798721656412</v>
      </c>
      <c r="N61" s="155">
        <f>'Inputs by customer type'!N15</f>
        <v>0.53357447399807167</v>
      </c>
      <c r="O61" s="155">
        <f>'Inputs by customer type'!O15</f>
        <v>0.66722855949044801</v>
      </c>
      <c r="P61" s="155">
        <f>'Inputs by customer type'!P15</f>
        <v>0.70790835452106082</v>
      </c>
      <c r="Q61" s="155">
        <f>'Inputs by customer type'!Q15</f>
        <v>0.47449645331417156</v>
      </c>
      <c r="R61" s="103"/>
      <c r="S61" s="103"/>
      <c r="T61" s="103"/>
      <c r="U61" s="103"/>
      <c r="V61" s="103"/>
      <c r="W61" s="103"/>
      <c r="X61" s="103"/>
      <c r="Y61" s="103"/>
      <c r="AA61" t="s">
        <v>459</v>
      </c>
      <c r="AQ61" s="3"/>
    </row>
    <row r="63" spans="2:43" x14ac:dyDescent="0.25">
      <c r="B63" s="85" t="s">
        <v>460</v>
      </c>
      <c r="C63" s="85"/>
      <c r="D63" s="85"/>
      <c r="E63" s="85"/>
      <c r="F63" s="85"/>
      <c r="G63" s="85"/>
      <c r="H63" s="85"/>
      <c r="I63" s="85"/>
      <c r="J63" s="178"/>
      <c r="K63" s="85"/>
      <c r="L63" s="178"/>
      <c r="M63" s="85"/>
      <c r="N63" s="85"/>
      <c r="O63" s="85"/>
      <c r="P63" s="85"/>
      <c r="Q63" s="85"/>
      <c r="R63" s="85"/>
      <c r="S63" s="85"/>
      <c r="T63" s="85"/>
      <c r="U63" s="85"/>
      <c r="V63" s="85"/>
      <c r="W63" s="85"/>
      <c r="X63" s="85"/>
      <c r="Y63" s="85"/>
      <c r="Z63" s="85"/>
      <c r="AA63" s="85"/>
      <c r="AQ63" s="3"/>
    </row>
    <row r="64" spans="2:43" x14ac:dyDescent="0.25">
      <c r="C64" s="75"/>
      <c r="J64" s="97"/>
      <c r="L64" s="97"/>
      <c r="AQ64" s="3"/>
    </row>
    <row r="65" spans="3:43" x14ac:dyDescent="0.25">
      <c r="C65" s="86" t="s">
        <v>461</v>
      </c>
      <c r="J65" s="97"/>
      <c r="L65" s="97"/>
      <c r="AQ65" s="3"/>
    </row>
    <row r="66" spans="3:43" x14ac:dyDescent="0.25">
      <c r="C66" s="75"/>
      <c r="J66" s="97"/>
      <c r="L66" s="97"/>
      <c r="AQ66" s="3"/>
    </row>
    <row r="67" spans="3:43" x14ac:dyDescent="0.2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25">
      <c r="H68" s="97"/>
      <c r="J68" s="97"/>
      <c r="K68" s="97"/>
      <c r="L68" s="97"/>
      <c r="M68" s="97"/>
      <c r="N68" s="97"/>
      <c r="O68" s="97"/>
      <c r="P68" s="97"/>
      <c r="Q68" s="97"/>
      <c r="R68" s="97"/>
      <c r="S68" s="97"/>
      <c r="T68" s="97"/>
      <c r="U68" s="97"/>
      <c r="V68" s="97"/>
      <c r="W68" s="97"/>
      <c r="X68" s="97"/>
      <c r="Y68" s="97"/>
    </row>
    <row r="69" spans="3:43" x14ac:dyDescent="0.25">
      <c r="E69" s="75" t="s">
        <v>462</v>
      </c>
      <c r="J69" s="97"/>
      <c r="L69" s="97"/>
      <c r="AQ69" s="3"/>
    </row>
    <row r="70" spans="3:43" x14ac:dyDescent="0.25">
      <c r="E70" s="75"/>
      <c r="F70" s="95" t="s">
        <v>189</v>
      </c>
      <c r="G70" s="95" t="s">
        <v>281</v>
      </c>
      <c r="H70" s="95"/>
      <c r="I70" s="95"/>
      <c r="J70" s="170">
        <f>'Pseudo-load coefficients'!J272</f>
        <v>12.417193122317768</v>
      </c>
      <c r="K70" s="170">
        <f>'Pseudo-load coefficients'!K272</f>
        <v>12.417193122317768</v>
      </c>
      <c r="L70" s="170">
        <f>'Pseudo-load coefficients'!L272</f>
        <v>14.166648164202092</v>
      </c>
      <c r="M70" s="170">
        <f>'Pseudo-load coefficients'!M272</f>
        <v>14.166648164202092</v>
      </c>
      <c r="N70" s="170">
        <f>'Pseudo-load coefficients'!N272</f>
        <v>11.44967060192257</v>
      </c>
      <c r="O70" s="170">
        <f>'Pseudo-load coefficients'!O272</f>
        <v>10.038652003661383</v>
      </c>
      <c r="P70" s="170">
        <f>'Pseudo-load coefficients'!P272</f>
        <v>9.5386179368391453</v>
      </c>
      <c r="Q70" s="170">
        <f>'Pseudo-load coefficients'!Q272</f>
        <v>30.319049919599514</v>
      </c>
      <c r="R70" s="170">
        <f>'Pseudo-load coefficients'!R272</f>
        <v>8.5463292888190203</v>
      </c>
      <c r="S70" s="170">
        <f>'Pseudo-load coefficients'!S272</f>
        <v>8.5463292888190203</v>
      </c>
      <c r="T70" s="170">
        <f>'Pseudo-load coefficients'!T272</f>
        <v>8.5463292888190203</v>
      </c>
      <c r="U70" s="170">
        <f>'Pseudo-load coefficients'!U272</f>
        <v>8.5463292888190203</v>
      </c>
      <c r="V70" s="170">
        <f>'Pseudo-load coefficients'!V272</f>
        <v>8.5463292888190203</v>
      </c>
      <c r="W70" s="170">
        <f>'Pseudo-load coefficients'!W272</f>
        <v>8.5463292888190203</v>
      </c>
      <c r="X70" s="170">
        <f>'Pseudo-load coefficients'!X272</f>
        <v>8.5463292888190203</v>
      </c>
      <c r="Y70" s="170">
        <f>'Pseudo-load coefficients'!Y272</f>
        <v>8.5463292888190203</v>
      </c>
      <c r="AQ70" s="3"/>
    </row>
    <row r="71" spans="3:43" x14ac:dyDescent="0.25">
      <c r="E71" s="75"/>
      <c r="F71" t="s">
        <v>190</v>
      </c>
      <c r="G71" t="s">
        <v>281</v>
      </c>
      <c r="J71" s="167">
        <f>'Pseudo-load coefficients'!J273</f>
        <v>9.1672432521410023</v>
      </c>
      <c r="K71" s="167">
        <f>'Pseudo-load coefficients'!K273</f>
        <v>9.1672432521410023</v>
      </c>
      <c r="L71" s="167">
        <f>'Pseudo-load coefficients'!L273</f>
        <v>10.45881371977053</v>
      </c>
      <c r="M71" s="167">
        <f>'Pseudo-load coefficients'!M273</f>
        <v>10.45881371977053</v>
      </c>
      <c r="N71" s="167">
        <f>'Pseudo-load coefficients'!N273</f>
        <v>8.4529502384931821</v>
      </c>
      <c r="O71" s="167">
        <f>'Pseudo-load coefficients'!O273</f>
        <v>7.4112373009447925</v>
      </c>
      <c r="P71" s="167">
        <f>'Pseudo-load coefficients'!P273</f>
        <v>7.0420770664407524</v>
      </c>
      <c r="Q71" s="167">
        <f>'Pseudo-load coefficients'!Q273</f>
        <v>23.505896174630998</v>
      </c>
      <c r="R71" s="167">
        <f>'Pseudo-load coefficients'!R273</f>
        <v>6.309499959591288</v>
      </c>
      <c r="S71" s="167">
        <f>'Pseudo-load coefficients'!S273</f>
        <v>6.309499959591288</v>
      </c>
      <c r="T71" s="167">
        <f>'Pseudo-load coefficients'!T273</f>
        <v>6.309499959591288</v>
      </c>
      <c r="U71" s="167">
        <f>'Pseudo-load coefficients'!U273</f>
        <v>6.309499959591288</v>
      </c>
      <c r="V71" s="167">
        <f>'Pseudo-load coefficients'!V273</f>
        <v>6.309499959591288</v>
      </c>
      <c r="W71" s="167">
        <f>'Pseudo-load coefficients'!W273</f>
        <v>6.309499959591288</v>
      </c>
      <c r="X71" s="167">
        <f>'Pseudo-load coefficients'!X273</f>
        <v>6.309499959591288</v>
      </c>
      <c r="Y71" s="167">
        <f>'Pseudo-load coefficients'!Y273</f>
        <v>6.309499959591288</v>
      </c>
      <c r="AQ71" s="3"/>
    </row>
    <row r="72" spans="3:43" x14ac:dyDescent="0.25">
      <c r="E72" s="75"/>
      <c r="F72" t="s">
        <v>191</v>
      </c>
      <c r="G72" t="s">
        <v>281</v>
      </c>
      <c r="J72" s="167">
        <f>'Pseudo-load coefficients'!J274</f>
        <v>9.1672432521410023</v>
      </c>
      <c r="K72" s="167">
        <f>'Pseudo-load coefficients'!K274</f>
        <v>9.1672432521410023</v>
      </c>
      <c r="L72" s="167">
        <f>'Pseudo-load coefficients'!L274</f>
        <v>10.45881371977053</v>
      </c>
      <c r="M72" s="167">
        <f>'Pseudo-load coefficients'!M274</f>
        <v>10.45881371977053</v>
      </c>
      <c r="N72" s="167">
        <f>'Pseudo-load coefficients'!N274</f>
        <v>8.4529502384931821</v>
      </c>
      <c r="O72" s="167">
        <f>'Pseudo-load coefficients'!O274</f>
        <v>7.4112373009447925</v>
      </c>
      <c r="P72" s="167">
        <f>'Pseudo-load coefficients'!P274</f>
        <v>7.0420770664407524</v>
      </c>
      <c r="Q72" s="167">
        <f>'Pseudo-load coefficients'!Q274</f>
        <v>23.505896174630998</v>
      </c>
      <c r="R72" s="167">
        <f>'Pseudo-load coefficients'!R274</f>
        <v>6.309499959591288</v>
      </c>
      <c r="S72" s="167">
        <f>'Pseudo-load coefficients'!S274</f>
        <v>6.309499959591288</v>
      </c>
      <c r="T72" s="167">
        <f>'Pseudo-load coefficients'!T274</f>
        <v>6.309499959591288</v>
      </c>
      <c r="U72" s="167">
        <f>'Pseudo-load coefficients'!U274</f>
        <v>6.309499959591288</v>
      </c>
      <c r="V72" s="167">
        <f>'Pseudo-load coefficients'!V274</f>
        <v>6.309499959591288</v>
      </c>
      <c r="W72" s="167">
        <f>'Pseudo-load coefficients'!W274</f>
        <v>6.309499959591288</v>
      </c>
      <c r="X72" s="167">
        <f>'Pseudo-load coefficients'!X274</f>
        <v>6.309499959591288</v>
      </c>
      <c r="Y72" s="167">
        <f>'Pseudo-load coefficients'!Y274</f>
        <v>6.309499959591288</v>
      </c>
      <c r="AQ72" s="3"/>
    </row>
    <row r="73" spans="3:43" x14ac:dyDescent="0.25">
      <c r="E73" s="75"/>
      <c r="F73" t="s">
        <v>192</v>
      </c>
      <c r="G73" t="s">
        <v>281</v>
      </c>
      <c r="J73" s="167">
        <f>'Pseudo-load coefficients'!J275</f>
        <v>8.4993454023219943</v>
      </c>
      <c r="K73" s="167">
        <f>'Pseudo-load coefficients'!K275</f>
        <v>8.4993454023219943</v>
      </c>
      <c r="L73" s="167">
        <f>'Pseudo-load coefficients'!L275</f>
        <v>9.6968159192364567</v>
      </c>
      <c r="M73" s="167">
        <f>'Pseudo-load coefficients'!M275</f>
        <v>9.6968159192364567</v>
      </c>
      <c r="N73" s="167">
        <f>'Pseudo-load coefficients'!N275</f>
        <v>7.8370936354082668</v>
      </c>
      <c r="O73" s="167">
        <f>'Pseudo-load coefficients'!O275</f>
        <v>6.8712767782823869</v>
      </c>
      <c r="P73" s="167">
        <f>'Pseudo-load coefficients'!P275</f>
        <v>6.5290124513137284</v>
      </c>
      <c r="Q73" s="167">
        <f>'Pseudo-load coefficients'!Q275</f>
        <v>20.788359057429449</v>
      </c>
      <c r="R73" s="167">
        <f>'Pseudo-load coefficients'!R275</f>
        <v>5.8498087153930998</v>
      </c>
      <c r="S73" s="167">
        <f>'Pseudo-load coefficients'!S275</f>
        <v>5.8498087153930998</v>
      </c>
      <c r="T73" s="167">
        <f>'Pseudo-load coefficients'!T275</f>
        <v>5.8498087153930998</v>
      </c>
      <c r="U73" s="167">
        <f>'Pseudo-load coefficients'!U275</f>
        <v>5.8498087153930998</v>
      </c>
      <c r="V73" s="167">
        <f>'Pseudo-load coefficients'!V275</f>
        <v>5.8498087153930998</v>
      </c>
      <c r="W73" s="167">
        <f>'Pseudo-load coefficients'!W275</f>
        <v>5.8498087153930998</v>
      </c>
      <c r="X73" s="167">
        <f>'Pseudo-load coefficients'!X275</f>
        <v>5.8498087153930998</v>
      </c>
      <c r="Y73" s="167">
        <f>'Pseudo-load coefficients'!Y275</f>
        <v>5.8498087153930998</v>
      </c>
      <c r="AQ73" s="3"/>
    </row>
    <row r="74" spans="3:43" x14ac:dyDescent="0.25">
      <c r="E74" s="75"/>
      <c r="F74" t="s">
        <v>193</v>
      </c>
      <c r="G74" t="s">
        <v>281</v>
      </c>
      <c r="J74" s="167">
        <f>'Pseudo-load coefficients'!J276</f>
        <v>8.4993454023219943</v>
      </c>
      <c r="K74" s="167">
        <f>'Pseudo-load coefficients'!K276</f>
        <v>8.4993454023219943</v>
      </c>
      <c r="L74" s="167">
        <f>'Pseudo-load coefficients'!L276</f>
        <v>9.6968159192364567</v>
      </c>
      <c r="M74" s="167">
        <f>'Pseudo-load coefficients'!M276</f>
        <v>9.6968159192364567</v>
      </c>
      <c r="N74" s="167">
        <f>'Pseudo-load coefficients'!N276</f>
        <v>7.8370936354082668</v>
      </c>
      <c r="O74" s="167">
        <f>'Pseudo-load coefficients'!O276</f>
        <v>6.8712767782823869</v>
      </c>
      <c r="P74" s="167">
        <f>'Pseudo-load coefficients'!P276</f>
        <v>6.5290124513137284</v>
      </c>
      <c r="Q74" s="167">
        <f>'Pseudo-load coefficients'!Q276</f>
        <v>20.788359057429449</v>
      </c>
      <c r="R74" s="167">
        <f>'Pseudo-load coefficients'!R276</f>
        <v>5.8498087153930998</v>
      </c>
      <c r="S74" s="167">
        <f>'Pseudo-load coefficients'!S276</f>
        <v>5.8498087153930998</v>
      </c>
      <c r="T74" s="167">
        <f>'Pseudo-load coefficients'!T276</f>
        <v>5.8498087153930998</v>
      </c>
      <c r="U74" s="167">
        <f>'Pseudo-load coefficients'!U276</f>
        <v>5.8498087153930998</v>
      </c>
      <c r="V74" s="167">
        <f>'Pseudo-load coefficients'!V276</f>
        <v>5.8498087153930998</v>
      </c>
      <c r="W74" s="167">
        <f>'Pseudo-load coefficients'!W276</f>
        <v>5.8498087153930998</v>
      </c>
      <c r="X74" s="167">
        <f>'Pseudo-load coefficients'!X276</f>
        <v>5.8498087153930998</v>
      </c>
      <c r="Y74" s="167">
        <f>'Pseudo-load coefficients'!Y276</f>
        <v>5.8498087153930998</v>
      </c>
      <c r="AQ74" s="3"/>
    </row>
    <row r="75" spans="3:43" x14ac:dyDescent="0.25">
      <c r="E75" s="75"/>
      <c r="F75" t="s">
        <v>194</v>
      </c>
      <c r="G75" t="s">
        <v>281</v>
      </c>
      <c r="J75" s="167">
        <f>'Pseudo-load coefficients'!J277</f>
        <v>0</v>
      </c>
      <c r="K75" s="167">
        <f>'Pseudo-load coefficients'!K277</f>
        <v>0</v>
      </c>
      <c r="L75" s="167">
        <f>'Pseudo-load coefficients'!L277</f>
        <v>0</v>
      </c>
      <c r="M75" s="167">
        <f>'Pseudo-load coefficients'!M277</f>
        <v>0</v>
      </c>
      <c r="N75" s="167">
        <f>'Pseudo-load coefficients'!N277</f>
        <v>0</v>
      </c>
      <c r="O75" s="167">
        <f>'Pseudo-load coefficients'!O277</f>
        <v>0</v>
      </c>
      <c r="P75" s="167">
        <f>'Pseudo-load coefficients'!P277</f>
        <v>0</v>
      </c>
      <c r="Q75" s="167">
        <f>'Pseudo-load coefficients'!Q277</f>
        <v>0</v>
      </c>
      <c r="R75" s="167">
        <f>'Pseudo-load coefficients'!R277</f>
        <v>0</v>
      </c>
      <c r="S75" s="167">
        <f>'Pseudo-load coefficients'!S277</f>
        <v>0</v>
      </c>
      <c r="T75" s="167">
        <f>'Pseudo-load coefficients'!T277</f>
        <v>0</v>
      </c>
      <c r="U75" s="167">
        <f>'Pseudo-load coefficients'!U277</f>
        <v>0</v>
      </c>
      <c r="V75" s="167">
        <f>'Pseudo-load coefficients'!V277</f>
        <v>0</v>
      </c>
      <c r="W75" s="167">
        <f>'Pseudo-load coefficients'!W277</f>
        <v>0</v>
      </c>
      <c r="X75" s="167">
        <f>'Pseudo-load coefficients'!X277</f>
        <v>0</v>
      </c>
      <c r="Y75" s="167">
        <f>'Pseudo-load coefficients'!Y277</f>
        <v>0</v>
      </c>
      <c r="AQ75" s="3"/>
    </row>
    <row r="76" spans="3:43" x14ac:dyDescent="0.25">
      <c r="E76" s="75"/>
      <c r="F76" t="s">
        <v>195</v>
      </c>
      <c r="G76" t="s">
        <v>281</v>
      </c>
      <c r="J76" s="167">
        <f>'Pseudo-load coefficients'!J278</f>
        <v>8.4993454023219943</v>
      </c>
      <c r="K76" s="167">
        <f>'Pseudo-load coefficients'!K278</f>
        <v>8.4993454023219943</v>
      </c>
      <c r="L76" s="167">
        <f>'Pseudo-load coefficients'!L278</f>
        <v>9.6968159192364567</v>
      </c>
      <c r="M76" s="167">
        <f>'Pseudo-load coefficients'!M278</f>
        <v>9.6968159192364567</v>
      </c>
      <c r="N76" s="167">
        <f>'Pseudo-load coefficients'!N278</f>
        <v>7.8370936354082668</v>
      </c>
      <c r="O76" s="167">
        <f>'Pseudo-load coefficients'!O278</f>
        <v>6.8712767782823869</v>
      </c>
      <c r="P76" s="167">
        <f>'Pseudo-load coefficients'!P278</f>
        <v>6.5290124513137284</v>
      </c>
      <c r="Q76" s="167">
        <f>'Pseudo-load coefficients'!Q278</f>
        <v>20.788359057429449</v>
      </c>
      <c r="R76" s="167">
        <f>'Pseudo-load coefficients'!R278</f>
        <v>5.8498087153930998</v>
      </c>
      <c r="S76" s="167">
        <f>'Pseudo-load coefficients'!S278</f>
        <v>5.8498087153930998</v>
      </c>
      <c r="T76" s="167">
        <f>'Pseudo-load coefficients'!T278</f>
        <v>5.8498087153930998</v>
      </c>
      <c r="U76" s="167">
        <f>'Pseudo-load coefficients'!U278</f>
        <v>5.8498087153930998</v>
      </c>
      <c r="V76" s="167">
        <f>'Pseudo-load coefficients'!V278</f>
        <v>5.8498087153930998</v>
      </c>
      <c r="W76" s="167">
        <f>'Pseudo-load coefficients'!W278</f>
        <v>5.8498087153930998</v>
      </c>
      <c r="X76" s="167">
        <f>'Pseudo-load coefficients'!X278</f>
        <v>5.8498087153930998</v>
      </c>
      <c r="Y76" s="167">
        <f>'Pseudo-load coefficients'!Y278</f>
        <v>5.8498087153930998</v>
      </c>
      <c r="AQ76" s="3"/>
    </row>
    <row r="77" spans="3:43" x14ac:dyDescent="0.25">
      <c r="E77" s="75"/>
      <c r="F77" t="s">
        <v>196</v>
      </c>
      <c r="G77" t="s">
        <v>281</v>
      </c>
      <c r="J77" s="167">
        <f>'Pseudo-load coefficients'!J279</f>
        <v>8.4993454023219943</v>
      </c>
      <c r="K77" s="167">
        <f>'Pseudo-load coefficients'!K279</f>
        <v>8.4993454023219943</v>
      </c>
      <c r="L77" s="167">
        <f>'Pseudo-load coefficients'!L279</f>
        <v>9.6968159192364567</v>
      </c>
      <c r="M77" s="167">
        <f>'Pseudo-load coefficients'!M279</f>
        <v>9.6968159192364567</v>
      </c>
      <c r="N77" s="167">
        <f>'Pseudo-load coefficients'!N279</f>
        <v>7.8370936354082668</v>
      </c>
      <c r="O77" s="167">
        <f>'Pseudo-load coefficients'!O279</f>
        <v>6.8712767782823869</v>
      </c>
      <c r="P77" s="167">
        <f>'Pseudo-load coefficients'!P279</f>
        <v>6.5290124513137284</v>
      </c>
      <c r="Q77" s="167">
        <f>'Pseudo-load coefficients'!Q279</f>
        <v>20.788359057429449</v>
      </c>
      <c r="R77" s="167">
        <f>'Pseudo-load coefficients'!R279</f>
        <v>5.8498087153930998</v>
      </c>
      <c r="S77" s="167">
        <f>'Pseudo-load coefficients'!S279</f>
        <v>5.8498087153930998</v>
      </c>
      <c r="T77" s="167">
        <f>'Pseudo-load coefficients'!T279</f>
        <v>5.8498087153930998</v>
      </c>
      <c r="U77" s="167">
        <f>'Pseudo-load coefficients'!U279</f>
        <v>5.8498087153930998</v>
      </c>
      <c r="V77" s="167">
        <f>'Pseudo-load coefficients'!V279</f>
        <v>5.8498087153930998</v>
      </c>
      <c r="W77" s="167">
        <f>'Pseudo-load coefficients'!W279</f>
        <v>5.8498087153930998</v>
      </c>
      <c r="X77" s="167">
        <f>'Pseudo-load coefficients'!X279</f>
        <v>5.8498087153930998</v>
      </c>
      <c r="Y77" s="167">
        <f>'Pseudo-load coefficients'!Y279</f>
        <v>5.8498087153930998</v>
      </c>
      <c r="AQ77" s="3"/>
    </row>
    <row r="78" spans="3:43" x14ac:dyDescent="0.25">
      <c r="E78" s="75"/>
      <c r="F78" s="96" t="s">
        <v>197</v>
      </c>
      <c r="G78" s="96" t="s">
        <v>281</v>
      </c>
      <c r="H78" s="96"/>
      <c r="I78" s="96"/>
      <c r="J78" s="171">
        <f>'Pseudo-load coefficients'!J280</f>
        <v>8.4993454023219943</v>
      </c>
      <c r="K78" s="171">
        <f>'Pseudo-load coefficients'!K280</f>
        <v>8.4993454023219943</v>
      </c>
      <c r="L78" s="171">
        <f>'Pseudo-load coefficients'!L280</f>
        <v>9.6968159192364567</v>
      </c>
      <c r="M78" s="171">
        <f>'Pseudo-load coefficients'!M280</f>
        <v>9.6968159192364567</v>
      </c>
      <c r="N78" s="171">
        <f>'Pseudo-load coefficients'!N280</f>
        <v>7.8370936354082668</v>
      </c>
      <c r="O78" s="171">
        <f>'Pseudo-load coefficients'!O280</f>
        <v>6.8712767782823869</v>
      </c>
      <c r="P78" s="171">
        <f>'Pseudo-load coefficients'!P280</f>
        <v>6.5290124513137284</v>
      </c>
      <c r="Q78" s="171">
        <f>'Pseudo-load coefficients'!Q280</f>
        <v>20.788359057429449</v>
      </c>
      <c r="R78" s="171">
        <f>'Pseudo-load coefficients'!R280</f>
        <v>5.8498087153930998</v>
      </c>
      <c r="S78" s="171">
        <f>'Pseudo-load coefficients'!S280</f>
        <v>5.8498087153930998</v>
      </c>
      <c r="T78" s="171">
        <f>'Pseudo-load coefficients'!T280</f>
        <v>5.8498087153930998</v>
      </c>
      <c r="U78" s="171">
        <f>'Pseudo-load coefficients'!U280</f>
        <v>5.8498087153930998</v>
      </c>
      <c r="V78" s="171">
        <f>'Pseudo-load coefficients'!V280</f>
        <v>5.8498087153930998</v>
      </c>
      <c r="W78" s="171">
        <f>'Pseudo-load coefficients'!W280</f>
        <v>5.8498087153930998</v>
      </c>
      <c r="X78" s="171">
        <f>'Pseudo-load coefficients'!X280</f>
        <v>5.8498087153930998</v>
      </c>
      <c r="Y78" s="171">
        <f>'Pseudo-load coefficients'!Y280</f>
        <v>5.8498087153930998</v>
      </c>
      <c r="AQ78" s="3"/>
    </row>
    <row r="79" spans="3:43" x14ac:dyDescent="0.25">
      <c r="E79" s="75"/>
      <c r="J79" s="106"/>
      <c r="K79" s="106"/>
      <c r="L79" s="106"/>
      <c r="M79" s="106"/>
      <c r="N79" s="106"/>
      <c r="O79" s="106"/>
      <c r="P79" s="106"/>
      <c r="Q79" s="106"/>
      <c r="R79" s="106"/>
      <c r="S79" s="106"/>
      <c r="T79" s="106"/>
      <c r="U79" s="106"/>
      <c r="V79" s="106"/>
      <c r="W79" s="106"/>
      <c r="X79" s="106"/>
      <c r="Y79" s="106"/>
      <c r="AQ79" s="3"/>
    </row>
    <row r="80" spans="3:43" x14ac:dyDescent="0.25">
      <c r="E80" s="75" t="s">
        <v>463</v>
      </c>
      <c r="J80" s="106"/>
      <c r="K80" s="106"/>
      <c r="L80" s="106"/>
      <c r="M80" s="106"/>
      <c r="N80" s="106"/>
      <c r="O80" s="106"/>
      <c r="P80" s="106"/>
      <c r="Q80" s="106"/>
      <c r="R80" s="106"/>
      <c r="S80" s="106"/>
      <c r="T80" s="106"/>
      <c r="U80" s="106"/>
      <c r="V80" s="106"/>
      <c r="W80" s="106"/>
      <c r="X80" s="106"/>
      <c r="Y80" s="106"/>
      <c r="AQ80" s="3"/>
    </row>
    <row r="81" spans="5:43" x14ac:dyDescent="0.25">
      <c r="E81" s="86" t="s">
        <v>464</v>
      </c>
      <c r="J81" s="106"/>
      <c r="K81" s="106"/>
      <c r="L81" s="106"/>
      <c r="M81" s="106"/>
      <c r="N81" s="106"/>
      <c r="O81" s="106"/>
      <c r="P81" s="106"/>
      <c r="Q81" s="106"/>
      <c r="R81" s="106"/>
      <c r="S81" s="106"/>
      <c r="T81" s="106"/>
      <c r="U81" s="106"/>
      <c r="V81" s="106"/>
      <c r="W81" s="106"/>
      <c r="X81" s="106"/>
      <c r="Y81" s="106"/>
      <c r="AQ81" s="3"/>
    </row>
    <row r="82" spans="5:43" x14ac:dyDescent="0.25">
      <c r="E82" s="75"/>
      <c r="F82" s="95" t="s">
        <v>189</v>
      </c>
      <c r="G82" s="95" t="s">
        <v>170</v>
      </c>
      <c r="H82" s="95"/>
      <c r="I82" s="95"/>
      <c r="J82" s="222">
        <f t="shared" ref="J82:Y82" si="1">J$56 * J34 * J70 / hours_in_year / $H45</f>
        <v>940.38393986577046</v>
      </c>
      <c r="K82" s="222">
        <f t="shared" si="1"/>
        <v>1.1169888261525664</v>
      </c>
      <c r="L82" s="222">
        <f t="shared" si="1"/>
        <v>283.5091172983648</v>
      </c>
      <c r="M82" s="222">
        <f t="shared" si="1"/>
        <v>0.35291467410141464</v>
      </c>
      <c r="N82" s="222">
        <f t="shared" si="1"/>
        <v>313.93826597129902</v>
      </c>
      <c r="O82" s="222">
        <f t="shared" si="1"/>
        <v>90.281359192435801</v>
      </c>
      <c r="P82" s="222">
        <f t="shared" si="1"/>
        <v>290.27870111364888</v>
      </c>
      <c r="Q82" s="222">
        <f t="shared" si="1"/>
        <v>22.73925894014728</v>
      </c>
      <c r="R82" s="222">
        <f t="shared" si="1"/>
        <v>-7.5141417876162748</v>
      </c>
      <c r="S82" s="222">
        <f t="shared" si="1"/>
        <v>0</v>
      </c>
      <c r="T82" s="222">
        <f t="shared" si="1"/>
        <v>-4.6338180342537596</v>
      </c>
      <c r="U82" s="222">
        <f t="shared" si="1"/>
        <v>0</v>
      </c>
      <c r="V82" s="222">
        <f t="shared" si="1"/>
        <v>-0.23897390347433953</v>
      </c>
      <c r="W82" s="222">
        <f t="shared" si="1"/>
        <v>0</v>
      </c>
      <c r="X82" s="222">
        <f t="shared" si="1"/>
        <v>-112.31977116311164</v>
      </c>
      <c r="Y82" s="222">
        <f t="shared" si="1"/>
        <v>0</v>
      </c>
      <c r="AQ82" s="3"/>
    </row>
    <row r="83" spans="5:43" x14ac:dyDescent="0.25">
      <c r="E83" s="75"/>
      <c r="F83" t="s">
        <v>190</v>
      </c>
      <c r="G83" t="s">
        <v>170</v>
      </c>
      <c r="J83" s="106">
        <f t="shared" ref="J83:Y83" si="2">J$56 * J35 * J71 / hours_in_year / $H46</f>
        <v>690.80339228046398</v>
      </c>
      <c r="K83" s="106">
        <f t="shared" si="2"/>
        <v>0.8205368440848817</v>
      </c>
      <c r="L83" s="106">
        <f t="shared" si="2"/>
        <v>208.26499865587428</v>
      </c>
      <c r="M83" s="106">
        <f t="shared" si="2"/>
        <v>0.25925012510274331</v>
      </c>
      <c r="N83" s="106">
        <f t="shared" si="2"/>
        <v>230.61816552351556</v>
      </c>
      <c r="O83" s="106">
        <f t="shared" si="2"/>
        <v>66.320432055366524</v>
      </c>
      <c r="P83" s="106">
        <f t="shared" si="2"/>
        <v>213.23791585030511</v>
      </c>
      <c r="Q83" s="106">
        <f t="shared" si="2"/>
        <v>17.541691577816653</v>
      </c>
      <c r="R83" s="106">
        <f t="shared" si="2"/>
        <v>-5.5198673827869094</v>
      </c>
      <c r="S83" s="106">
        <f t="shared" si="2"/>
        <v>0</v>
      </c>
      <c r="T83" s="106">
        <f t="shared" si="2"/>
        <v>-3.4039896701445214</v>
      </c>
      <c r="U83" s="106">
        <f t="shared" si="2"/>
        <v>0</v>
      </c>
      <c r="V83" s="106">
        <f t="shared" si="2"/>
        <v>-0.17554955607827782</v>
      </c>
      <c r="W83" s="106">
        <f t="shared" si="2"/>
        <v>0</v>
      </c>
      <c r="X83" s="106">
        <f t="shared" si="2"/>
        <v>-82.509787386116145</v>
      </c>
      <c r="Y83" s="106">
        <f t="shared" si="2"/>
        <v>0</v>
      </c>
      <c r="AQ83" s="3"/>
    </row>
    <row r="84" spans="5:43" x14ac:dyDescent="0.25">
      <c r="E84" s="75"/>
      <c r="F84" t="s">
        <v>191</v>
      </c>
      <c r="G84" t="s">
        <v>170</v>
      </c>
      <c r="J84" s="106">
        <f t="shared" ref="J84:Y84" si="3">J$56 * J36 * J72 / hours_in_year / $H47</f>
        <v>688.74742980343865</v>
      </c>
      <c r="K84" s="106">
        <f t="shared" si="3"/>
        <v>0.81809477014415288</v>
      </c>
      <c r="L84" s="106">
        <f t="shared" si="3"/>
        <v>207.64516235035083</v>
      </c>
      <c r="M84" s="106">
        <f t="shared" si="3"/>
        <v>0.2584785473494613</v>
      </c>
      <c r="N84" s="106">
        <f t="shared" si="3"/>
        <v>229.93180193564791</v>
      </c>
      <c r="O84" s="106">
        <f t="shared" si="3"/>
        <v>66.123049817106505</v>
      </c>
      <c r="P84" s="106">
        <f t="shared" si="3"/>
        <v>212.6032791959887</v>
      </c>
      <c r="Q84" s="106">
        <f t="shared" si="3"/>
        <v>17.489484162406484</v>
      </c>
      <c r="R84" s="106">
        <f t="shared" si="3"/>
        <v>-5.5034392060524233</v>
      </c>
      <c r="S84" s="106">
        <f t="shared" si="3"/>
        <v>0</v>
      </c>
      <c r="T84" s="106">
        <f t="shared" si="3"/>
        <v>-3.3938587485071863</v>
      </c>
      <c r="U84" s="106">
        <f t="shared" si="3"/>
        <v>0</v>
      </c>
      <c r="V84" s="106">
        <f t="shared" si="3"/>
        <v>-0.17502708716137816</v>
      </c>
      <c r="W84" s="106">
        <f t="shared" si="3"/>
        <v>0</v>
      </c>
      <c r="X84" s="106">
        <f t="shared" si="3"/>
        <v>-82.264222542705085</v>
      </c>
      <c r="Y84" s="106">
        <f t="shared" si="3"/>
        <v>0</v>
      </c>
      <c r="AQ84" s="3"/>
    </row>
    <row r="85" spans="5:43" x14ac:dyDescent="0.25">
      <c r="E85" s="75"/>
      <c r="F85" t="s">
        <v>192</v>
      </c>
      <c r="G85" t="s">
        <v>170</v>
      </c>
      <c r="J85" s="106">
        <f t="shared" ref="J85:Y85" si="4">J$56 * J37 * J73 / hours_in_year / $H48</f>
        <v>637.30286787712339</v>
      </c>
      <c r="K85" s="106">
        <f t="shared" si="4"/>
        <v>0.75698887668726322</v>
      </c>
      <c r="L85" s="106">
        <f t="shared" si="4"/>
        <v>192.13553726720383</v>
      </c>
      <c r="M85" s="106">
        <f t="shared" si="4"/>
        <v>0.23917202791963449</v>
      </c>
      <c r="N85" s="106">
        <f t="shared" si="4"/>
        <v>212.75752249494855</v>
      </c>
      <c r="O85" s="106">
        <f t="shared" si="4"/>
        <v>61.18412564276327</v>
      </c>
      <c r="P85" s="106">
        <f t="shared" si="4"/>
        <v>196.72331785013347</v>
      </c>
      <c r="Q85" s="106">
        <f t="shared" si="4"/>
        <v>15.436880942829388</v>
      </c>
      <c r="R85" s="106">
        <f t="shared" si="4"/>
        <v>-5.0923712197453455</v>
      </c>
      <c r="S85" s="106">
        <f t="shared" si="4"/>
        <v>0</v>
      </c>
      <c r="T85" s="106">
        <f t="shared" si="4"/>
        <v>-3.1403615026349616</v>
      </c>
      <c r="U85" s="106">
        <f t="shared" si="4"/>
        <v>0</v>
      </c>
      <c r="V85" s="106">
        <f t="shared" si="4"/>
        <v>-0.16195380160759279</v>
      </c>
      <c r="W85" s="106">
        <f t="shared" si="4"/>
        <v>0</v>
      </c>
      <c r="X85" s="106">
        <f t="shared" si="4"/>
        <v>-76.119666922183711</v>
      </c>
      <c r="Y85" s="106">
        <f t="shared" si="4"/>
        <v>0</v>
      </c>
      <c r="AQ85" s="3"/>
    </row>
    <row r="86" spans="5:43" x14ac:dyDescent="0.25">
      <c r="E86" s="75"/>
      <c r="F86" t="s">
        <v>193</v>
      </c>
      <c r="G86" t="s">
        <v>170</v>
      </c>
      <c r="J86" s="106">
        <f t="shared" ref="J86:Y86" si="5">J$56 * J38 * J74 / hours_in_year / $H49</f>
        <v>634.16344488265486</v>
      </c>
      <c r="K86" s="106">
        <f t="shared" si="5"/>
        <v>0.7532598674424984</v>
      </c>
      <c r="L86" s="106">
        <f t="shared" si="5"/>
        <v>191.18905678805507</v>
      </c>
      <c r="M86" s="106">
        <f t="shared" si="5"/>
        <v>0.23799384058998113</v>
      </c>
      <c r="N86" s="106">
        <f t="shared" si="5"/>
        <v>211.70945588167297</v>
      </c>
      <c r="O86" s="106">
        <f t="shared" si="5"/>
        <v>60.882726009055084</v>
      </c>
      <c r="P86" s="106">
        <f t="shared" si="5"/>
        <v>195.75423746663532</v>
      </c>
      <c r="Q86" s="106">
        <f t="shared" si="5"/>
        <v>15.360837194342546</v>
      </c>
      <c r="R86" s="106">
        <f t="shared" si="5"/>
        <v>-5.0672856472342849</v>
      </c>
      <c r="S86" s="106">
        <f t="shared" si="5"/>
        <v>0</v>
      </c>
      <c r="T86" s="106">
        <f t="shared" si="5"/>
        <v>-3.1248917415382378</v>
      </c>
      <c r="U86" s="106">
        <f t="shared" si="5"/>
        <v>0</v>
      </c>
      <c r="V86" s="106">
        <f t="shared" si="5"/>
        <v>-0.16115599962923027</v>
      </c>
      <c r="W86" s="106">
        <f t="shared" si="5"/>
        <v>0</v>
      </c>
      <c r="X86" s="106">
        <f t="shared" si="5"/>
        <v>-75.744693193503011</v>
      </c>
      <c r="Y86" s="106">
        <f t="shared" si="5"/>
        <v>0</v>
      </c>
      <c r="AQ86" s="3"/>
    </row>
    <row r="87" spans="5:43" x14ac:dyDescent="0.25">
      <c r="E87" s="75"/>
      <c r="F87" t="s">
        <v>194</v>
      </c>
      <c r="G87" t="s">
        <v>170</v>
      </c>
      <c r="J87" s="106">
        <f t="shared" ref="J87:Y87" si="6">J$56 * J39 * J75 / hours_in_year / $H50</f>
        <v>0</v>
      </c>
      <c r="K87" s="106">
        <f t="shared" si="6"/>
        <v>0</v>
      </c>
      <c r="L87" s="106">
        <f t="shared" si="6"/>
        <v>0</v>
      </c>
      <c r="M87" s="106">
        <f t="shared" si="6"/>
        <v>0</v>
      </c>
      <c r="N87" s="106">
        <f t="shared" si="6"/>
        <v>0</v>
      </c>
      <c r="O87" s="106">
        <f t="shared" si="6"/>
        <v>0</v>
      </c>
      <c r="P87" s="106">
        <f t="shared" si="6"/>
        <v>0</v>
      </c>
      <c r="Q87" s="106">
        <f t="shared" si="6"/>
        <v>0</v>
      </c>
      <c r="R87" s="106">
        <f t="shared" si="6"/>
        <v>0</v>
      </c>
      <c r="S87" s="106">
        <f t="shared" si="6"/>
        <v>0</v>
      </c>
      <c r="T87" s="106">
        <f t="shared" si="6"/>
        <v>0</v>
      </c>
      <c r="U87" s="106">
        <f t="shared" si="6"/>
        <v>0</v>
      </c>
      <c r="V87" s="106">
        <f t="shared" si="6"/>
        <v>0</v>
      </c>
      <c r="W87" s="106">
        <f t="shared" si="6"/>
        <v>0</v>
      </c>
      <c r="X87" s="106">
        <f t="shared" si="6"/>
        <v>0</v>
      </c>
      <c r="Y87" s="106">
        <f t="shared" si="6"/>
        <v>0</v>
      </c>
      <c r="AQ87" s="3"/>
    </row>
    <row r="88" spans="5:43" x14ac:dyDescent="0.25">
      <c r="E88" s="75"/>
      <c r="F88" t="s">
        <v>195</v>
      </c>
      <c r="G88" t="s">
        <v>170</v>
      </c>
      <c r="J88" s="106">
        <f t="shared" ref="J88:Y88" si="7">J$56 * J40 * J76 / hours_in_year / $H51</f>
        <v>628.58974273036586</v>
      </c>
      <c r="K88" s="106">
        <f t="shared" si="7"/>
        <v>0.74663941938880451</v>
      </c>
      <c r="L88" s="106">
        <f t="shared" si="7"/>
        <v>189.50868421862879</v>
      </c>
      <c r="M88" s="106">
        <f t="shared" si="7"/>
        <v>0.23590209785042074</v>
      </c>
      <c r="N88" s="106">
        <f>N$56 * N40 * N76 / hours_in_year / $H51</f>
        <v>209.8487282420879</v>
      </c>
      <c r="O88" s="106">
        <f t="shared" si="7"/>
        <v>60.347623924991112</v>
      </c>
      <c r="P88" s="106">
        <f t="shared" si="7"/>
        <v>194.03374123890117</v>
      </c>
      <c r="Q88" s="106">
        <f t="shared" si="7"/>
        <v>15.225829836189144</v>
      </c>
      <c r="R88" s="106">
        <f t="shared" si="7"/>
        <v>-5.0227489569753887</v>
      </c>
      <c r="S88" s="106">
        <f t="shared" si="7"/>
        <v>0</v>
      </c>
      <c r="T88" s="106">
        <f t="shared" si="7"/>
        <v>-3.0974268727161238</v>
      </c>
      <c r="U88" s="106">
        <f t="shared" si="7"/>
        <v>0</v>
      </c>
      <c r="V88" s="106">
        <f t="shared" si="7"/>
        <v>-0.15973958947623898</v>
      </c>
      <c r="W88" s="106">
        <f t="shared" si="7"/>
        <v>0</v>
      </c>
      <c r="X88" s="106">
        <f t="shared" si="7"/>
        <v>0</v>
      </c>
      <c r="Y88" s="106">
        <f t="shared" si="7"/>
        <v>0</v>
      </c>
      <c r="AQ88" s="3"/>
    </row>
    <row r="89" spans="5:43" x14ac:dyDescent="0.25">
      <c r="E89" s="75"/>
      <c r="F89" t="s">
        <v>196</v>
      </c>
      <c r="G89" t="s">
        <v>170</v>
      </c>
      <c r="J89" s="106">
        <f t="shared" ref="J89:Y89" si="8">J$56 * J41 * J77 / hours_in_year / $H52</f>
        <v>618.91913130374485</v>
      </c>
      <c r="K89" s="106">
        <f t="shared" si="8"/>
        <v>0.73515265909051519</v>
      </c>
      <c r="L89" s="106">
        <f t="shared" si="8"/>
        <v>186.59316599988065</v>
      </c>
      <c r="M89" s="106">
        <f t="shared" si="8"/>
        <v>0.2322728348065681</v>
      </c>
      <c r="N89" s="106">
        <f t="shared" si="8"/>
        <v>206.62028626913272</v>
      </c>
      <c r="O89" s="106">
        <f t="shared" si="8"/>
        <v>59.419198941529707</v>
      </c>
      <c r="P89" s="106">
        <f t="shared" si="8"/>
        <v>0</v>
      </c>
      <c r="Q89" s="106">
        <f t="shared" si="8"/>
        <v>14.991586300247771</v>
      </c>
      <c r="R89" s="106">
        <f t="shared" si="8"/>
        <v>-4.945475896098845</v>
      </c>
      <c r="S89" s="106">
        <f t="shared" si="8"/>
        <v>0</v>
      </c>
      <c r="T89" s="106">
        <f t="shared" si="8"/>
        <v>-3.0497741515974144</v>
      </c>
      <c r="U89" s="106">
        <f t="shared" si="8"/>
        <v>0</v>
      </c>
      <c r="V89" s="106">
        <f t="shared" si="8"/>
        <v>0</v>
      </c>
      <c r="W89" s="106">
        <f t="shared" si="8"/>
        <v>0</v>
      </c>
      <c r="X89" s="106">
        <f t="shared" si="8"/>
        <v>0</v>
      </c>
      <c r="Y89" s="106">
        <f t="shared" si="8"/>
        <v>0</v>
      </c>
      <c r="AQ89" s="3"/>
    </row>
    <row r="90" spans="5:43" x14ac:dyDescent="0.25">
      <c r="E90" s="75"/>
      <c r="F90" s="96" t="s">
        <v>197</v>
      </c>
      <c r="G90" s="96" t="s">
        <v>170</v>
      </c>
      <c r="H90" s="96"/>
      <c r="I90" s="96"/>
      <c r="J90" s="195">
        <f t="shared" ref="J90:Y90" si="9">J$56 * J42 * J78 / hours_in_year / $H53</f>
        <v>584.09790976033992</v>
      </c>
      <c r="K90" s="195">
        <f t="shared" si="9"/>
        <v>0.6937919831707221</v>
      </c>
      <c r="L90" s="195">
        <f t="shared" si="9"/>
        <v>176.0951838837349</v>
      </c>
      <c r="M90" s="195">
        <f t="shared" si="9"/>
        <v>0.21920485317498259</v>
      </c>
      <c r="N90" s="195">
        <f t="shared" si="9"/>
        <v>194.9955514699619</v>
      </c>
      <c r="O90" s="195">
        <f t="shared" si="9"/>
        <v>0</v>
      </c>
      <c r="P90" s="195">
        <f t="shared" si="9"/>
        <v>0</v>
      </c>
      <c r="Q90" s="195">
        <f t="shared" si="9"/>
        <v>14.148139521104975</v>
      </c>
      <c r="R90" s="195">
        <f t="shared" si="9"/>
        <v>0</v>
      </c>
      <c r="S90" s="195">
        <f t="shared" si="9"/>
        <v>0</v>
      </c>
      <c r="T90" s="195">
        <f t="shared" si="9"/>
        <v>0</v>
      </c>
      <c r="U90" s="195">
        <f t="shared" si="9"/>
        <v>0</v>
      </c>
      <c r="V90" s="195">
        <f t="shared" si="9"/>
        <v>0</v>
      </c>
      <c r="W90" s="195">
        <f t="shared" si="9"/>
        <v>0</v>
      </c>
      <c r="X90" s="195">
        <f t="shared" si="9"/>
        <v>0</v>
      </c>
      <c r="Y90" s="195">
        <f t="shared" si="9"/>
        <v>0</v>
      </c>
      <c r="AQ90" s="3"/>
    </row>
    <row r="91" spans="5:43" x14ac:dyDescent="0.25">
      <c r="E91" s="75"/>
      <c r="J91" s="106"/>
      <c r="K91" s="106"/>
      <c r="L91" s="106"/>
      <c r="M91" s="106"/>
      <c r="N91" s="106"/>
      <c r="O91" s="106"/>
      <c r="P91" s="106"/>
      <c r="Q91" s="106"/>
      <c r="R91" s="106"/>
      <c r="S91" s="106"/>
      <c r="T91" s="106"/>
      <c r="U91" s="106"/>
      <c r="V91" s="106"/>
      <c r="W91" s="106"/>
      <c r="X91" s="106"/>
      <c r="Y91" s="106"/>
      <c r="AQ91" s="3"/>
    </row>
    <row r="92" spans="5:43" x14ac:dyDescent="0.25">
      <c r="E92" s="75" t="s">
        <v>465</v>
      </c>
      <c r="J92" s="106"/>
      <c r="K92" s="106"/>
      <c r="L92" s="106"/>
      <c r="M92" s="106"/>
      <c r="N92" s="106"/>
      <c r="O92" s="106"/>
      <c r="P92" s="106"/>
      <c r="Q92" s="106"/>
      <c r="R92" s="106"/>
      <c r="S92" s="106"/>
      <c r="T92" s="106"/>
      <c r="U92" s="106"/>
      <c r="V92" s="106"/>
      <c r="W92" s="106"/>
      <c r="X92" s="106"/>
      <c r="Y92" s="106"/>
      <c r="AQ92" s="3"/>
    </row>
    <row r="93" spans="5:43" x14ac:dyDescent="0.25">
      <c r="E93" s="75"/>
      <c r="F93" s="95" t="s">
        <v>189</v>
      </c>
      <c r="G93" s="95" t="s">
        <v>281</v>
      </c>
      <c r="H93" s="95"/>
      <c r="I93" s="95"/>
      <c r="J93" s="170">
        <f>'Pseudo-load coefficients'!J283</f>
        <v>0.36009369269812741</v>
      </c>
      <c r="K93" s="170">
        <f>'Pseudo-load coefficients'!K283</f>
        <v>0.36009369269812741</v>
      </c>
      <c r="L93" s="170">
        <f>'Pseudo-load coefficients'!L283</f>
        <v>0.41082719744721802</v>
      </c>
      <c r="M93" s="170">
        <f>'Pseudo-load coefficients'!M283</f>
        <v>0.41082719744721802</v>
      </c>
      <c r="N93" s="170">
        <f>'Pseudo-load coefficients'!N283</f>
        <v>0.33203592201632015</v>
      </c>
      <c r="O93" s="170">
        <f>'Pseudo-load coefficients'!O283</f>
        <v>0.29111694036656344</v>
      </c>
      <c r="P93" s="170">
        <f>'Pseudo-load coefficients'!P283</f>
        <v>0.27661615006531121</v>
      </c>
      <c r="Q93" s="170">
        <f>'Pseudo-load coefficients'!Q283</f>
        <v>0.3911686398456668</v>
      </c>
      <c r="R93" s="170">
        <f>'Pseudo-load coefficients'!R283</f>
        <v>0.24784017147110024</v>
      </c>
      <c r="S93" s="170">
        <f>'Pseudo-load coefficients'!S283</f>
        <v>0.24784017147110024</v>
      </c>
      <c r="T93" s="170">
        <f>'Pseudo-load coefficients'!T283</f>
        <v>0.24784017147110024</v>
      </c>
      <c r="U93" s="170">
        <f>'Pseudo-load coefficients'!U283</f>
        <v>0.24784017147110024</v>
      </c>
      <c r="V93" s="170">
        <f>'Pseudo-load coefficients'!V283</f>
        <v>0.24784017147110024</v>
      </c>
      <c r="W93" s="170">
        <f>'Pseudo-load coefficients'!W283</f>
        <v>0.24784017147110024</v>
      </c>
      <c r="X93" s="170">
        <f>'Pseudo-load coefficients'!X283</f>
        <v>0.24784017147110024</v>
      </c>
      <c r="Y93" s="170">
        <f>'Pseudo-load coefficients'!Y283</f>
        <v>0.24784017147110024</v>
      </c>
      <c r="AQ93" s="3"/>
    </row>
    <row r="94" spans="5:43" x14ac:dyDescent="0.25">
      <c r="E94" s="75"/>
      <c r="F94" t="s">
        <v>190</v>
      </c>
      <c r="G94" t="s">
        <v>281</v>
      </c>
      <c r="J94" s="167">
        <f>'Pseudo-load coefficients'!J284</f>
        <v>1.2063695409531574</v>
      </c>
      <c r="K94" s="167">
        <f>'Pseudo-load coefficients'!K284</f>
        <v>1.2063695409531574</v>
      </c>
      <c r="L94" s="167">
        <f>'Pseudo-load coefficients'!L284</f>
        <v>1.3763346252525179</v>
      </c>
      <c r="M94" s="167">
        <f>'Pseudo-load coefficients'!M284</f>
        <v>1.3763346252525179</v>
      </c>
      <c r="N94" s="167">
        <f>'Pseudo-load coefficients'!N284</f>
        <v>1.1123716714432459</v>
      </c>
      <c r="O94" s="167">
        <f>'Pseudo-load coefficients'!O284</f>
        <v>0.97528675685000454</v>
      </c>
      <c r="P94" s="167">
        <f>'Pseudo-load coefficients'!P284</f>
        <v>0.92670686752146636</v>
      </c>
      <c r="Q94" s="167">
        <f>'Pseudo-load coefficients'!Q284</f>
        <v>0.83285482483164919</v>
      </c>
      <c r="R94" s="167">
        <f>'Pseudo-load coefficients'!R284</f>
        <v>0.83030289047019967</v>
      </c>
      <c r="S94" s="167">
        <f>'Pseudo-load coefficients'!S284</f>
        <v>0.83030289047019967</v>
      </c>
      <c r="T94" s="167">
        <f>'Pseudo-load coefficients'!T284</f>
        <v>0.83030289047019967</v>
      </c>
      <c r="U94" s="167">
        <f>'Pseudo-load coefficients'!U284</f>
        <v>0.83030289047019967</v>
      </c>
      <c r="V94" s="167">
        <f>'Pseudo-load coefficients'!V284</f>
        <v>0.83030289047019967</v>
      </c>
      <c r="W94" s="167">
        <f>'Pseudo-load coefficients'!W284</f>
        <v>0.83030289047019967</v>
      </c>
      <c r="X94" s="167">
        <f>'Pseudo-load coefficients'!X284</f>
        <v>0.83030289047019967</v>
      </c>
      <c r="Y94" s="167">
        <f>'Pseudo-load coefficients'!Y284</f>
        <v>0.83030289047019967</v>
      </c>
      <c r="AQ94" s="3"/>
    </row>
    <row r="95" spans="5:43" x14ac:dyDescent="0.25">
      <c r="E95" s="75"/>
      <c r="F95" t="s">
        <v>191</v>
      </c>
      <c r="G95" t="s">
        <v>281</v>
      </c>
      <c r="J95" s="167">
        <f>'Pseudo-load coefficients'!J285</f>
        <v>1.2063695409531574</v>
      </c>
      <c r="K95" s="167">
        <f>'Pseudo-load coefficients'!K285</f>
        <v>1.2063695409531574</v>
      </c>
      <c r="L95" s="167">
        <f>'Pseudo-load coefficients'!L285</f>
        <v>1.3763346252525179</v>
      </c>
      <c r="M95" s="167">
        <f>'Pseudo-load coefficients'!M285</f>
        <v>1.3763346252525179</v>
      </c>
      <c r="N95" s="167">
        <f>'Pseudo-load coefficients'!N285</f>
        <v>1.1123716714432459</v>
      </c>
      <c r="O95" s="167">
        <f>'Pseudo-load coefficients'!O285</f>
        <v>0.97528675685000454</v>
      </c>
      <c r="P95" s="167">
        <f>'Pseudo-load coefficients'!P285</f>
        <v>0.92670686752146636</v>
      </c>
      <c r="Q95" s="167">
        <f>'Pseudo-load coefficients'!Q285</f>
        <v>0.83285482483164919</v>
      </c>
      <c r="R95" s="167">
        <f>'Pseudo-load coefficients'!R285</f>
        <v>0.83030289047019967</v>
      </c>
      <c r="S95" s="167">
        <f>'Pseudo-load coefficients'!S285</f>
        <v>0.83030289047019967</v>
      </c>
      <c r="T95" s="167">
        <f>'Pseudo-load coefficients'!T285</f>
        <v>0.83030289047019967</v>
      </c>
      <c r="U95" s="167">
        <f>'Pseudo-load coefficients'!U285</f>
        <v>0.83030289047019967</v>
      </c>
      <c r="V95" s="167">
        <f>'Pseudo-load coefficients'!V285</f>
        <v>0.83030289047019967</v>
      </c>
      <c r="W95" s="167">
        <f>'Pseudo-load coefficients'!W285</f>
        <v>0.83030289047019967</v>
      </c>
      <c r="X95" s="167">
        <f>'Pseudo-load coefficients'!X285</f>
        <v>0.83030289047019967</v>
      </c>
      <c r="Y95" s="167">
        <f>'Pseudo-load coefficients'!Y285</f>
        <v>0.83030289047019967</v>
      </c>
      <c r="AQ95" s="3"/>
    </row>
    <row r="96" spans="5:43" x14ac:dyDescent="0.25">
      <c r="E96" s="75"/>
      <c r="F96" t="s">
        <v>192</v>
      </c>
      <c r="G96" t="s">
        <v>281</v>
      </c>
      <c r="J96" s="167">
        <f>'Pseudo-load coefficients'!J286</f>
        <v>1.4496434110917948</v>
      </c>
      <c r="K96" s="167">
        <f>'Pseudo-load coefficients'!K286</f>
        <v>1.4496434110917948</v>
      </c>
      <c r="L96" s="167">
        <f>'Pseudo-load coefficients'!L286</f>
        <v>1.6538832863588351</v>
      </c>
      <c r="M96" s="167">
        <f>'Pseudo-load coefficients'!M286</f>
        <v>1.6538832863588351</v>
      </c>
      <c r="N96" s="167">
        <f>'Pseudo-load coefficients'!N286</f>
        <v>1.3366901346985203</v>
      </c>
      <c r="O96" s="167">
        <f>'Pseudo-load coefficients'!O286</f>
        <v>1.1719609729831466</v>
      </c>
      <c r="P96" s="167">
        <f>'Pseudo-load coefficients'!P286</f>
        <v>1.1135845683359917</v>
      </c>
      <c r="Q96" s="167">
        <f>'Pseudo-load coefficients'!Q286</f>
        <v>1.0878443951845305</v>
      </c>
      <c r="R96" s="167">
        <f>'Pseudo-load coefficients'!R286</f>
        <v>0.99773997396319691</v>
      </c>
      <c r="S96" s="167">
        <f>'Pseudo-load coefficients'!S286</f>
        <v>0.99773997396319691</v>
      </c>
      <c r="T96" s="167">
        <f>'Pseudo-load coefficients'!T286</f>
        <v>0.99773997396319691</v>
      </c>
      <c r="U96" s="167">
        <f>'Pseudo-load coefficients'!U286</f>
        <v>0.99773997396319691</v>
      </c>
      <c r="V96" s="167">
        <f>'Pseudo-load coefficients'!V286</f>
        <v>0.99773997396319691</v>
      </c>
      <c r="W96" s="167">
        <f>'Pseudo-load coefficients'!W286</f>
        <v>0.99773997396319691</v>
      </c>
      <c r="X96" s="167">
        <f>'Pseudo-load coefficients'!X286</f>
        <v>0.99773997396319691</v>
      </c>
      <c r="Y96" s="167">
        <f>'Pseudo-load coefficients'!Y286</f>
        <v>0.99773997396319691</v>
      </c>
      <c r="AQ96" s="3"/>
    </row>
    <row r="97" spans="5:43" x14ac:dyDescent="0.25">
      <c r="E97" s="75"/>
      <c r="F97" t="s">
        <v>193</v>
      </c>
      <c r="G97" t="s">
        <v>281</v>
      </c>
      <c r="J97" s="167">
        <f>'Pseudo-load coefficients'!J287</f>
        <v>1.4496434110917948</v>
      </c>
      <c r="K97" s="167">
        <f>'Pseudo-load coefficients'!K287</f>
        <v>1.4496434110917948</v>
      </c>
      <c r="L97" s="167">
        <f>'Pseudo-load coefficients'!L287</f>
        <v>1.6538832863588351</v>
      </c>
      <c r="M97" s="167">
        <f>'Pseudo-load coefficients'!M287</f>
        <v>1.6538832863588351</v>
      </c>
      <c r="N97" s="167">
        <f>'Pseudo-load coefficients'!N287</f>
        <v>1.3366901346985203</v>
      </c>
      <c r="O97" s="167">
        <f>'Pseudo-load coefficients'!O287</f>
        <v>1.1719609729831466</v>
      </c>
      <c r="P97" s="167">
        <f>'Pseudo-load coefficients'!P287</f>
        <v>1.1135845683359917</v>
      </c>
      <c r="Q97" s="167">
        <f>'Pseudo-load coefficients'!Q287</f>
        <v>1.0878443951845305</v>
      </c>
      <c r="R97" s="167">
        <f>'Pseudo-load coefficients'!R287</f>
        <v>0.99773997396319691</v>
      </c>
      <c r="S97" s="167">
        <f>'Pseudo-load coefficients'!S287</f>
        <v>0.99773997396319691</v>
      </c>
      <c r="T97" s="167">
        <f>'Pseudo-load coefficients'!T287</f>
        <v>0.99773997396319691</v>
      </c>
      <c r="U97" s="167">
        <f>'Pseudo-load coefficients'!U287</f>
        <v>0.99773997396319691</v>
      </c>
      <c r="V97" s="167">
        <f>'Pseudo-load coefficients'!V287</f>
        <v>0.99773997396319691</v>
      </c>
      <c r="W97" s="167">
        <f>'Pseudo-load coefficients'!W287</f>
        <v>0.99773997396319691</v>
      </c>
      <c r="X97" s="167">
        <f>'Pseudo-load coefficients'!X287</f>
        <v>0.99773997396319691</v>
      </c>
      <c r="Y97" s="167">
        <f>'Pseudo-load coefficients'!Y287</f>
        <v>0.99773997396319691</v>
      </c>
      <c r="AQ97" s="3"/>
    </row>
    <row r="98" spans="5:43" x14ac:dyDescent="0.25">
      <c r="E98" s="75"/>
      <c r="F98" t="s">
        <v>194</v>
      </c>
      <c r="G98" t="s">
        <v>281</v>
      </c>
      <c r="J98" s="167">
        <f>'Pseudo-load coefficients'!J288</f>
        <v>0</v>
      </c>
      <c r="K98" s="167">
        <f>'Pseudo-load coefficients'!K288</f>
        <v>0</v>
      </c>
      <c r="L98" s="167">
        <f>'Pseudo-load coefficients'!L288</f>
        <v>0</v>
      </c>
      <c r="M98" s="167">
        <f>'Pseudo-load coefficients'!M288</f>
        <v>0</v>
      </c>
      <c r="N98" s="167">
        <f>'Pseudo-load coefficients'!N288</f>
        <v>0</v>
      </c>
      <c r="O98" s="167">
        <f>'Pseudo-load coefficients'!O288</f>
        <v>0</v>
      </c>
      <c r="P98" s="167">
        <f>'Pseudo-load coefficients'!P288</f>
        <v>0</v>
      </c>
      <c r="Q98" s="167">
        <f>'Pseudo-load coefficients'!Q288</f>
        <v>0</v>
      </c>
      <c r="R98" s="167">
        <f>'Pseudo-load coefficients'!R288</f>
        <v>0</v>
      </c>
      <c r="S98" s="167">
        <f>'Pseudo-load coefficients'!S288</f>
        <v>0</v>
      </c>
      <c r="T98" s="167">
        <f>'Pseudo-load coefficients'!T288</f>
        <v>0</v>
      </c>
      <c r="U98" s="167">
        <f>'Pseudo-load coefficients'!U288</f>
        <v>0</v>
      </c>
      <c r="V98" s="167">
        <f>'Pseudo-load coefficients'!V288</f>
        <v>0</v>
      </c>
      <c r="W98" s="167">
        <f>'Pseudo-load coefficients'!W288</f>
        <v>0</v>
      </c>
      <c r="X98" s="167">
        <f>'Pseudo-load coefficients'!X288</f>
        <v>0</v>
      </c>
      <c r="Y98" s="167">
        <f>'Pseudo-load coefficients'!Y288</f>
        <v>0</v>
      </c>
      <c r="AQ98" s="3"/>
    </row>
    <row r="99" spans="5:43" x14ac:dyDescent="0.25">
      <c r="E99" s="75"/>
      <c r="F99" t="s">
        <v>195</v>
      </c>
      <c r="G99" t="s">
        <v>281</v>
      </c>
      <c r="J99" s="167">
        <f>'Pseudo-load coefficients'!J289</f>
        <v>1.4496434110917948</v>
      </c>
      <c r="K99" s="167">
        <f>'Pseudo-load coefficients'!K289</f>
        <v>1.4496434110917948</v>
      </c>
      <c r="L99" s="167">
        <f>'Pseudo-load coefficients'!L289</f>
        <v>1.6538832863588351</v>
      </c>
      <c r="M99" s="167">
        <f>'Pseudo-load coefficients'!M289</f>
        <v>1.6538832863588351</v>
      </c>
      <c r="N99" s="167">
        <f>'Pseudo-load coefficients'!N289</f>
        <v>1.3366901346985203</v>
      </c>
      <c r="O99" s="167">
        <f>'Pseudo-load coefficients'!O289</f>
        <v>1.1719609729831466</v>
      </c>
      <c r="P99" s="167">
        <f>'Pseudo-load coefficients'!P289</f>
        <v>1.1135845683359917</v>
      </c>
      <c r="Q99" s="167">
        <f>'Pseudo-load coefficients'!Q289</f>
        <v>1.0878443951845305</v>
      </c>
      <c r="R99" s="167">
        <f>'Pseudo-load coefficients'!R289</f>
        <v>0.99773997396319691</v>
      </c>
      <c r="S99" s="167">
        <f>'Pseudo-load coefficients'!S289</f>
        <v>0.99773997396319691</v>
      </c>
      <c r="T99" s="167">
        <f>'Pseudo-load coefficients'!T289</f>
        <v>0.99773997396319691</v>
      </c>
      <c r="U99" s="167">
        <f>'Pseudo-load coefficients'!U289</f>
        <v>0.99773997396319691</v>
      </c>
      <c r="V99" s="167">
        <f>'Pseudo-load coefficients'!V289</f>
        <v>0.99773997396319691</v>
      </c>
      <c r="W99" s="167">
        <f>'Pseudo-load coefficients'!W289</f>
        <v>0.99773997396319691</v>
      </c>
      <c r="X99" s="167">
        <f>'Pseudo-load coefficients'!X289</f>
        <v>0.99773997396319691</v>
      </c>
      <c r="Y99" s="167">
        <f>'Pseudo-load coefficients'!Y289</f>
        <v>0.99773997396319691</v>
      </c>
      <c r="AQ99" s="3"/>
    </row>
    <row r="100" spans="5:43" x14ac:dyDescent="0.25">
      <c r="E100" s="75"/>
      <c r="F100" t="s">
        <v>196</v>
      </c>
      <c r="G100" t="s">
        <v>281</v>
      </c>
      <c r="J100" s="167">
        <f>'Pseudo-load coefficients'!J290</f>
        <v>1.4496434110917948</v>
      </c>
      <c r="K100" s="167">
        <f>'Pseudo-load coefficients'!K290</f>
        <v>1.4496434110917948</v>
      </c>
      <c r="L100" s="167">
        <f>'Pseudo-load coefficients'!L290</f>
        <v>1.6538832863588351</v>
      </c>
      <c r="M100" s="167">
        <f>'Pseudo-load coefficients'!M290</f>
        <v>1.6538832863588351</v>
      </c>
      <c r="N100" s="167">
        <f>'Pseudo-load coefficients'!N290</f>
        <v>1.3366901346985203</v>
      </c>
      <c r="O100" s="167">
        <f>'Pseudo-load coefficients'!O290</f>
        <v>1.1719609729831466</v>
      </c>
      <c r="P100" s="167">
        <f>'Pseudo-load coefficients'!P290</f>
        <v>1.1135845683359917</v>
      </c>
      <c r="Q100" s="167">
        <f>'Pseudo-load coefficients'!Q290</f>
        <v>1.0878443951845305</v>
      </c>
      <c r="R100" s="167">
        <f>'Pseudo-load coefficients'!R290</f>
        <v>0.99773997396319691</v>
      </c>
      <c r="S100" s="167">
        <f>'Pseudo-load coefficients'!S290</f>
        <v>0.99773997396319691</v>
      </c>
      <c r="T100" s="167">
        <f>'Pseudo-load coefficients'!T290</f>
        <v>0.99773997396319691</v>
      </c>
      <c r="U100" s="167">
        <f>'Pseudo-load coefficients'!U290</f>
        <v>0.99773997396319691</v>
      </c>
      <c r="V100" s="167">
        <f>'Pseudo-load coefficients'!V290</f>
        <v>0.99773997396319691</v>
      </c>
      <c r="W100" s="167">
        <f>'Pseudo-load coefficients'!W290</f>
        <v>0.99773997396319691</v>
      </c>
      <c r="X100" s="167">
        <f>'Pseudo-load coefficients'!X290</f>
        <v>0.99773997396319691</v>
      </c>
      <c r="Y100" s="167">
        <f>'Pseudo-load coefficients'!Y290</f>
        <v>0.99773997396319691</v>
      </c>
      <c r="AQ100" s="3"/>
    </row>
    <row r="101" spans="5:43" x14ac:dyDescent="0.25">
      <c r="E101" s="75"/>
      <c r="F101" s="96" t="s">
        <v>197</v>
      </c>
      <c r="G101" s="96" t="s">
        <v>281</v>
      </c>
      <c r="H101" s="96"/>
      <c r="I101" s="96"/>
      <c r="J101" s="171">
        <f>'Pseudo-load coefficients'!J291</f>
        <v>1.4496434110917948</v>
      </c>
      <c r="K101" s="171">
        <f>'Pseudo-load coefficients'!K291</f>
        <v>1.4496434110917948</v>
      </c>
      <c r="L101" s="171">
        <f>'Pseudo-load coefficients'!L291</f>
        <v>1.6538832863588351</v>
      </c>
      <c r="M101" s="171">
        <f>'Pseudo-load coefficients'!M291</f>
        <v>1.6538832863588351</v>
      </c>
      <c r="N101" s="171">
        <f>'Pseudo-load coefficients'!N291</f>
        <v>1.3366901346985203</v>
      </c>
      <c r="O101" s="171">
        <f>'Pseudo-load coefficients'!O291</f>
        <v>1.1719609729831466</v>
      </c>
      <c r="P101" s="171">
        <f>'Pseudo-load coefficients'!P291</f>
        <v>1.1135845683359917</v>
      </c>
      <c r="Q101" s="171">
        <f>'Pseudo-load coefficients'!Q291</f>
        <v>1.0878443951845305</v>
      </c>
      <c r="R101" s="171">
        <f>'Pseudo-load coefficients'!R291</f>
        <v>0.99773997396319691</v>
      </c>
      <c r="S101" s="171">
        <f>'Pseudo-load coefficients'!S291</f>
        <v>0.99773997396319691</v>
      </c>
      <c r="T101" s="171">
        <f>'Pseudo-load coefficients'!T291</f>
        <v>0.99773997396319691</v>
      </c>
      <c r="U101" s="171">
        <f>'Pseudo-load coefficients'!U291</f>
        <v>0.99773997396319691</v>
      </c>
      <c r="V101" s="171">
        <f>'Pseudo-load coefficients'!V291</f>
        <v>0.99773997396319691</v>
      </c>
      <c r="W101" s="171">
        <f>'Pseudo-load coefficients'!W291</f>
        <v>0.99773997396319691</v>
      </c>
      <c r="X101" s="171">
        <f>'Pseudo-load coefficients'!X291</f>
        <v>0.99773997396319691</v>
      </c>
      <c r="Y101" s="171">
        <f>'Pseudo-load coefficients'!Y291</f>
        <v>0.99773997396319691</v>
      </c>
      <c r="AQ101" s="3"/>
    </row>
    <row r="102" spans="5:43" x14ac:dyDescent="0.25">
      <c r="E102" s="75"/>
      <c r="J102" s="106"/>
      <c r="K102" s="106"/>
      <c r="L102" s="106"/>
      <c r="M102" s="106"/>
      <c r="N102" s="106"/>
      <c r="O102" s="106"/>
      <c r="P102" s="106"/>
      <c r="Q102" s="106"/>
      <c r="R102" s="106"/>
      <c r="S102" s="106"/>
      <c r="T102" s="106"/>
      <c r="U102" s="106"/>
      <c r="V102" s="106"/>
      <c r="W102" s="106"/>
      <c r="X102" s="106"/>
      <c r="Y102" s="106"/>
      <c r="AQ102" s="3"/>
    </row>
    <row r="103" spans="5:43" x14ac:dyDescent="0.25">
      <c r="E103" s="75" t="s">
        <v>466</v>
      </c>
      <c r="J103" s="106"/>
      <c r="K103" s="106"/>
      <c r="L103" s="106"/>
      <c r="M103" s="106"/>
      <c r="N103" s="106"/>
      <c r="O103" s="106"/>
      <c r="P103" s="106"/>
      <c r="Q103" s="106"/>
      <c r="R103" s="106"/>
      <c r="S103" s="106"/>
      <c r="T103" s="106"/>
      <c r="U103" s="106"/>
      <c r="V103" s="106"/>
      <c r="W103" s="106"/>
      <c r="X103" s="106"/>
      <c r="Y103" s="106"/>
      <c r="AQ103" s="3"/>
    </row>
    <row r="104" spans="5:43" x14ac:dyDescent="0.25">
      <c r="E104" s="86" t="s">
        <v>467</v>
      </c>
      <c r="J104" s="106"/>
      <c r="K104" s="106"/>
      <c r="L104" s="106"/>
      <c r="M104" s="106"/>
      <c r="N104" s="106"/>
      <c r="O104" s="106"/>
      <c r="P104" s="106"/>
      <c r="Q104" s="106"/>
      <c r="R104" s="106"/>
      <c r="S104" s="106"/>
      <c r="T104" s="106"/>
      <c r="U104" s="106"/>
      <c r="V104" s="106"/>
      <c r="W104" s="106"/>
      <c r="X104" s="106"/>
      <c r="Y104" s="106"/>
      <c r="AQ104" s="3"/>
    </row>
    <row r="105" spans="5:43" x14ac:dyDescent="0.25">
      <c r="E105" s="75"/>
      <c r="F105" s="95" t="s">
        <v>189</v>
      </c>
      <c r="G105" s="95" t="s">
        <v>170</v>
      </c>
      <c r="H105" s="95"/>
      <c r="I105" s="95"/>
      <c r="J105" s="222">
        <f t="shared" ref="J105:Y105" si="10">J$57 * J34 * J93 / hours_in_year / $H45</f>
        <v>67.285883684286773</v>
      </c>
      <c r="K105" s="222">
        <f t="shared" si="10"/>
        <v>0.18489611552685156</v>
      </c>
      <c r="L105" s="222">
        <f t="shared" si="10"/>
        <v>29.734445933688846</v>
      </c>
      <c r="M105" s="222">
        <f t="shared" si="10"/>
        <v>3.3422770824670121E-2</v>
      </c>
      <c r="N105" s="222">
        <f t="shared" si="10"/>
        <v>31.598615780603815</v>
      </c>
      <c r="O105" s="222">
        <f t="shared" si="10"/>
        <v>8.605045583895917</v>
      </c>
      <c r="P105" s="222">
        <f t="shared" si="10"/>
        <v>27.170128005240976</v>
      </c>
      <c r="Q105" s="222">
        <f t="shared" si="10"/>
        <v>1.2168602941911622</v>
      </c>
      <c r="R105" s="222">
        <f t="shared" si="10"/>
        <v>-0.94818513935606441</v>
      </c>
      <c r="S105" s="222">
        <f t="shared" si="10"/>
        <v>0</v>
      </c>
      <c r="T105" s="222">
        <f t="shared" si="10"/>
        <v>-0.45876639660304092</v>
      </c>
      <c r="U105" s="222">
        <f t="shared" si="10"/>
        <v>0</v>
      </c>
      <c r="V105" s="222">
        <f t="shared" si="10"/>
        <v>-2.7923652591558969E-2</v>
      </c>
      <c r="W105" s="222">
        <f t="shared" si="10"/>
        <v>0</v>
      </c>
      <c r="X105" s="222">
        <f t="shared" si="10"/>
        <v>-8.8524293408036616</v>
      </c>
      <c r="Y105" s="222">
        <f t="shared" si="10"/>
        <v>0</v>
      </c>
      <c r="AQ105" s="3"/>
    </row>
    <row r="106" spans="5:43" x14ac:dyDescent="0.25">
      <c r="E106" s="75"/>
      <c r="F106" t="s">
        <v>190</v>
      </c>
      <c r="G106" t="s">
        <v>170</v>
      </c>
      <c r="J106" s="106">
        <f t="shared" ref="J106:Y106" si="11">J$57 * J35 * J94 / hours_in_year / $H46</f>
        <v>224.29662957891767</v>
      </c>
      <c r="K106" s="106">
        <f t="shared" si="11"/>
        <v>0.61634882777933742</v>
      </c>
      <c r="L106" s="106">
        <f t="shared" si="11"/>
        <v>99.119393848140064</v>
      </c>
      <c r="M106" s="106">
        <f t="shared" si="11"/>
        <v>0.11141437752883031</v>
      </c>
      <c r="N106" s="106">
        <f t="shared" si="11"/>
        <v>105.3335801043179</v>
      </c>
      <c r="O106" s="106">
        <f t="shared" si="11"/>
        <v>28.684808999417733</v>
      </c>
      <c r="P106" s="106">
        <f t="shared" si="11"/>
        <v>90.571272949284023</v>
      </c>
      <c r="Q106" s="106">
        <f t="shared" si="11"/>
        <v>2.577982320799467</v>
      </c>
      <c r="R106" s="106">
        <f t="shared" si="11"/>
        <v>-3.160762991124205</v>
      </c>
      <c r="S106" s="106">
        <f t="shared" si="11"/>
        <v>0</v>
      </c>
      <c r="T106" s="106">
        <f t="shared" si="11"/>
        <v>-1.529291894343616</v>
      </c>
      <c r="U106" s="106">
        <f t="shared" si="11"/>
        <v>0</v>
      </c>
      <c r="V106" s="106">
        <f t="shared" si="11"/>
        <v>-9.3083137485521689E-2</v>
      </c>
      <c r="W106" s="106">
        <f t="shared" si="11"/>
        <v>0</v>
      </c>
      <c r="X106" s="106">
        <f t="shared" si="11"/>
        <v>-29.509459577647938</v>
      </c>
      <c r="Y106" s="106">
        <f t="shared" si="11"/>
        <v>0</v>
      </c>
      <c r="AQ106" s="3"/>
    </row>
    <row r="107" spans="5:43" x14ac:dyDescent="0.25">
      <c r="E107" s="75"/>
      <c r="F107" t="s">
        <v>191</v>
      </c>
      <c r="G107" t="s">
        <v>170</v>
      </c>
      <c r="J107" s="106">
        <f t="shared" ref="J107:Y107" si="12">J$57 * J36 * J95 / hours_in_year / $H47</f>
        <v>223.62908008612325</v>
      </c>
      <c r="K107" s="106">
        <f t="shared" si="12"/>
        <v>0.61451445626808932</v>
      </c>
      <c r="L107" s="106">
        <f t="shared" si="12"/>
        <v>98.824395652163446</v>
      </c>
      <c r="M107" s="106">
        <f t="shared" si="12"/>
        <v>0.1110827871195183</v>
      </c>
      <c r="N107" s="106">
        <f t="shared" si="12"/>
        <v>105.02008730638836</v>
      </c>
      <c r="O107" s="106">
        <f t="shared" si="12"/>
        <v>28.599437544062322</v>
      </c>
      <c r="P107" s="106">
        <f t="shared" si="12"/>
        <v>90.301715589315904</v>
      </c>
      <c r="Q107" s="106">
        <f t="shared" si="12"/>
        <v>2.5703097543685161</v>
      </c>
      <c r="R107" s="106">
        <f t="shared" si="12"/>
        <v>-3.1513559584125255</v>
      </c>
      <c r="S107" s="106">
        <f t="shared" si="12"/>
        <v>0</v>
      </c>
      <c r="T107" s="106">
        <f t="shared" si="12"/>
        <v>-1.5247404303723551</v>
      </c>
      <c r="U107" s="106">
        <f t="shared" si="12"/>
        <v>0</v>
      </c>
      <c r="V107" s="106">
        <f t="shared" si="12"/>
        <v>-9.2806104338243336E-2</v>
      </c>
      <c r="W107" s="106">
        <f t="shared" si="12"/>
        <v>0</v>
      </c>
      <c r="X107" s="106">
        <f t="shared" si="12"/>
        <v>-29.421633805095411</v>
      </c>
      <c r="Y107" s="106">
        <f t="shared" si="12"/>
        <v>0</v>
      </c>
      <c r="AQ107" s="3"/>
    </row>
    <row r="108" spans="5:43" x14ac:dyDescent="0.25">
      <c r="E108" s="75"/>
      <c r="F108" t="s">
        <v>192</v>
      </c>
      <c r="G108" t="s">
        <v>170</v>
      </c>
      <c r="J108" s="106">
        <f t="shared" ref="J108:Y108" si="13">J$57 * J37 * J96 / hours_in_year / $H48</f>
        <v>268.19350630213768</v>
      </c>
      <c r="K108" s="106">
        <f t="shared" si="13"/>
        <v>0.73697386152292865</v>
      </c>
      <c r="L108" s="106">
        <f t="shared" si="13"/>
        <v>118.51795467716582</v>
      </c>
      <c r="M108" s="106">
        <f t="shared" si="13"/>
        <v>0.13321917773808434</v>
      </c>
      <c r="N108" s="106">
        <f t="shared" si="13"/>
        <v>125.9483133231592</v>
      </c>
      <c r="O108" s="106">
        <f t="shared" si="13"/>
        <v>34.298685261582058</v>
      </c>
      <c r="P108" s="106">
        <f t="shared" si="13"/>
        <v>108.29688929396012</v>
      </c>
      <c r="Q108" s="106">
        <f t="shared" si="13"/>
        <v>3.3505962277162222</v>
      </c>
      <c r="R108" s="106">
        <f t="shared" si="13"/>
        <v>-3.7793528630860465</v>
      </c>
      <c r="S108" s="106">
        <f t="shared" si="13"/>
        <v>0</v>
      </c>
      <c r="T108" s="106">
        <f t="shared" si="13"/>
        <v>-1.8285881338183221</v>
      </c>
      <c r="U108" s="106">
        <f t="shared" si="13"/>
        <v>0</v>
      </c>
      <c r="V108" s="106">
        <f t="shared" si="13"/>
        <v>-0.11130034841233512</v>
      </c>
      <c r="W108" s="106">
        <f t="shared" si="13"/>
        <v>0</v>
      </c>
      <c r="X108" s="106">
        <f t="shared" si="13"/>
        <v>-35.284727407934639</v>
      </c>
      <c r="Y108" s="106">
        <f t="shared" si="13"/>
        <v>0</v>
      </c>
      <c r="AQ108" s="3"/>
    </row>
    <row r="109" spans="5:43" x14ac:dyDescent="0.25">
      <c r="E109" s="75"/>
      <c r="F109" t="s">
        <v>193</v>
      </c>
      <c r="G109" t="s">
        <v>170</v>
      </c>
      <c r="J109" s="106">
        <f t="shared" ref="J109:Y109" si="14">J$57 * J38 * J97 / hours_in_year / $H49</f>
        <v>266.87235602478728</v>
      </c>
      <c r="K109" s="106">
        <f t="shared" si="14"/>
        <v>0.73334344841197829</v>
      </c>
      <c r="L109" s="106">
        <f t="shared" si="14"/>
        <v>117.93412238811575</v>
      </c>
      <c r="M109" s="106">
        <f t="shared" si="14"/>
        <v>0.13256292563100019</v>
      </c>
      <c r="N109" s="106">
        <f t="shared" si="14"/>
        <v>125.32787828215844</v>
      </c>
      <c r="O109" s="106">
        <f t="shared" si="14"/>
        <v>34.129726220884613</v>
      </c>
      <c r="P109" s="106">
        <f t="shared" si="14"/>
        <v>107.76340708068939</v>
      </c>
      <c r="Q109" s="106">
        <f t="shared" si="14"/>
        <v>3.3340908275796894</v>
      </c>
      <c r="R109" s="106">
        <f t="shared" si="14"/>
        <v>-3.7607353612974457</v>
      </c>
      <c r="S109" s="106">
        <f t="shared" si="14"/>
        <v>0</v>
      </c>
      <c r="T109" s="106">
        <f t="shared" si="14"/>
        <v>-1.8195803104990202</v>
      </c>
      <c r="U109" s="106">
        <f t="shared" si="14"/>
        <v>0</v>
      </c>
      <c r="V109" s="106">
        <f t="shared" si="14"/>
        <v>-0.11075207083394924</v>
      </c>
      <c r="W109" s="106">
        <f t="shared" si="14"/>
        <v>0</v>
      </c>
      <c r="X109" s="106">
        <f t="shared" si="14"/>
        <v>-35.11091101676255</v>
      </c>
      <c r="Y109" s="106">
        <f t="shared" si="14"/>
        <v>0</v>
      </c>
      <c r="AQ109" s="3"/>
    </row>
    <row r="110" spans="5:43" x14ac:dyDescent="0.25">
      <c r="E110" s="75"/>
      <c r="F110" t="s">
        <v>194</v>
      </c>
      <c r="G110" t="s">
        <v>170</v>
      </c>
      <c r="J110" s="106">
        <f t="shared" ref="J110:Y110" si="15">J$57 * J39 * J98 / hours_in_year / $H50</f>
        <v>0</v>
      </c>
      <c r="K110" s="106">
        <f t="shared" si="15"/>
        <v>0</v>
      </c>
      <c r="L110" s="106">
        <f t="shared" si="15"/>
        <v>0</v>
      </c>
      <c r="M110" s="106">
        <f t="shared" si="15"/>
        <v>0</v>
      </c>
      <c r="N110" s="106">
        <f t="shared" si="15"/>
        <v>0</v>
      </c>
      <c r="O110" s="106">
        <f t="shared" si="15"/>
        <v>0</v>
      </c>
      <c r="P110" s="106">
        <f t="shared" si="15"/>
        <v>0</v>
      </c>
      <c r="Q110" s="106">
        <f t="shared" si="15"/>
        <v>0</v>
      </c>
      <c r="R110" s="106">
        <f t="shared" si="15"/>
        <v>0</v>
      </c>
      <c r="S110" s="106">
        <f t="shared" si="15"/>
        <v>0</v>
      </c>
      <c r="T110" s="106">
        <f t="shared" si="15"/>
        <v>0</v>
      </c>
      <c r="U110" s="106">
        <f t="shared" si="15"/>
        <v>0</v>
      </c>
      <c r="V110" s="106">
        <f t="shared" si="15"/>
        <v>0</v>
      </c>
      <c r="W110" s="106">
        <f t="shared" si="15"/>
        <v>0</v>
      </c>
      <c r="X110" s="106">
        <f t="shared" si="15"/>
        <v>0</v>
      </c>
      <c r="Y110" s="106">
        <f t="shared" si="15"/>
        <v>0</v>
      </c>
      <c r="AQ110" s="3"/>
    </row>
    <row r="111" spans="5:43" x14ac:dyDescent="0.25">
      <c r="E111" s="75"/>
      <c r="F111" t="s">
        <v>195</v>
      </c>
      <c r="G111" t="s">
        <v>170</v>
      </c>
      <c r="J111" s="106">
        <f t="shared" ref="J111:Y111" si="16">J$57 * J40 * J99 / hours_in_year / $H51</f>
        <v>264.52679820816314</v>
      </c>
      <c r="K111" s="106">
        <f t="shared" si="16"/>
        <v>0.72689804700991978</v>
      </c>
      <c r="L111" s="106">
        <f t="shared" si="16"/>
        <v>116.89759201556394</v>
      </c>
      <c r="M111" s="106">
        <f t="shared" si="16"/>
        <v>0.13139782179244647</v>
      </c>
      <c r="N111" s="106">
        <f t="shared" si="16"/>
        <v>124.22636372694413</v>
      </c>
      <c r="O111" s="106">
        <f t="shared" si="16"/>
        <v>33.829757924021365</v>
      </c>
      <c r="P111" s="106">
        <f t="shared" si="16"/>
        <v>106.81626776064427</v>
      </c>
      <c r="Q111" s="106">
        <f t="shared" si="16"/>
        <v>3.3047872949154145</v>
      </c>
      <c r="R111" s="106">
        <f t="shared" si="16"/>
        <v>-3.7276820231610421</v>
      </c>
      <c r="S111" s="106">
        <f t="shared" si="16"/>
        <v>0</v>
      </c>
      <c r="T111" s="106">
        <f t="shared" si="16"/>
        <v>-1.8035879054262747</v>
      </c>
      <c r="U111" s="106">
        <f t="shared" si="16"/>
        <v>0</v>
      </c>
      <c r="V111" s="106">
        <f t="shared" si="16"/>
        <v>-0.10977866396138522</v>
      </c>
      <c r="W111" s="106">
        <f t="shared" si="16"/>
        <v>0</v>
      </c>
      <c r="X111" s="106">
        <f t="shared" si="16"/>
        <v>0</v>
      </c>
      <c r="Y111" s="106">
        <f t="shared" si="16"/>
        <v>0</v>
      </c>
      <c r="AQ111" s="3"/>
    </row>
    <row r="112" spans="5:43" x14ac:dyDescent="0.25">
      <c r="E112" s="75"/>
      <c r="F112" t="s">
        <v>196</v>
      </c>
      <c r="G112" t="s">
        <v>170</v>
      </c>
      <c r="J112" s="106">
        <f t="shared" ref="J112:Y112" si="17">J$57 * J41 * J100 / hours_in_year / $H52</f>
        <v>260.45715515880681</v>
      </c>
      <c r="K112" s="106">
        <f t="shared" si="17"/>
        <v>0.71571500013284417</v>
      </c>
      <c r="L112" s="106">
        <f t="shared" si="17"/>
        <v>115.0991675230168</v>
      </c>
      <c r="M112" s="106">
        <f t="shared" si="17"/>
        <v>0.12937631684179343</v>
      </c>
      <c r="N112" s="106">
        <f t="shared" si="17"/>
        <v>122.31518890037576</v>
      </c>
      <c r="O112" s="106">
        <f t="shared" si="17"/>
        <v>33.309300109805655</v>
      </c>
      <c r="P112" s="106">
        <f t="shared" si="17"/>
        <v>0</v>
      </c>
      <c r="Q112" s="106">
        <f t="shared" si="17"/>
        <v>3.2539444134551774</v>
      </c>
      <c r="R112" s="106">
        <f t="shared" si="17"/>
        <v>-3.6703330689585645</v>
      </c>
      <c r="S112" s="106">
        <f t="shared" si="17"/>
        <v>0</v>
      </c>
      <c r="T112" s="106">
        <f t="shared" si="17"/>
        <v>-1.7758403991889473</v>
      </c>
      <c r="U112" s="106">
        <f t="shared" si="17"/>
        <v>0</v>
      </c>
      <c r="V112" s="106">
        <f t="shared" si="17"/>
        <v>0</v>
      </c>
      <c r="W112" s="106">
        <f t="shared" si="17"/>
        <v>0</v>
      </c>
      <c r="X112" s="106">
        <f t="shared" si="17"/>
        <v>0</v>
      </c>
      <c r="Y112" s="106">
        <f t="shared" si="17"/>
        <v>0</v>
      </c>
      <c r="AQ112" s="3"/>
    </row>
    <row r="113" spans="5:43" x14ac:dyDescent="0.25">
      <c r="E113" s="75"/>
      <c r="F113" s="96" t="s">
        <v>197</v>
      </c>
      <c r="G113" s="96" t="s">
        <v>170</v>
      </c>
      <c r="H113" s="96"/>
      <c r="I113" s="96"/>
      <c r="J113" s="195">
        <f t="shared" ref="J113:Y113" si="18">J$57 * J42 * J101 / hours_in_year / $H53</f>
        <v>245.80348581230405</v>
      </c>
      <c r="K113" s="195">
        <f t="shared" si="18"/>
        <v>0.67544791301103257</v>
      </c>
      <c r="L113" s="195">
        <f t="shared" si="18"/>
        <v>108.62353377852766</v>
      </c>
      <c r="M113" s="195">
        <f t="shared" si="18"/>
        <v>0.12209743150223699</v>
      </c>
      <c r="N113" s="195">
        <f t="shared" si="18"/>
        <v>115.43357210198801</v>
      </c>
      <c r="O113" s="195">
        <f t="shared" si="18"/>
        <v>0</v>
      </c>
      <c r="P113" s="195">
        <f t="shared" si="18"/>
        <v>0</v>
      </c>
      <c r="Q113" s="195">
        <f t="shared" si="18"/>
        <v>3.070873130665503</v>
      </c>
      <c r="R113" s="195">
        <f t="shared" si="18"/>
        <v>0</v>
      </c>
      <c r="S113" s="195">
        <f t="shared" si="18"/>
        <v>0</v>
      </c>
      <c r="T113" s="195">
        <f t="shared" si="18"/>
        <v>0</v>
      </c>
      <c r="U113" s="195">
        <f t="shared" si="18"/>
        <v>0</v>
      </c>
      <c r="V113" s="195">
        <f t="shared" si="18"/>
        <v>0</v>
      </c>
      <c r="W113" s="195">
        <f t="shared" si="18"/>
        <v>0</v>
      </c>
      <c r="X113" s="195">
        <f t="shared" si="18"/>
        <v>0</v>
      </c>
      <c r="Y113" s="195">
        <f t="shared" si="18"/>
        <v>0</v>
      </c>
      <c r="AQ113" s="3"/>
    </row>
    <row r="114" spans="5:43" x14ac:dyDescent="0.25">
      <c r="E114" s="75"/>
      <c r="J114" s="106"/>
      <c r="K114" s="106"/>
      <c r="L114" s="106"/>
      <c r="M114" s="106"/>
      <c r="N114" s="106"/>
      <c r="O114" s="106"/>
      <c r="P114" s="106"/>
      <c r="Q114" s="106"/>
      <c r="R114" s="106"/>
      <c r="S114" s="106"/>
      <c r="T114" s="106"/>
      <c r="U114" s="106"/>
      <c r="V114" s="106"/>
      <c r="W114" s="106"/>
      <c r="X114" s="106"/>
      <c r="Y114" s="106"/>
      <c r="AQ114" s="3"/>
    </row>
    <row r="115" spans="5:43" x14ac:dyDescent="0.25">
      <c r="E115" s="75" t="s">
        <v>468</v>
      </c>
      <c r="J115" s="106"/>
      <c r="K115" s="106"/>
      <c r="L115" s="106"/>
      <c r="M115" s="106"/>
      <c r="N115" s="106"/>
      <c r="O115" s="106"/>
      <c r="P115" s="106"/>
      <c r="Q115" s="106"/>
      <c r="R115" s="106"/>
      <c r="S115" s="106"/>
      <c r="T115" s="106"/>
      <c r="U115" s="106"/>
      <c r="V115" s="106"/>
      <c r="W115" s="106"/>
      <c r="X115" s="106"/>
      <c r="Y115" s="106"/>
      <c r="AQ115" s="3"/>
    </row>
    <row r="116" spans="5:43" x14ac:dyDescent="0.25">
      <c r="E116" s="75"/>
      <c r="F116" s="95" t="s">
        <v>189</v>
      </c>
      <c r="G116" s="95" t="s">
        <v>281</v>
      </c>
      <c r="H116" s="95"/>
      <c r="I116" s="95"/>
      <c r="J116" s="170">
        <f>'Pseudo-load coefficients'!J294</f>
        <v>7.7888444833267234E-2</v>
      </c>
      <c r="K116" s="170">
        <f>'Pseudo-load coefficients'!K294</f>
        <v>7.7888444833267234E-2</v>
      </c>
      <c r="L116" s="170">
        <f>'Pseudo-load coefficients'!L294</f>
        <v>8.8862127144222064E-2</v>
      </c>
      <c r="M116" s="170">
        <f>'Pseudo-load coefficients'!M294</f>
        <v>8.8862127144222064E-2</v>
      </c>
      <c r="N116" s="170">
        <f>'Pseudo-load coefficients'!N294</f>
        <v>7.1819535079475888E-2</v>
      </c>
      <c r="O116" s="170">
        <f>'Pseudo-load coefficients'!O294</f>
        <v>6.2968738996434348E-2</v>
      </c>
      <c r="P116" s="170">
        <f>'Pseudo-load coefficients'!P294</f>
        <v>5.9832210841900151E-2</v>
      </c>
      <c r="Q116" s="170">
        <f>'Pseudo-load coefficients'!Q294</f>
        <v>6.5272935701885901E-2</v>
      </c>
      <c r="R116" s="170">
        <f>'Pseudo-load coefficients'!R294</f>
        <v>5.3607952359435114E-2</v>
      </c>
      <c r="S116" s="170">
        <f>'Pseudo-load coefficients'!S294</f>
        <v>5.3607952359435114E-2</v>
      </c>
      <c r="T116" s="170">
        <f>'Pseudo-load coefficients'!T294</f>
        <v>5.3607952359435114E-2</v>
      </c>
      <c r="U116" s="170">
        <f>'Pseudo-load coefficients'!U294</f>
        <v>5.3607952359435114E-2</v>
      </c>
      <c r="V116" s="170">
        <f>'Pseudo-load coefficients'!V294</f>
        <v>5.3607952359435114E-2</v>
      </c>
      <c r="W116" s="170">
        <f>'Pseudo-load coefficients'!W294</f>
        <v>5.3607952359435114E-2</v>
      </c>
      <c r="X116" s="170">
        <f>'Pseudo-load coefficients'!X294</f>
        <v>5.3607952359435114E-2</v>
      </c>
      <c r="Y116" s="170">
        <f>'Pseudo-load coefficients'!Y294</f>
        <v>5.3607952359435114E-2</v>
      </c>
      <c r="AQ116" s="3"/>
    </row>
    <row r="117" spans="5:43" x14ac:dyDescent="0.25">
      <c r="E117" s="75"/>
      <c r="F117" t="s">
        <v>190</v>
      </c>
      <c r="G117" t="s">
        <v>281</v>
      </c>
      <c r="J117" s="167">
        <f>'Pseudo-load coefficients'!J295</f>
        <v>0.2051133262009843</v>
      </c>
      <c r="K117" s="167">
        <f>'Pseudo-load coefficients'!K295</f>
        <v>0.2051133262009843</v>
      </c>
      <c r="L117" s="167">
        <f>'Pseudo-load coefficients'!L295</f>
        <v>0.23401168826600116</v>
      </c>
      <c r="M117" s="167">
        <f>'Pseudo-load coefficients'!M295</f>
        <v>0.23401168826600116</v>
      </c>
      <c r="N117" s="167">
        <f>'Pseudo-load coefficients'!N295</f>
        <v>0.18913131155582782</v>
      </c>
      <c r="O117" s="167">
        <f>'Pseudo-load coefficients'!O295</f>
        <v>0.16582340974824283</v>
      </c>
      <c r="P117" s="167">
        <f>'Pseudo-load coefficients'!P295</f>
        <v>0.15756360017216609</v>
      </c>
      <c r="Q117" s="167">
        <f>'Pseudo-load coefficients'!Q295</f>
        <v>0.17189133742979096</v>
      </c>
      <c r="R117" s="167">
        <f>'Pseudo-load coefficients'!R295</f>
        <v>0.14117248640418639</v>
      </c>
      <c r="S117" s="167">
        <f>'Pseudo-load coefficients'!S295</f>
        <v>0.14117248640418639</v>
      </c>
      <c r="T117" s="167">
        <f>'Pseudo-load coefficients'!T295</f>
        <v>0.14117248640418639</v>
      </c>
      <c r="U117" s="167">
        <f>'Pseudo-load coefficients'!U295</f>
        <v>0.14117248640418639</v>
      </c>
      <c r="V117" s="167">
        <f>'Pseudo-load coefficients'!V295</f>
        <v>0.14117248640418639</v>
      </c>
      <c r="W117" s="167">
        <f>'Pseudo-load coefficients'!W295</f>
        <v>0.14117248640418639</v>
      </c>
      <c r="X117" s="167">
        <f>'Pseudo-load coefficients'!X295</f>
        <v>0.14117248640418639</v>
      </c>
      <c r="Y117" s="167">
        <f>'Pseudo-load coefficients'!Y295</f>
        <v>0.14117248640418639</v>
      </c>
      <c r="AQ117" s="3"/>
    </row>
    <row r="118" spans="5:43" x14ac:dyDescent="0.25">
      <c r="E118" s="75"/>
      <c r="F118" t="s">
        <v>191</v>
      </c>
      <c r="G118" t="s">
        <v>281</v>
      </c>
      <c r="J118" s="167">
        <f>'Pseudo-load coefficients'!J296</f>
        <v>0.2051133262009843</v>
      </c>
      <c r="K118" s="167">
        <f>'Pseudo-load coefficients'!K296</f>
        <v>0.2051133262009843</v>
      </c>
      <c r="L118" s="167">
        <f>'Pseudo-load coefficients'!L296</f>
        <v>0.23401168826600116</v>
      </c>
      <c r="M118" s="167">
        <f>'Pseudo-load coefficients'!M296</f>
        <v>0.23401168826600116</v>
      </c>
      <c r="N118" s="167">
        <f>'Pseudo-load coefficients'!N296</f>
        <v>0.18913131155582782</v>
      </c>
      <c r="O118" s="167">
        <f>'Pseudo-load coefficients'!O296</f>
        <v>0.16582340974824283</v>
      </c>
      <c r="P118" s="167">
        <f>'Pseudo-load coefficients'!P296</f>
        <v>0.15756360017216609</v>
      </c>
      <c r="Q118" s="167">
        <f>'Pseudo-load coefficients'!Q296</f>
        <v>0.17189133742979096</v>
      </c>
      <c r="R118" s="167">
        <f>'Pseudo-load coefficients'!R296</f>
        <v>0.14117248640418639</v>
      </c>
      <c r="S118" s="167">
        <f>'Pseudo-load coefficients'!S296</f>
        <v>0.14117248640418639</v>
      </c>
      <c r="T118" s="167">
        <f>'Pseudo-load coefficients'!T296</f>
        <v>0.14117248640418639</v>
      </c>
      <c r="U118" s="167">
        <f>'Pseudo-load coefficients'!U296</f>
        <v>0.14117248640418639</v>
      </c>
      <c r="V118" s="167">
        <f>'Pseudo-load coefficients'!V296</f>
        <v>0.14117248640418639</v>
      </c>
      <c r="W118" s="167">
        <f>'Pseudo-load coefficients'!W296</f>
        <v>0.14117248640418639</v>
      </c>
      <c r="X118" s="167">
        <f>'Pseudo-load coefficients'!X296</f>
        <v>0.14117248640418639</v>
      </c>
      <c r="Y118" s="167">
        <f>'Pseudo-load coefficients'!Y296</f>
        <v>0.14117248640418639</v>
      </c>
      <c r="AQ118" s="3"/>
    </row>
    <row r="119" spans="5:43" x14ac:dyDescent="0.25">
      <c r="E119" s="75"/>
      <c r="F119" t="s">
        <v>192</v>
      </c>
      <c r="G119" t="s">
        <v>281</v>
      </c>
      <c r="J119" s="167">
        <f>'Pseudo-load coefficients'!J297</f>
        <v>0.19403472155835408</v>
      </c>
      <c r="K119" s="167">
        <f>'Pseudo-load coefficients'!K297</f>
        <v>0.19403472155835408</v>
      </c>
      <c r="L119" s="167">
        <f>'Pseudo-load coefficients'!L297</f>
        <v>0.22137222195695636</v>
      </c>
      <c r="M119" s="167">
        <f>'Pseudo-load coefficients'!M297</f>
        <v>0.22137222195695636</v>
      </c>
      <c r="N119" s="167">
        <f>'Pseudo-load coefficients'!N297</f>
        <v>0.17891592933236369</v>
      </c>
      <c r="O119" s="167">
        <f>'Pseudo-load coefficients'!O297</f>
        <v>0.15686693660669013</v>
      </c>
      <c r="P119" s="167">
        <f>'Pseudo-load coefficients'!P297</f>
        <v>0.14905325681852927</v>
      </c>
      <c r="Q119" s="167">
        <f>'Pseudo-load coefficients'!Q297</f>
        <v>0.16260712267812916</v>
      </c>
      <c r="R119" s="167">
        <f>'Pseudo-load coefficients'!R297</f>
        <v>0.13354746177874319</v>
      </c>
      <c r="S119" s="167">
        <f>'Pseudo-load coefficients'!S297</f>
        <v>0.13354746177874319</v>
      </c>
      <c r="T119" s="167">
        <f>'Pseudo-load coefficients'!T297</f>
        <v>0.13354746177874319</v>
      </c>
      <c r="U119" s="167">
        <f>'Pseudo-load coefficients'!U297</f>
        <v>0.13354746177874319</v>
      </c>
      <c r="V119" s="167">
        <f>'Pseudo-load coefficients'!V297</f>
        <v>0.13354746177874319</v>
      </c>
      <c r="W119" s="167">
        <f>'Pseudo-load coefficients'!W297</f>
        <v>0.13354746177874319</v>
      </c>
      <c r="X119" s="167">
        <f>'Pseudo-load coefficients'!X297</f>
        <v>0.13354746177874319</v>
      </c>
      <c r="Y119" s="167">
        <f>'Pseudo-load coefficients'!Y297</f>
        <v>0.13354746177874319</v>
      </c>
      <c r="AQ119" s="3"/>
    </row>
    <row r="120" spans="5:43" x14ac:dyDescent="0.25">
      <c r="E120" s="75"/>
      <c r="F120" t="s">
        <v>193</v>
      </c>
      <c r="G120" t="s">
        <v>281</v>
      </c>
      <c r="J120" s="167">
        <f>'Pseudo-load coefficients'!J298</f>
        <v>0.19403472155835408</v>
      </c>
      <c r="K120" s="167">
        <f>'Pseudo-load coefficients'!K298</f>
        <v>0.19403472155835408</v>
      </c>
      <c r="L120" s="167">
        <f>'Pseudo-load coefficients'!L298</f>
        <v>0.22137222195695636</v>
      </c>
      <c r="M120" s="167">
        <f>'Pseudo-load coefficients'!M298</f>
        <v>0.22137222195695636</v>
      </c>
      <c r="N120" s="167">
        <f>'Pseudo-load coefficients'!N298</f>
        <v>0.17891592933236369</v>
      </c>
      <c r="O120" s="167">
        <f>'Pseudo-load coefficients'!O298</f>
        <v>0.15686693660669013</v>
      </c>
      <c r="P120" s="167">
        <f>'Pseudo-load coefficients'!P298</f>
        <v>0.14905325681852927</v>
      </c>
      <c r="Q120" s="167">
        <f>'Pseudo-load coefficients'!Q298</f>
        <v>0.16260712267812916</v>
      </c>
      <c r="R120" s="167">
        <f>'Pseudo-load coefficients'!R298</f>
        <v>0.13354746177874319</v>
      </c>
      <c r="S120" s="167">
        <f>'Pseudo-load coefficients'!S298</f>
        <v>0.13354746177874319</v>
      </c>
      <c r="T120" s="167">
        <f>'Pseudo-load coefficients'!T298</f>
        <v>0.13354746177874319</v>
      </c>
      <c r="U120" s="167">
        <f>'Pseudo-load coefficients'!U298</f>
        <v>0.13354746177874319</v>
      </c>
      <c r="V120" s="167">
        <f>'Pseudo-load coefficients'!V298</f>
        <v>0.13354746177874319</v>
      </c>
      <c r="W120" s="167">
        <f>'Pseudo-load coefficients'!W298</f>
        <v>0.13354746177874319</v>
      </c>
      <c r="X120" s="167">
        <f>'Pseudo-load coefficients'!X298</f>
        <v>0.13354746177874319</v>
      </c>
      <c r="Y120" s="167">
        <f>'Pseudo-load coefficients'!Y298</f>
        <v>0.13354746177874319</v>
      </c>
      <c r="AQ120" s="3"/>
    </row>
    <row r="121" spans="5:43" x14ac:dyDescent="0.25">
      <c r="E121" s="75"/>
      <c r="F121" t="s">
        <v>194</v>
      </c>
      <c r="G121" t="s">
        <v>281</v>
      </c>
      <c r="J121" s="167">
        <f>'Pseudo-load coefficients'!J299</f>
        <v>0</v>
      </c>
      <c r="K121" s="167">
        <f>'Pseudo-load coefficients'!K299</f>
        <v>0</v>
      </c>
      <c r="L121" s="167">
        <f>'Pseudo-load coefficients'!L299</f>
        <v>0</v>
      </c>
      <c r="M121" s="167">
        <f>'Pseudo-load coefficients'!M299</f>
        <v>0</v>
      </c>
      <c r="N121" s="167">
        <f>'Pseudo-load coefficients'!N299</f>
        <v>0</v>
      </c>
      <c r="O121" s="167">
        <f>'Pseudo-load coefficients'!O299</f>
        <v>0</v>
      </c>
      <c r="P121" s="167">
        <f>'Pseudo-load coefficients'!P299</f>
        <v>0</v>
      </c>
      <c r="Q121" s="167">
        <f>'Pseudo-load coefficients'!Q299</f>
        <v>0</v>
      </c>
      <c r="R121" s="167">
        <f>'Pseudo-load coefficients'!R299</f>
        <v>0</v>
      </c>
      <c r="S121" s="167">
        <f>'Pseudo-load coefficients'!S299</f>
        <v>0</v>
      </c>
      <c r="T121" s="167">
        <f>'Pseudo-load coefficients'!T299</f>
        <v>0</v>
      </c>
      <c r="U121" s="167">
        <f>'Pseudo-load coefficients'!U299</f>
        <v>0</v>
      </c>
      <c r="V121" s="167">
        <f>'Pseudo-load coefficients'!V299</f>
        <v>0</v>
      </c>
      <c r="W121" s="167">
        <f>'Pseudo-load coefficients'!W299</f>
        <v>0</v>
      </c>
      <c r="X121" s="167">
        <f>'Pseudo-load coefficients'!X299</f>
        <v>0</v>
      </c>
      <c r="Y121" s="167">
        <f>'Pseudo-load coefficients'!Y299</f>
        <v>0</v>
      </c>
      <c r="AQ121" s="3"/>
    </row>
    <row r="122" spans="5:43" x14ac:dyDescent="0.25">
      <c r="E122" s="75"/>
      <c r="F122" t="s">
        <v>195</v>
      </c>
      <c r="G122" t="s">
        <v>281</v>
      </c>
      <c r="J122" s="167">
        <f>'Pseudo-load coefficients'!J300</f>
        <v>0.19403472155835408</v>
      </c>
      <c r="K122" s="167">
        <f>'Pseudo-load coefficients'!K300</f>
        <v>0.19403472155835408</v>
      </c>
      <c r="L122" s="167">
        <f>'Pseudo-load coefficients'!L300</f>
        <v>0.22137222195695636</v>
      </c>
      <c r="M122" s="167">
        <f>'Pseudo-load coefficients'!M300</f>
        <v>0.22137222195695636</v>
      </c>
      <c r="N122" s="167">
        <f>'Pseudo-load coefficients'!N300</f>
        <v>0.17891592933236369</v>
      </c>
      <c r="O122" s="167">
        <f>'Pseudo-load coefficients'!O300</f>
        <v>0.15686693660669013</v>
      </c>
      <c r="P122" s="167">
        <f>'Pseudo-load coefficients'!P300</f>
        <v>0.14905325681852927</v>
      </c>
      <c r="Q122" s="167">
        <f>'Pseudo-load coefficients'!Q300</f>
        <v>0.16260712267812916</v>
      </c>
      <c r="R122" s="167">
        <f>'Pseudo-load coefficients'!R300</f>
        <v>0.13354746177874319</v>
      </c>
      <c r="S122" s="167">
        <f>'Pseudo-load coefficients'!S300</f>
        <v>0.13354746177874319</v>
      </c>
      <c r="T122" s="167">
        <f>'Pseudo-load coefficients'!T300</f>
        <v>0.13354746177874319</v>
      </c>
      <c r="U122" s="167">
        <f>'Pseudo-load coefficients'!U300</f>
        <v>0.13354746177874319</v>
      </c>
      <c r="V122" s="167">
        <f>'Pseudo-load coefficients'!V300</f>
        <v>0.13354746177874319</v>
      </c>
      <c r="W122" s="167">
        <f>'Pseudo-load coefficients'!W300</f>
        <v>0.13354746177874319</v>
      </c>
      <c r="X122" s="167">
        <f>'Pseudo-load coefficients'!X300</f>
        <v>0.13354746177874319</v>
      </c>
      <c r="Y122" s="167">
        <f>'Pseudo-load coefficients'!Y300</f>
        <v>0.13354746177874319</v>
      </c>
      <c r="AQ122" s="3"/>
    </row>
    <row r="123" spans="5:43" x14ac:dyDescent="0.25">
      <c r="E123" s="75"/>
      <c r="F123" t="s">
        <v>196</v>
      </c>
      <c r="G123" t="s">
        <v>281</v>
      </c>
      <c r="J123" s="167">
        <f>'Pseudo-load coefficients'!J301</f>
        <v>0.19403472155835408</v>
      </c>
      <c r="K123" s="167">
        <f>'Pseudo-load coefficients'!K301</f>
        <v>0.19403472155835408</v>
      </c>
      <c r="L123" s="167">
        <f>'Pseudo-load coefficients'!L301</f>
        <v>0.22137222195695636</v>
      </c>
      <c r="M123" s="167">
        <f>'Pseudo-load coefficients'!M301</f>
        <v>0.22137222195695636</v>
      </c>
      <c r="N123" s="167">
        <f>'Pseudo-load coefficients'!N301</f>
        <v>0.17891592933236369</v>
      </c>
      <c r="O123" s="167">
        <f>'Pseudo-load coefficients'!O301</f>
        <v>0.15686693660669013</v>
      </c>
      <c r="P123" s="167">
        <f>'Pseudo-load coefficients'!P301</f>
        <v>0.14905325681852927</v>
      </c>
      <c r="Q123" s="167">
        <f>'Pseudo-load coefficients'!Q301</f>
        <v>0.16260712267812916</v>
      </c>
      <c r="R123" s="167">
        <f>'Pseudo-load coefficients'!R301</f>
        <v>0.13354746177874319</v>
      </c>
      <c r="S123" s="167">
        <f>'Pseudo-load coefficients'!S301</f>
        <v>0.13354746177874319</v>
      </c>
      <c r="T123" s="167">
        <f>'Pseudo-load coefficients'!T301</f>
        <v>0.13354746177874319</v>
      </c>
      <c r="U123" s="167">
        <f>'Pseudo-load coefficients'!U301</f>
        <v>0.13354746177874319</v>
      </c>
      <c r="V123" s="167">
        <f>'Pseudo-load coefficients'!V301</f>
        <v>0.13354746177874319</v>
      </c>
      <c r="W123" s="167">
        <f>'Pseudo-load coefficients'!W301</f>
        <v>0.13354746177874319</v>
      </c>
      <c r="X123" s="167">
        <f>'Pseudo-load coefficients'!X301</f>
        <v>0.13354746177874319</v>
      </c>
      <c r="Y123" s="167">
        <f>'Pseudo-load coefficients'!Y301</f>
        <v>0.13354746177874319</v>
      </c>
      <c r="AQ123" s="3"/>
    </row>
    <row r="124" spans="5:43" x14ac:dyDescent="0.25">
      <c r="E124" s="75"/>
      <c r="F124" s="96" t="s">
        <v>197</v>
      </c>
      <c r="G124" s="96" t="s">
        <v>281</v>
      </c>
      <c r="H124" s="96"/>
      <c r="I124" s="96"/>
      <c r="J124" s="171">
        <f>'Pseudo-load coefficients'!J302</f>
        <v>0.19403472155835408</v>
      </c>
      <c r="K124" s="171">
        <f>'Pseudo-load coefficients'!K302</f>
        <v>0.19403472155835408</v>
      </c>
      <c r="L124" s="171">
        <f>'Pseudo-load coefficients'!L302</f>
        <v>0.22137222195695636</v>
      </c>
      <c r="M124" s="171">
        <f>'Pseudo-load coefficients'!M302</f>
        <v>0.22137222195695636</v>
      </c>
      <c r="N124" s="171">
        <f>'Pseudo-load coefficients'!N302</f>
        <v>0.17891592933236369</v>
      </c>
      <c r="O124" s="171">
        <f>'Pseudo-load coefficients'!O302</f>
        <v>0.15686693660669013</v>
      </c>
      <c r="P124" s="171">
        <f>'Pseudo-load coefficients'!P302</f>
        <v>0.14905325681852927</v>
      </c>
      <c r="Q124" s="171">
        <f>'Pseudo-load coefficients'!Q302</f>
        <v>0.16260712267812916</v>
      </c>
      <c r="R124" s="171">
        <f>'Pseudo-load coefficients'!R302</f>
        <v>0.13354746177874319</v>
      </c>
      <c r="S124" s="171">
        <f>'Pseudo-load coefficients'!S302</f>
        <v>0.13354746177874319</v>
      </c>
      <c r="T124" s="171">
        <f>'Pseudo-load coefficients'!T302</f>
        <v>0.13354746177874319</v>
      </c>
      <c r="U124" s="171">
        <f>'Pseudo-load coefficients'!U302</f>
        <v>0.13354746177874319</v>
      </c>
      <c r="V124" s="171">
        <f>'Pseudo-load coefficients'!V302</f>
        <v>0.13354746177874319</v>
      </c>
      <c r="W124" s="171">
        <f>'Pseudo-load coefficients'!W302</f>
        <v>0.13354746177874319</v>
      </c>
      <c r="X124" s="171">
        <f>'Pseudo-load coefficients'!X302</f>
        <v>0.13354746177874319</v>
      </c>
      <c r="Y124" s="171">
        <f>'Pseudo-load coefficients'!Y302</f>
        <v>0.13354746177874319</v>
      </c>
      <c r="AQ124" s="3"/>
    </row>
    <row r="125" spans="5:43" x14ac:dyDescent="0.25">
      <c r="E125" s="75"/>
      <c r="J125" s="106"/>
      <c r="K125" s="106"/>
      <c r="L125" s="106"/>
      <c r="M125" s="106"/>
      <c r="N125" s="106"/>
      <c r="O125" s="106"/>
      <c r="P125" s="106"/>
      <c r="Q125" s="106"/>
      <c r="R125" s="106"/>
      <c r="S125" s="106"/>
      <c r="T125" s="106"/>
      <c r="U125" s="106"/>
      <c r="V125" s="106"/>
      <c r="W125" s="106"/>
      <c r="X125" s="106"/>
      <c r="Y125" s="106"/>
      <c r="AQ125" s="3"/>
    </row>
    <row r="126" spans="5:43" x14ac:dyDescent="0.25">
      <c r="E126" s="75" t="s">
        <v>469</v>
      </c>
      <c r="J126" s="106"/>
      <c r="K126" s="106"/>
      <c r="L126" s="106"/>
      <c r="M126" s="106"/>
      <c r="N126" s="106"/>
      <c r="O126" s="106"/>
      <c r="P126" s="106"/>
      <c r="Q126" s="106"/>
      <c r="R126" s="106"/>
      <c r="S126" s="106"/>
      <c r="T126" s="106"/>
      <c r="U126" s="106"/>
      <c r="V126" s="106"/>
      <c r="W126" s="106"/>
      <c r="X126" s="106"/>
      <c r="Y126" s="106"/>
      <c r="AQ126" s="3"/>
    </row>
    <row r="127" spans="5:43" x14ac:dyDescent="0.25">
      <c r="E127" s="86" t="s">
        <v>470</v>
      </c>
      <c r="J127" s="106"/>
      <c r="K127" s="106"/>
      <c r="L127" s="106"/>
      <c r="M127" s="106"/>
      <c r="N127" s="106"/>
      <c r="O127" s="106"/>
      <c r="P127" s="106"/>
      <c r="Q127" s="106"/>
      <c r="R127" s="106"/>
      <c r="S127" s="106"/>
      <c r="T127" s="106"/>
      <c r="U127" s="106"/>
      <c r="V127" s="106"/>
      <c r="W127" s="106"/>
      <c r="X127" s="106"/>
      <c r="Y127" s="106"/>
      <c r="AQ127" s="3"/>
    </row>
    <row r="128" spans="5:43" x14ac:dyDescent="0.25">
      <c r="E128" s="75"/>
      <c r="F128" s="95" t="s">
        <v>189</v>
      </c>
      <c r="G128" s="95" t="s">
        <v>170</v>
      </c>
      <c r="H128" s="95"/>
      <c r="I128" s="95"/>
      <c r="J128" s="222">
        <f t="shared" ref="J128:Y128" si="19">J$58 * J34 * J116 / hours_in_year / $H45</f>
        <v>21.797824154417963</v>
      </c>
      <c r="K128" s="222">
        <f t="shared" si="19"/>
        <v>0.17326573175987897</v>
      </c>
      <c r="L128" s="222">
        <f t="shared" si="19"/>
        <v>7.0810399682425791</v>
      </c>
      <c r="M128" s="222">
        <f t="shared" si="19"/>
        <v>3.5818076076547682E-2</v>
      </c>
      <c r="N128" s="222">
        <f t="shared" si="19"/>
        <v>7.8885078283521981</v>
      </c>
      <c r="O128" s="222">
        <f t="shared" si="19"/>
        <v>2.5391492671973301</v>
      </c>
      <c r="P128" s="222">
        <f t="shared" si="19"/>
        <v>8.4079312908466886</v>
      </c>
      <c r="Q128" s="222">
        <f t="shared" si="19"/>
        <v>0.61048332772557767</v>
      </c>
      <c r="R128" s="222">
        <f t="shared" si="19"/>
        <v>-0.12159450620040742</v>
      </c>
      <c r="S128" s="222">
        <f t="shared" si="19"/>
        <v>0</v>
      </c>
      <c r="T128" s="222">
        <f t="shared" si="19"/>
        <v>-0.15151368478568064</v>
      </c>
      <c r="U128" s="222">
        <f t="shared" si="19"/>
        <v>0</v>
      </c>
      <c r="V128" s="222">
        <f t="shared" si="19"/>
        <v>-8.0683419282284834E-3</v>
      </c>
      <c r="W128" s="222">
        <f t="shared" si="19"/>
        <v>0</v>
      </c>
      <c r="X128" s="222">
        <f t="shared" si="19"/>
        <v>-2.8696477356911472</v>
      </c>
      <c r="Y128" s="222">
        <f t="shared" si="19"/>
        <v>0</v>
      </c>
      <c r="AQ128" s="3"/>
    </row>
    <row r="129" spans="3:43" x14ac:dyDescent="0.25">
      <c r="E129" s="75"/>
      <c r="F129" t="s">
        <v>190</v>
      </c>
      <c r="G129" t="s">
        <v>170</v>
      </c>
      <c r="J129" s="106">
        <f t="shared" ref="J129:Y129" si="20">J$58 * J35 * J117 / hours_in_year / $H46</f>
        <v>57.117333953794315</v>
      </c>
      <c r="K129" s="106">
        <f t="shared" si="20"/>
        <v>0.45401213412723784</v>
      </c>
      <c r="L129" s="106">
        <f t="shared" si="20"/>
        <v>18.554609934510498</v>
      </c>
      <c r="M129" s="106">
        <f t="shared" si="20"/>
        <v>9.3854918653976618E-2</v>
      </c>
      <c r="N129" s="106">
        <f t="shared" si="20"/>
        <v>20.670436316818897</v>
      </c>
      <c r="O129" s="106">
        <f t="shared" si="20"/>
        <v>6.6533905230925345</v>
      </c>
      <c r="P129" s="106">
        <f t="shared" si="20"/>
        <v>22.031493418691188</v>
      </c>
      <c r="Q129" s="106">
        <f t="shared" si="20"/>
        <v>1.5996633359324637</v>
      </c>
      <c r="R129" s="106">
        <f t="shared" si="20"/>
        <v>-0.31861684764475656</v>
      </c>
      <c r="S129" s="106">
        <f t="shared" si="20"/>
        <v>0</v>
      </c>
      <c r="T129" s="106">
        <f t="shared" si="20"/>
        <v>-0.39701475115898899</v>
      </c>
      <c r="U129" s="106">
        <f t="shared" si="20"/>
        <v>0</v>
      </c>
      <c r="V129" s="106">
        <f t="shared" si="20"/>
        <v>-2.1141659695177603E-2</v>
      </c>
      <c r="W129" s="106">
        <f t="shared" si="20"/>
        <v>0</v>
      </c>
      <c r="X129" s="106">
        <f t="shared" si="20"/>
        <v>-7.5194031701554245</v>
      </c>
      <c r="Y129" s="106">
        <f t="shared" si="20"/>
        <v>0</v>
      </c>
      <c r="AQ129" s="3"/>
    </row>
    <row r="130" spans="3:43" x14ac:dyDescent="0.25">
      <c r="E130" s="75"/>
      <c r="F130" t="s">
        <v>191</v>
      </c>
      <c r="G130" t="s">
        <v>170</v>
      </c>
      <c r="J130" s="106">
        <f t="shared" ref="J130:Y130" si="21">J$58 * J36 * J118 / hours_in_year / $H47</f>
        <v>56.947341888455639</v>
      </c>
      <c r="K130" s="106">
        <f t="shared" si="21"/>
        <v>0.45266090753757338</v>
      </c>
      <c r="L130" s="106">
        <f t="shared" si="21"/>
        <v>18.499387881133977</v>
      </c>
      <c r="M130" s="106">
        <f t="shared" si="21"/>
        <v>9.3575588538935009E-2</v>
      </c>
      <c r="N130" s="106">
        <f t="shared" si="21"/>
        <v>20.608917161114078</v>
      </c>
      <c r="O130" s="106">
        <f t="shared" si="21"/>
        <v>6.6335887655833305</v>
      </c>
      <c r="P130" s="106">
        <f t="shared" si="21"/>
        <v>21.965923497802223</v>
      </c>
      <c r="Q130" s="106">
        <f t="shared" si="21"/>
        <v>1.5949024331469503</v>
      </c>
      <c r="R130" s="106">
        <f t="shared" si="21"/>
        <v>-0.31766858321724234</v>
      </c>
      <c r="S130" s="106">
        <f t="shared" si="21"/>
        <v>0</v>
      </c>
      <c r="T130" s="106">
        <f t="shared" si="21"/>
        <v>-0.39583315963768245</v>
      </c>
      <c r="U130" s="106">
        <f t="shared" si="21"/>
        <v>0</v>
      </c>
      <c r="V130" s="106">
        <f t="shared" si="21"/>
        <v>-2.1078738088941954E-2</v>
      </c>
      <c r="W130" s="106">
        <f t="shared" si="21"/>
        <v>0</v>
      </c>
      <c r="X130" s="106">
        <f t="shared" si="21"/>
        <v>-7.4970239940537704</v>
      </c>
      <c r="Y130" s="106">
        <f t="shared" si="21"/>
        <v>0</v>
      </c>
      <c r="AQ130" s="3"/>
    </row>
    <row r="131" spans="3:43" x14ac:dyDescent="0.25">
      <c r="E131" s="75"/>
      <c r="F131" t="s">
        <v>192</v>
      </c>
      <c r="G131" t="s">
        <v>170</v>
      </c>
      <c r="J131" s="106">
        <f t="shared" ref="J131:Y131" si="22">J$58 * J37 * J119 / hours_in_year / $H48</f>
        <v>53.764819258580481</v>
      </c>
      <c r="K131" s="106">
        <f t="shared" si="22"/>
        <v>0.42736379033902344</v>
      </c>
      <c r="L131" s="106">
        <f t="shared" si="22"/>
        <v>17.465542953202721</v>
      </c>
      <c r="M131" s="106">
        <f t="shared" si="22"/>
        <v>8.8346083205527726E-2</v>
      </c>
      <c r="N131" s="106">
        <f t="shared" si="22"/>
        <v>19.457180432630107</v>
      </c>
      <c r="O131" s="106">
        <f t="shared" si="22"/>
        <v>6.2628682777841567</v>
      </c>
      <c r="P131" s="106">
        <f t="shared" si="22"/>
        <v>20.738349983400255</v>
      </c>
      <c r="Q131" s="106">
        <f t="shared" si="22"/>
        <v>1.5057707385390571</v>
      </c>
      <c r="R131" s="106">
        <f t="shared" si="22"/>
        <v>-0.29991556048846424</v>
      </c>
      <c r="S131" s="106">
        <f t="shared" si="22"/>
        <v>0</v>
      </c>
      <c r="T131" s="106">
        <f t="shared" si="22"/>
        <v>-0.37371188151605533</v>
      </c>
      <c r="U131" s="106">
        <f t="shared" si="22"/>
        <v>0</v>
      </c>
      <c r="V131" s="106">
        <f t="shared" si="22"/>
        <v>-1.9900745249369783E-2</v>
      </c>
      <c r="W131" s="106">
        <f t="shared" si="22"/>
        <v>0</v>
      </c>
      <c r="X131" s="106">
        <f t="shared" si="22"/>
        <v>-7.0780501187756704</v>
      </c>
      <c r="Y131" s="106">
        <f t="shared" si="22"/>
        <v>0</v>
      </c>
      <c r="AQ131" s="3"/>
    </row>
    <row r="132" spans="3:43" x14ac:dyDescent="0.25">
      <c r="E132" s="75"/>
      <c r="F132" t="s">
        <v>193</v>
      </c>
      <c r="G132" t="s">
        <v>170</v>
      </c>
      <c r="J132" s="106">
        <f t="shared" ref="J132:Y132" si="23">J$58 * J38 * J120 / hours_in_year / $H49</f>
        <v>53.499967932183537</v>
      </c>
      <c r="K132" s="106">
        <f t="shared" si="23"/>
        <v>0.42525854999252583</v>
      </c>
      <c r="L132" s="106">
        <f t="shared" si="23"/>
        <v>17.379505795797783</v>
      </c>
      <c r="M132" s="106">
        <f t="shared" si="23"/>
        <v>8.7910880825204929E-2</v>
      </c>
      <c r="N132" s="106">
        <f t="shared" si="23"/>
        <v>19.361332253159024</v>
      </c>
      <c r="O132" s="106">
        <f t="shared" si="23"/>
        <v>6.2320167099132995</v>
      </c>
      <c r="P132" s="106">
        <f t="shared" si="23"/>
        <v>20.636190623876118</v>
      </c>
      <c r="Q132" s="106">
        <f t="shared" si="23"/>
        <v>1.4983531486940374</v>
      </c>
      <c r="R132" s="106">
        <f t="shared" si="23"/>
        <v>-0.29843814393433388</v>
      </c>
      <c r="S132" s="106">
        <f t="shared" si="23"/>
        <v>0</v>
      </c>
      <c r="T132" s="106">
        <f t="shared" si="23"/>
        <v>-0.3718709362869122</v>
      </c>
      <c r="U132" s="106">
        <f t="shared" si="23"/>
        <v>0</v>
      </c>
      <c r="V132" s="106">
        <f t="shared" si="23"/>
        <v>-1.9802712021540374E-2</v>
      </c>
      <c r="W132" s="106">
        <f t="shared" si="23"/>
        <v>0</v>
      </c>
      <c r="X132" s="106">
        <f t="shared" si="23"/>
        <v>-7.043182876811259</v>
      </c>
      <c r="Y132" s="106">
        <f t="shared" si="23"/>
        <v>0</v>
      </c>
      <c r="AQ132" s="3"/>
    </row>
    <row r="133" spans="3:43" x14ac:dyDescent="0.25">
      <c r="E133" s="75"/>
      <c r="F133" t="s">
        <v>194</v>
      </c>
      <c r="G133" t="s">
        <v>170</v>
      </c>
      <c r="J133" s="106">
        <f t="shared" ref="J133:Y133" si="24">J$58 * J39 * J121 / hours_in_year / $H50</f>
        <v>0</v>
      </c>
      <c r="K133" s="106">
        <f t="shared" si="24"/>
        <v>0</v>
      </c>
      <c r="L133" s="106">
        <f t="shared" si="24"/>
        <v>0</v>
      </c>
      <c r="M133" s="106">
        <f t="shared" si="24"/>
        <v>0</v>
      </c>
      <c r="N133" s="106">
        <f t="shared" si="24"/>
        <v>0</v>
      </c>
      <c r="O133" s="106">
        <f t="shared" si="24"/>
        <v>0</v>
      </c>
      <c r="P133" s="106">
        <f t="shared" si="24"/>
        <v>0</v>
      </c>
      <c r="Q133" s="106">
        <f t="shared" si="24"/>
        <v>0</v>
      </c>
      <c r="R133" s="106">
        <f t="shared" si="24"/>
        <v>0</v>
      </c>
      <c r="S133" s="106">
        <f t="shared" si="24"/>
        <v>0</v>
      </c>
      <c r="T133" s="106">
        <f t="shared" si="24"/>
        <v>0</v>
      </c>
      <c r="U133" s="106">
        <f t="shared" si="24"/>
        <v>0</v>
      </c>
      <c r="V133" s="106">
        <f t="shared" si="24"/>
        <v>0</v>
      </c>
      <c r="W133" s="106">
        <f t="shared" si="24"/>
        <v>0</v>
      </c>
      <c r="X133" s="106">
        <f t="shared" si="24"/>
        <v>0</v>
      </c>
      <c r="Y133" s="106">
        <f t="shared" si="24"/>
        <v>0</v>
      </c>
      <c r="AQ133" s="3"/>
    </row>
    <row r="134" spans="3:43" x14ac:dyDescent="0.25">
      <c r="E134" s="75"/>
      <c r="F134" t="s">
        <v>195</v>
      </c>
      <c r="G134" t="s">
        <v>170</v>
      </c>
      <c r="J134" s="106">
        <f t="shared" ref="J134:Y134" si="25">J$58 * J40 * J122 / hours_in_year / $H51</f>
        <v>53.029753370279579</v>
      </c>
      <c r="K134" s="106">
        <f t="shared" si="25"/>
        <v>0.42152092601798213</v>
      </c>
      <c r="L134" s="106">
        <f t="shared" si="25"/>
        <v>17.226756233139401</v>
      </c>
      <c r="M134" s="106">
        <f t="shared" si="25"/>
        <v>8.7138226599202145E-2</v>
      </c>
      <c r="N134" s="106">
        <f t="shared" si="25"/>
        <v>19.191164293902741</v>
      </c>
      <c r="O134" s="106">
        <f t="shared" si="25"/>
        <v>6.1772431255488263</v>
      </c>
      <c r="P134" s="106">
        <f t="shared" si="25"/>
        <v>20.454817854720954</v>
      </c>
      <c r="Q134" s="106">
        <f t="shared" si="25"/>
        <v>1.4851840292230933</v>
      </c>
      <c r="R134" s="106">
        <f t="shared" si="25"/>
        <v>-0.29581515243491097</v>
      </c>
      <c r="S134" s="106">
        <f t="shared" si="25"/>
        <v>0</v>
      </c>
      <c r="T134" s="106">
        <f t="shared" si="25"/>
        <v>-0.368602539385953</v>
      </c>
      <c r="U134" s="106">
        <f t="shared" si="25"/>
        <v>0</v>
      </c>
      <c r="V134" s="106">
        <f t="shared" si="25"/>
        <v>-1.9628664747913555E-2</v>
      </c>
      <c r="W134" s="106">
        <f t="shared" si="25"/>
        <v>0</v>
      </c>
      <c r="X134" s="106">
        <f t="shared" si="25"/>
        <v>0</v>
      </c>
      <c r="Y134" s="106">
        <f t="shared" si="25"/>
        <v>0</v>
      </c>
      <c r="AQ134" s="3"/>
    </row>
    <row r="135" spans="3:43" x14ac:dyDescent="0.25">
      <c r="E135" s="75"/>
      <c r="F135" t="s">
        <v>196</v>
      </c>
      <c r="G135" t="s">
        <v>170</v>
      </c>
      <c r="J135" s="106">
        <f t="shared" ref="J135:Y135" si="26">J$58 * J41 * J123 / hours_in_year / $H52</f>
        <v>52.213911010736815</v>
      </c>
      <c r="K135" s="106">
        <f t="shared" si="26"/>
        <v>0.41503598869462854</v>
      </c>
      <c r="L135" s="106">
        <f t="shared" si="26"/>
        <v>16.961729214168027</v>
      </c>
      <c r="M135" s="106">
        <f t="shared" si="26"/>
        <v>8.5797638497675965E-2</v>
      </c>
      <c r="N135" s="106">
        <f t="shared" si="26"/>
        <v>18.895915612458083</v>
      </c>
      <c r="O135" s="106">
        <f t="shared" si="26"/>
        <v>6.0822086159249977</v>
      </c>
      <c r="P135" s="106">
        <f t="shared" si="26"/>
        <v>0</v>
      </c>
      <c r="Q135" s="106">
        <f t="shared" si="26"/>
        <v>1.4623350441581227</v>
      </c>
      <c r="R135" s="106">
        <f t="shared" si="26"/>
        <v>-0.29126415008975853</v>
      </c>
      <c r="S135" s="106">
        <f t="shared" si="26"/>
        <v>0</v>
      </c>
      <c r="T135" s="106">
        <f t="shared" si="26"/>
        <v>-0.36293173108770754</v>
      </c>
      <c r="U135" s="106">
        <f t="shared" si="26"/>
        <v>0</v>
      </c>
      <c r="V135" s="106">
        <f t="shared" si="26"/>
        <v>0</v>
      </c>
      <c r="W135" s="106">
        <f t="shared" si="26"/>
        <v>0</v>
      </c>
      <c r="X135" s="106">
        <f t="shared" si="26"/>
        <v>0</v>
      </c>
      <c r="Y135" s="106">
        <f t="shared" si="26"/>
        <v>0</v>
      </c>
      <c r="AQ135" s="3"/>
    </row>
    <row r="136" spans="3:43" x14ac:dyDescent="0.25">
      <c r="E136" s="75"/>
      <c r="F136" s="96" t="s">
        <v>197</v>
      </c>
      <c r="G136" s="96" t="s">
        <v>170</v>
      </c>
      <c r="H136" s="96"/>
      <c r="I136" s="96"/>
      <c r="J136" s="195">
        <f t="shared" ref="J136:Y136" si="27">J$58 * J42 * J124 / hours_in_year / $H53</f>
        <v>49.276286253326937</v>
      </c>
      <c r="K136" s="195">
        <f t="shared" si="27"/>
        <v>0.39168550657206319</v>
      </c>
      <c r="L136" s="195">
        <f t="shared" si="27"/>
        <v>16.007439548761113</v>
      </c>
      <c r="M136" s="195">
        <f t="shared" si="27"/>
        <v>8.0970548128478217E-2</v>
      </c>
      <c r="N136" s="195">
        <f t="shared" si="27"/>
        <v>17.832806022646466</v>
      </c>
      <c r="O136" s="195">
        <f t="shared" si="27"/>
        <v>0</v>
      </c>
      <c r="P136" s="195">
        <f t="shared" si="27"/>
        <v>0</v>
      </c>
      <c r="Q136" s="195">
        <f t="shared" si="27"/>
        <v>1.3800621106392446</v>
      </c>
      <c r="R136" s="195">
        <f t="shared" si="27"/>
        <v>0</v>
      </c>
      <c r="S136" s="195">
        <f t="shared" si="27"/>
        <v>0</v>
      </c>
      <c r="T136" s="195">
        <f t="shared" si="27"/>
        <v>0</v>
      </c>
      <c r="U136" s="195">
        <f t="shared" si="27"/>
        <v>0</v>
      </c>
      <c r="V136" s="195">
        <f t="shared" si="27"/>
        <v>0</v>
      </c>
      <c r="W136" s="195">
        <f t="shared" si="27"/>
        <v>0</v>
      </c>
      <c r="X136" s="195">
        <f t="shared" si="27"/>
        <v>0</v>
      </c>
      <c r="Y136" s="195">
        <f t="shared" si="27"/>
        <v>0</v>
      </c>
      <c r="AQ136" s="3"/>
    </row>
    <row r="137" spans="3:43" x14ac:dyDescent="0.25">
      <c r="D137" s="75"/>
      <c r="J137" s="106"/>
      <c r="K137" s="106"/>
      <c r="L137" s="106"/>
      <c r="M137" s="106"/>
      <c r="N137" s="106"/>
      <c r="O137" s="106"/>
      <c r="P137" s="106"/>
      <c r="Q137" s="106"/>
      <c r="R137" s="106"/>
      <c r="S137" s="106"/>
      <c r="T137" s="106"/>
      <c r="U137" s="106"/>
      <c r="V137" s="106"/>
      <c r="W137" s="106"/>
      <c r="X137" s="106"/>
      <c r="Y137" s="106"/>
      <c r="AQ137" s="3"/>
    </row>
    <row r="138" spans="3:43" x14ac:dyDescent="0.2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25">
      <c r="H139" s="97"/>
      <c r="J139" s="106"/>
      <c r="K139" s="106"/>
      <c r="L139" s="106"/>
      <c r="M139" s="106"/>
      <c r="N139" s="106"/>
      <c r="O139" s="106"/>
      <c r="P139" s="106"/>
      <c r="Q139" s="106"/>
      <c r="R139" s="106"/>
      <c r="S139" s="106"/>
      <c r="T139" s="106"/>
      <c r="U139" s="106"/>
      <c r="V139" s="106"/>
      <c r="W139" s="106"/>
      <c r="X139" s="106"/>
      <c r="Y139" s="106"/>
    </row>
    <row r="140" spans="3:43" x14ac:dyDescent="0.25">
      <c r="E140" s="75" t="s">
        <v>471</v>
      </c>
      <c r="J140" s="106"/>
      <c r="K140" s="106"/>
      <c r="L140" s="106"/>
      <c r="M140" s="106"/>
      <c r="N140" s="106"/>
      <c r="O140" s="106"/>
      <c r="P140" s="106"/>
      <c r="Q140" s="106"/>
      <c r="R140" s="106"/>
      <c r="S140" s="106"/>
      <c r="T140" s="106"/>
      <c r="U140" s="106"/>
      <c r="V140" s="106"/>
      <c r="W140" s="106"/>
      <c r="X140" s="106"/>
      <c r="Y140" s="106"/>
      <c r="AQ140" s="3"/>
    </row>
    <row r="141" spans="3:43" x14ac:dyDescent="0.25">
      <c r="E141" s="86" t="s">
        <v>472</v>
      </c>
      <c r="J141" s="106"/>
      <c r="K141" s="106"/>
      <c r="L141" s="106"/>
      <c r="M141" s="106"/>
      <c r="N141" s="106"/>
      <c r="O141" s="106"/>
      <c r="P141" s="106"/>
      <c r="Q141" s="106"/>
      <c r="R141" s="106"/>
      <c r="S141" s="106"/>
      <c r="T141" s="106"/>
      <c r="U141" s="106"/>
      <c r="V141" s="106"/>
      <c r="W141" s="106"/>
      <c r="X141" s="106"/>
      <c r="Y141" s="106"/>
      <c r="AQ141" s="3"/>
    </row>
    <row r="142" spans="3:43" x14ac:dyDescent="0.25">
      <c r="C142" s="75"/>
      <c r="F142" s="95" t="s">
        <v>189</v>
      </c>
      <c r="G142" s="95" t="s">
        <v>170</v>
      </c>
      <c r="H142" s="95"/>
      <c r="I142" s="95"/>
      <c r="J142" s="222">
        <f t="shared" ref="J142:Y142" si="28">J82 + J105 + J128</f>
        <v>1029.4676477044752</v>
      </c>
      <c r="K142" s="222">
        <f t="shared" si="28"/>
        <v>1.475150673439297</v>
      </c>
      <c r="L142" s="222">
        <f t="shared" si="28"/>
        <v>320.32460320029622</v>
      </c>
      <c r="M142" s="222">
        <f t="shared" si="28"/>
        <v>0.42215552100263243</v>
      </c>
      <c r="N142" s="222">
        <f t="shared" si="28"/>
        <v>353.42538958025506</v>
      </c>
      <c r="O142" s="222">
        <f t="shared" si="28"/>
        <v>101.42555404352905</v>
      </c>
      <c r="P142" s="222">
        <f t="shared" si="28"/>
        <v>325.85676040973658</v>
      </c>
      <c r="Q142" s="222">
        <f t="shared" si="28"/>
        <v>24.56660256206402</v>
      </c>
      <c r="R142" s="222">
        <f t="shared" si="28"/>
        <v>-8.5839214331727476</v>
      </c>
      <c r="S142" s="222">
        <f t="shared" si="28"/>
        <v>0</v>
      </c>
      <c r="T142" s="222">
        <f t="shared" si="28"/>
        <v>-5.2440981156424815</v>
      </c>
      <c r="U142" s="222">
        <f t="shared" si="28"/>
        <v>0</v>
      </c>
      <c r="V142" s="222">
        <f t="shared" si="28"/>
        <v>-0.27496589799412696</v>
      </c>
      <c r="W142" s="222">
        <f t="shared" si="28"/>
        <v>0</v>
      </c>
      <c r="X142" s="222">
        <f t="shared" si="28"/>
        <v>-124.04184823960645</v>
      </c>
      <c r="Y142" s="222">
        <f t="shared" si="28"/>
        <v>0</v>
      </c>
      <c r="AQ142" s="3"/>
    </row>
    <row r="143" spans="3:43" x14ac:dyDescent="0.25">
      <c r="C143" s="75"/>
      <c r="F143" t="s">
        <v>190</v>
      </c>
      <c r="G143" t="s">
        <v>170</v>
      </c>
      <c r="J143" s="106">
        <f t="shared" ref="J143:Y143" si="29">J83 + J106 + J129</f>
        <v>972.21735581317591</v>
      </c>
      <c r="K143" s="106">
        <f t="shared" si="29"/>
        <v>1.890897805991457</v>
      </c>
      <c r="L143" s="106">
        <f t="shared" si="29"/>
        <v>325.93900243852482</v>
      </c>
      <c r="M143" s="106">
        <f t="shared" si="29"/>
        <v>0.46451942128555024</v>
      </c>
      <c r="N143" s="106">
        <f t="shared" si="29"/>
        <v>356.62218194465237</v>
      </c>
      <c r="O143" s="106">
        <f t="shared" si="29"/>
        <v>101.65863157787679</v>
      </c>
      <c r="P143" s="106">
        <f t="shared" si="29"/>
        <v>325.84068221828034</v>
      </c>
      <c r="Q143" s="106">
        <f t="shared" si="29"/>
        <v>21.719337234548583</v>
      </c>
      <c r="R143" s="106">
        <f t="shared" si="29"/>
        <v>-8.999247221555871</v>
      </c>
      <c r="S143" s="106">
        <f t="shared" si="29"/>
        <v>0</v>
      </c>
      <c r="T143" s="106">
        <f t="shared" si="29"/>
        <v>-5.3302963156471259</v>
      </c>
      <c r="U143" s="106">
        <f t="shared" si="29"/>
        <v>0</v>
      </c>
      <c r="V143" s="106">
        <f t="shared" si="29"/>
        <v>-0.2897743532589771</v>
      </c>
      <c r="W143" s="106">
        <f t="shared" si="29"/>
        <v>0</v>
      </c>
      <c r="X143" s="106">
        <f t="shared" si="29"/>
        <v>-119.53865013391952</v>
      </c>
      <c r="Y143" s="106">
        <f t="shared" si="29"/>
        <v>0</v>
      </c>
      <c r="AQ143" s="3"/>
    </row>
    <row r="144" spans="3:43" x14ac:dyDescent="0.25">
      <c r="C144" s="75"/>
      <c r="F144" t="s">
        <v>191</v>
      </c>
      <c r="G144" t="s">
        <v>170</v>
      </c>
      <c r="J144" s="106">
        <f t="shared" ref="J144:Y144" si="30">J84 + J107 + J130</f>
        <v>969.32385177801757</v>
      </c>
      <c r="K144" s="106">
        <f t="shared" si="30"/>
        <v>1.8852701339498155</v>
      </c>
      <c r="L144" s="106">
        <f t="shared" si="30"/>
        <v>324.9689458836483</v>
      </c>
      <c r="M144" s="106">
        <f t="shared" si="30"/>
        <v>0.46313692300791459</v>
      </c>
      <c r="N144" s="106">
        <f t="shared" si="30"/>
        <v>355.56080640315031</v>
      </c>
      <c r="O144" s="106">
        <f t="shared" si="30"/>
        <v>101.35607612675216</v>
      </c>
      <c r="P144" s="106">
        <f t="shared" si="30"/>
        <v>324.87091828310685</v>
      </c>
      <c r="Q144" s="106">
        <f t="shared" si="30"/>
        <v>21.654696349921949</v>
      </c>
      <c r="R144" s="106">
        <f t="shared" si="30"/>
        <v>-8.9724637476821911</v>
      </c>
      <c r="S144" s="106">
        <f t="shared" si="30"/>
        <v>0</v>
      </c>
      <c r="T144" s="106">
        <f t="shared" si="30"/>
        <v>-5.3144323385172232</v>
      </c>
      <c r="U144" s="106">
        <f t="shared" si="30"/>
        <v>0</v>
      </c>
      <c r="V144" s="106">
        <f t="shared" si="30"/>
        <v>-0.28891192958856343</v>
      </c>
      <c r="W144" s="106">
        <f t="shared" si="30"/>
        <v>0</v>
      </c>
      <c r="X144" s="106">
        <f t="shared" si="30"/>
        <v>-119.18288034185427</v>
      </c>
      <c r="Y144" s="106">
        <f t="shared" si="30"/>
        <v>0</v>
      </c>
      <c r="AQ144" s="3"/>
    </row>
    <row r="145" spans="3:43" x14ac:dyDescent="0.25">
      <c r="C145" s="75"/>
      <c r="F145" t="s">
        <v>192</v>
      </c>
      <c r="G145" t="s">
        <v>170</v>
      </c>
      <c r="J145" s="106">
        <f t="shared" ref="J145:Y145" si="31">J85 + J108 + J131</f>
        <v>959.26119343784148</v>
      </c>
      <c r="K145" s="106">
        <f t="shared" si="31"/>
        <v>1.9213265285492154</v>
      </c>
      <c r="L145" s="106">
        <f t="shared" si="31"/>
        <v>328.11903489757236</v>
      </c>
      <c r="M145" s="106">
        <f t="shared" si="31"/>
        <v>0.46073728886324655</v>
      </c>
      <c r="N145" s="106">
        <f t="shared" si="31"/>
        <v>358.16301625073783</v>
      </c>
      <c r="O145" s="106">
        <f t="shared" si="31"/>
        <v>101.74567918212948</v>
      </c>
      <c r="P145" s="106">
        <f t="shared" si="31"/>
        <v>325.75855712749387</v>
      </c>
      <c r="Q145" s="106">
        <f t="shared" si="31"/>
        <v>20.293247909084666</v>
      </c>
      <c r="R145" s="106">
        <f t="shared" si="31"/>
        <v>-9.1716396433198568</v>
      </c>
      <c r="S145" s="106">
        <f t="shared" si="31"/>
        <v>0</v>
      </c>
      <c r="T145" s="106">
        <f t="shared" si="31"/>
        <v>-5.3426615179693382</v>
      </c>
      <c r="U145" s="106">
        <f t="shared" si="31"/>
        <v>0</v>
      </c>
      <c r="V145" s="106">
        <f t="shared" si="31"/>
        <v>-0.29315489526929772</v>
      </c>
      <c r="W145" s="106">
        <f t="shared" si="31"/>
        <v>0</v>
      </c>
      <c r="X145" s="106">
        <f t="shared" si="31"/>
        <v>-118.48244444889401</v>
      </c>
      <c r="Y145" s="106">
        <f t="shared" si="31"/>
        <v>0</v>
      </c>
      <c r="AQ145" s="3"/>
    </row>
    <row r="146" spans="3:43" x14ac:dyDescent="0.25">
      <c r="C146" s="75"/>
      <c r="F146" t="s">
        <v>193</v>
      </c>
      <c r="G146" t="s">
        <v>170</v>
      </c>
      <c r="J146" s="106">
        <f t="shared" ref="J146:Y146" si="32">J86 + J109 + J132</f>
        <v>954.53576883962558</v>
      </c>
      <c r="K146" s="106">
        <f t="shared" si="32"/>
        <v>1.9118618658470026</v>
      </c>
      <c r="L146" s="106">
        <f t="shared" si="32"/>
        <v>326.50268497196862</v>
      </c>
      <c r="M146" s="106">
        <f t="shared" si="32"/>
        <v>0.45846764704618626</v>
      </c>
      <c r="N146" s="106">
        <f t="shared" si="32"/>
        <v>356.39866641699047</v>
      </c>
      <c r="O146" s="106">
        <f t="shared" si="32"/>
        <v>101.24446893985299</v>
      </c>
      <c r="P146" s="106">
        <f t="shared" si="32"/>
        <v>324.15383517120085</v>
      </c>
      <c r="Q146" s="106">
        <f t="shared" si="32"/>
        <v>20.19328117061627</v>
      </c>
      <c r="R146" s="106">
        <f t="shared" si="32"/>
        <v>-9.1264591524660652</v>
      </c>
      <c r="S146" s="106">
        <f t="shared" si="32"/>
        <v>0</v>
      </c>
      <c r="T146" s="106">
        <f t="shared" si="32"/>
        <v>-5.3163429883241706</v>
      </c>
      <c r="U146" s="106">
        <f t="shared" si="32"/>
        <v>0</v>
      </c>
      <c r="V146" s="106">
        <f t="shared" si="32"/>
        <v>-0.29171078248471988</v>
      </c>
      <c r="W146" s="106">
        <f t="shared" si="32"/>
        <v>0</v>
      </c>
      <c r="X146" s="106">
        <f t="shared" si="32"/>
        <v>-117.89878708707683</v>
      </c>
      <c r="Y146" s="106">
        <f t="shared" si="32"/>
        <v>0</v>
      </c>
      <c r="AQ146" s="3"/>
    </row>
    <row r="147" spans="3:43" x14ac:dyDescent="0.25">
      <c r="C147" s="75"/>
      <c r="F147" t="s">
        <v>194</v>
      </c>
      <c r="G147" t="s">
        <v>170</v>
      </c>
      <c r="H147" s="97"/>
      <c r="J147" s="106">
        <f t="shared" ref="J147:Y147" si="33">J87 + J110 + J133</f>
        <v>0</v>
      </c>
      <c r="K147" s="106">
        <f t="shared" si="33"/>
        <v>0</v>
      </c>
      <c r="L147" s="106">
        <f t="shared" si="33"/>
        <v>0</v>
      </c>
      <c r="M147" s="106">
        <f t="shared" si="33"/>
        <v>0</v>
      </c>
      <c r="N147" s="106">
        <f t="shared" si="33"/>
        <v>0</v>
      </c>
      <c r="O147" s="106">
        <f t="shared" si="33"/>
        <v>0</v>
      </c>
      <c r="P147" s="106">
        <f t="shared" si="33"/>
        <v>0</v>
      </c>
      <c r="Q147" s="106">
        <f t="shared" si="33"/>
        <v>0</v>
      </c>
      <c r="R147" s="106">
        <f t="shared" si="33"/>
        <v>0</v>
      </c>
      <c r="S147" s="106">
        <f t="shared" si="33"/>
        <v>0</v>
      </c>
      <c r="T147" s="106">
        <f t="shared" si="33"/>
        <v>0</v>
      </c>
      <c r="U147" s="106">
        <f t="shared" si="33"/>
        <v>0</v>
      </c>
      <c r="V147" s="106">
        <f t="shared" si="33"/>
        <v>0</v>
      </c>
      <c r="W147" s="106">
        <f t="shared" si="33"/>
        <v>0</v>
      </c>
      <c r="X147" s="106">
        <f t="shared" si="33"/>
        <v>0</v>
      </c>
      <c r="Y147" s="106">
        <f t="shared" si="33"/>
        <v>0</v>
      </c>
      <c r="AQ147" s="3"/>
    </row>
    <row r="148" spans="3:43" x14ac:dyDescent="0.25">
      <c r="C148" s="75"/>
      <c r="F148" t="s">
        <v>195</v>
      </c>
      <c r="G148" t="s">
        <v>170</v>
      </c>
      <c r="J148" s="106">
        <f t="shared" ref="J148:Y148" si="34">J88 + J111 + J134</f>
        <v>946.14629430880848</v>
      </c>
      <c r="K148" s="106">
        <f t="shared" si="34"/>
        <v>1.8950583924167066</v>
      </c>
      <c r="L148" s="106">
        <f t="shared" si="34"/>
        <v>323.6330324673321</v>
      </c>
      <c r="M148" s="106">
        <f t="shared" si="34"/>
        <v>0.45443814624206935</v>
      </c>
      <c r="N148" s="106">
        <f>N88 + N111 + N134</f>
        <v>353.26625626293475</v>
      </c>
      <c r="O148" s="106">
        <f t="shared" si="34"/>
        <v>100.3546249745613</v>
      </c>
      <c r="P148" s="106">
        <f t="shared" si="34"/>
        <v>321.30482685426637</v>
      </c>
      <c r="Q148" s="106">
        <f t="shared" si="34"/>
        <v>20.015801160327651</v>
      </c>
      <c r="R148" s="106">
        <f t="shared" si="34"/>
        <v>-9.0462461325713406</v>
      </c>
      <c r="S148" s="106">
        <f t="shared" si="34"/>
        <v>0</v>
      </c>
      <c r="T148" s="106">
        <f t="shared" si="34"/>
        <v>-5.2696173175283514</v>
      </c>
      <c r="U148" s="106">
        <f t="shared" si="34"/>
        <v>0</v>
      </c>
      <c r="V148" s="106">
        <f t="shared" si="34"/>
        <v>-0.28914691818553773</v>
      </c>
      <c r="W148" s="106">
        <f t="shared" si="34"/>
        <v>0</v>
      </c>
      <c r="X148" s="106">
        <f t="shared" si="34"/>
        <v>0</v>
      </c>
      <c r="Y148" s="106">
        <f t="shared" si="34"/>
        <v>0</v>
      </c>
      <c r="AQ148" s="3"/>
    </row>
    <row r="149" spans="3:43" x14ac:dyDescent="0.25">
      <c r="C149" s="75"/>
      <c r="F149" t="s">
        <v>196</v>
      </c>
      <c r="G149" t="s">
        <v>170</v>
      </c>
      <c r="J149" s="106">
        <f t="shared" ref="J149:Y149" si="35">J89 + J112 + J135</f>
        <v>931.59019747328853</v>
      </c>
      <c r="K149" s="106">
        <f t="shared" si="35"/>
        <v>1.865903647917988</v>
      </c>
      <c r="L149" s="106">
        <f t="shared" si="35"/>
        <v>318.65406273706549</v>
      </c>
      <c r="M149" s="106">
        <f t="shared" si="35"/>
        <v>0.4474467901460375</v>
      </c>
      <c r="N149" s="106">
        <f t="shared" si="35"/>
        <v>347.83139078196655</v>
      </c>
      <c r="O149" s="106">
        <f t="shared" si="35"/>
        <v>98.81070766726036</v>
      </c>
      <c r="P149" s="106">
        <f t="shared" si="35"/>
        <v>0</v>
      </c>
      <c r="Q149" s="106">
        <f t="shared" si="35"/>
        <v>19.707865757861072</v>
      </c>
      <c r="R149" s="106">
        <f t="shared" si="35"/>
        <v>-8.9070731151471687</v>
      </c>
      <c r="S149" s="106">
        <f t="shared" si="35"/>
        <v>0</v>
      </c>
      <c r="T149" s="106">
        <f t="shared" si="35"/>
        <v>-5.1885462818740695</v>
      </c>
      <c r="U149" s="106">
        <f t="shared" si="35"/>
        <v>0</v>
      </c>
      <c r="V149" s="106">
        <f t="shared" si="35"/>
        <v>0</v>
      </c>
      <c r="W149" s="106">
        <f t="shared" si="35"/>
        <v>0</v>
      </c>
      <c r="X149" s="106">
        <f t="shared" si="35"/>
        <v>0</v>
      </c>
      <c r="Y149" s="106">
        <f t="shared" si="35"/>
        <v>0</v>
      </c>
      <c r="AQ149" s="3"/>
    </row>
    <row r="150" spans="3:43" x14ac:dyDescent="0.25">
      <c r="C150" s="75"/>
      <c r="F150" s="96" t="s">
        <v>197</v>
      </c>
      <c r="G150" s="96" t="s">
        <v>170</v>
      </c>
      <c r="H150" s="96"/>
      <c r="I150" s="96"/>
      <c r="J150" s="195">
        <f t="shared" ref="J150:Y150" si="36">J90 + J113 + J136</f>
        <v>879.17768182597092</v>
      </c>
      <c r="K150" s="195">
        <f t="shared" si="36"/>
        <v>1.7609254027538179</v>
      </c>
      <c r="L150" s="195">
        <f t="shared" si="36"/>
        <v>300.72615721102369</v>
      </c>
      <c r="M150" s="195">
        <f t="shared" si="36"/>
        <v>0.42227283280569777</v>
      </c>
      <c r="N150" s="195">
        <f t="shared" si="36"/>
        <v>328.26192959459638</v>
      </c>
      <c r="O150" s="195">
        <f t="shared" si="36"/>
        <v>0</v>
      </c>
      <c r="P150" s="195">
        <f t="shared" si="36"/>
        <v>0</v>
      </c>
      <c r="Q150" s="195">
        <f t="shared" si="36"/>
        <v>18.599074762409721</v>
      </c>
      <c r="R150" s="195">
        <f t="shared" si="36"/>
        <v>0</v>
      </c>
      <c r="S150" s="195">
        <f t="shared" si="36"/>
        <v>0</v>
      </c>
      <c r="T150" s="195">
        <f t="shared" si="36"/>
        <v>0</v>
      </c>
      <c r="U150" s="195">
        <f t="shared" si="36"/>
        <v>0</v>
      </c>
      <c r="V150" s="195">
        <f t="shared" si="36"/>
        <v>0</v>
      </c>
      <c r="W150" s="195">
        <f t="shared" si="36"/>
        <v>0</v>
      </c>
      <c r="X150" s="195">
        <f t="shared" si="36"/>
        <v>0</v>
      </c>
      <c r="Y150" s="195">
        <f t="shared" si="36"/>
        <v>0</v>
      </c>
      <c r="AQ150" s="3"/>
    </row>
    <row r="151" spans="3:43" x14ac:dyDescent="0.25">
      <c r="C151" s="75"/>
      <c r="J151" s="97"/>
      <c r="K151" s="97"/>
      <c r="L151" s="97"/>
      <c r="M151" s="97"/>
      <c r="N151" s="97"/>
      <c r="O151" s="97"/>
      <c r="P151" s="97"/>
      <c r="Q151" s="97"/>
      <c r="R151" s="97"/>
      <c r="S151" s="97"/>
      <c r="T151" s="97"/>
      <c r="U151" s="97"/>
      <c r="V151" s="97"/>
      <c r="W151" s="97"/>
      <c r="X151" s="97"/>
      <c r="Y151" s="97"/>
      <c r="AQ151" s="3"/>
    </row>
    <row r="152" spans="3:43" x14ac:dyDescent="0.25">
      <c r="E152" s="75" t="s">
        <v>473</v>
      </c>
      <c r="J152" s="97"/>
      <c r="K152" s="97"/>
      <c r="L152" s="97"/>
      <c r="M152" s="97"/>
      <c r="N152" s="97"/>
      <c r="O152" s="97"/>
      <c r="P152" s="97"/>
      <c r="Q152" s="97"/>
      <c r="R152" s="97"/>
      <c r="S152" s="97"/>
      <c r="T152" s="97"/>
      <c r="U152" s="97"/>
      <c r="V152" s="97"/>
      <c r="W152" s="97"/>
      <c r="X152" s="97"/>
      <c r="Y152" s="97"/>
      <c r="AQ152" s="3"/>
    </row>
    <row r="153" spans="3:43" x14ac:dyDescent="0.25">
      <c r="E153" s="86" t="s">
        <v>474</v>
      </c>
      <c r="J153" s="97"/>
      <c r="K153" s="97"/>
      <c r="L153" s="97"/>
      <c r="M153" s="97"/>
      <c r="N153" s="97"/>
      <c r="O153" s="97"/>
      <c r="P153" s="97"/>
      <c r="Q153" s="97"/>
      <c r="R153" s="97"/>
      <c r="S153" s="97"/>
      <c r="T153" s="97"/>
      <c r="U153" s="97"/>
      <c r="V153" s="97"/>
      <c r="W153" s="97"/>
      <c r="X153" s="97"/>
      <c r="Y153" s="97"/>
      <c r="AQ153" s="3"/>
    </row>
    <row r="154" spans="3:43" x14ac:dyDescent="0.25">
      <c r="C154" s="75"/>
      <c r="F154" s="95" t="s">
        <v>189</v>
      </c>
      <c r="G154" s="95" t="s">
        <v>475</v>
      </c>
      <c r="H154" s="149">
        <f t="shared" ref="H154:H162" si="37">SUM(J142:Y142) * thousand</f>
        <v>2018819.0300083822</v>
      </c>
      <c r="J154" s="97"/>
      <c r="K154" s="97"/>
      <c r="L154" s="97"/>
      <c r="M154" s="97"/>
      <c r="N154" s="97"/>
      <c r="O154" s="97"/>
      <c r="P154" s="97"/>
      <c r="Q154" s="97"/>
      <c r="R154" s="97"/>
      <c r="S154" s="97"/>
      <c r="T154" s="97"/>
      <c r="U154" s="97"/>
      <c r="V154" s="97"/>
      <c r="W154" s="97"/>
      <c r="X154" s="97"/>
      <c r="Y154" s="97"/>
      <c r="AQ154" s="3"/>
    </row>
    <row r="155" spans="3:43" x14ac:dyDescent="0.25">
      <c r="C155" s="75"/>
      <c r="F155" t="s">
        <v>190</v>
      </c>
      <c r="G155" t="s">
        <v>475</v>
      </c>
      <c r="H155" s="151">
        <f t="shared" si="37"/>
        <v>1972194.6404299547</v>
      </c>
      <c r="J155" s="97"/>
      <c r="K155" s="97"/>
      <c r="L155" s="97"/>
      <c r="M155" s="97"/>
      <c r="N155" s="97"/>
      <c r="O155" s="97"/>
      <c r="P155" s="97"/>
      <c r="Q155" s="97"/>
      <c r="R155" s="97"/>
      <c r="S155" s="97"/>
      <c r="T155" s="97"/>
      <c r="U155" s="97"/>
      <c r="V155" s="97"/>
      <c r="W155" s="97"/>
      <c r="X155" s="97"/>
      <c r="Y155" s="97"/>
      <c r="AQ155" s="3"/>
    </row>
    <row r="156" spans="3:43" x14ac:dyDescent="0.25">
      <c r="C156" s="75"/>
      <c r="F156" t="s">
        <v>191</v>
      </c>
      <c r="G156" t="s">
        <v>475</v>
      </c>
      <c r="H156" s="151">
        <f t="shared" si="37"/>
        <v>1966325.0135239123</v>
      </c>
      <c r="J156" s="97"/>
      <c r="K156" s="97"/>
      <c r="L156" s="97"/>
      <c r="M156" s="97"/>
      <c r="N156" s="97"/>
      <c r="O156" s="97"/>
      <c r="P156" s="97"/>
      <c r="Q156" s="97"/>
      <c r="R156" s="97"/>
      <c r="S156" s="97"/>
      <c r="T156" s="97"/>
      <c r="U156" s="97"/>
      <c r="V156" s="97"/>
      <c r="W156" s="97"/>
      <c r="X156" s="97"/>
      <c r="Y156" s="97"/>
      <c r="AQ156" s="3"/>
    </row>
    <row r="157" spans="3:43" x14ac:dyDescent="0.25">
      <c r="C157" s="75"/>
      <c r="F157" t="s">
        <v>192</v>
      </c>
      <c r="G157" t="s">
        <v>475</v>
      </c>
      <c r="H157" s="151">
        <f t="shared" si="37"/>
        <v>1962432.89211682</v>
      </c>
      <c r="J157" s="97"/>
      <c r="K157" s="97"/>
      <c r="L157" s="97"/>
      <c r="M157" s="97"/>
      <c r="N157" s="97"/>
      <c r="O157" s="97"/>
      <c r="P157" s="97"/>
      <c r="Q157" s="97"/>
      <c r="R157" s="97"/>
      <c r="S157" s="97"/>
      <c r="T157" s="97"/>
      <c r="U157" s="97"/>
      <c r="V157" s="97"/>
      <c r="W157" s="97"/>
      <c r="X157" s="97"/>
      <c r="Y157" s="97"/>
      <c r="AQ157" s="3"/>
    </row>
    <row r="158" spans="3:43" x14ac:dyDescent="0.25">
      <c r="C158" s="75"/>
      <c r="F158" t="s">
        <v>193</v>
      </c>
      <c r="G158" t="s">
        <v>475</v>
      </c>
      <c r="H158" s="151">
        <f t="shared" si="37"/>
        <v>1952765.735012796</v>
      </c>
      <c r="J158" s="97"/>
      <c r="K158" s="97"/>
      <c r="L158" s="97"/>
      <c r="M158" s="97"/>
      <c r="N158" s="97"/>
      <c r="O158" s="97"/>
      <c r="P158" s="97"/>
      <c r="Q158" s="97"/>
      <c r="R158" s="97"/>
      <c r="S158" s="97"/>
      <c r="T158" s="97"/>
      <c r="U158" s="97"/>
      <c r="V158" s="97"/>
      <c r="W158" s="97"/>
      <c r="X158" s="97"/>
      <c r="Y158" s="97"/>
      <c r="AQ158" s="3"/>
    </row>
    <row r="159" spans="3:43" x14ac:dyDescent="0.25">
      <c r="C159" s="75"/>
      <c r="F159" t="s">
        <v>194</v>
      </c>
      <c r="G159" t="s">
        <v>475</v>
      </c>
      <c r="H159" s="151">
        <f t="shared" si="37"/>
        <v>0</v>
      </c>
      <c r="J159" s="97"/>
      <c r="K159" s="97"/>
      <c r="L159" s="97"/>
      <c r="M159" s="97"/>
      <c r="N159" s="97"/>
      <c r="O159" s="97"/>
      <c r="P159" s="97"/>
      <c r="Q159" s="97"/>
      <c r="R159" s="97"/>
      <c r="S159" s="97"/>
      <c r="T159" s="97"/>
      <c r="U159" s="97"/>
      <c r="V159" s="97"/>
      <c r="W159" s="97"/>
      <c r="X159" s="97"/>
      <c r="Y159" s="97"/>
      <c r="AQ159" s="3"/>
    </row>
    <row r="160" spans="3:43" x14ac:dyDescent="0.25">
      <c r="C160" s="75"/>
      <c r="F160" t="s">
        <v>195</v>
      </c>
      <c r="G160" t="s">
        <v>475</v>
      </c>
      <c r="H160" s="151">
        <f t="shared" si="37"/>
        <v>2052465.3221986045</v>
      </c>
      <c r="J160" s="97"/>
      <c r="K160" s="97"/>
      <c r="L160" s="97"/>
      <c r="M160" s="97"/>
      <c r="N160" s="97"/>
      <c r="O160" s="97"/>
      <c r="P160" s="97"/>
      <c r="Q160" s="97"/>
      <c r="R160" s="97"/>
      <c r="S160" s="97"/>
      <c r="T160" s="97"/>
      <c r="U160" s="97"/>
      <c r="V160" s="97"/>
      <c r="W160" s="97"/>
      <c r="X160" s="97"/>
      <c r="Y160" s="97"/>
      <c r="AQ160" s="3"/>
    </row>
    <row r="161" spans="3:43" x14ac:dyDescent="0.25">
      <c r="C161" s="75"/>
      <c r="F161" t="s">
        <v>196</v>
      </c>
      <c r="G161" t="s">
        <v>475</v>
      </c>
      <c r="H161" s="151">
        <f t="shared" si="37"/>
        <v>1704811.9554584848</v>
      </c>
      <c r="J161" s="97"/>
      <c r="K161" s="97"/>
      <c r="L161" s="97"/>
      <c r="M161" s="97"/>
      <c r="N161" s="97"/>
      <c r="O161" s="97"/>
      <c r="P161" s="97"/>
      <c r="Q161" s="97"/>
      <c r="R161" s="97"/>
      <c r="S161" s="97"/>
      <c r="T161" s="97"/>
      <c r="U161" s="97"/>
      <c r="V161" s="97"/>
      <c r="W161" s="97"/>
      <c r="X161" s="97"/>
      <c r="Y161" s="97"/>
      <c r="AQ161" s="3"/>
    </row>
    <row r="162" spans="3:43" x14ac:dyDescent="0.25">
      <c r="C162" s="75"/>
      <c r="F162" s="96" t="s">
        <v>197</v>
      </c>
      <c r="G162" s="96" t="s">
        <v>475</v>
      </c>
      <c r="H162" s="150">
        <f t="shared" si="37"/>
        <v>1528948.0416295603</v>
      </c>
      <c r="J162" s="97"/>
      <c r="K162" s="97"/>
      <c r="L162" s="97"/>
      <c r="M162" s="97"/>
      <c r="N162" s="97"/>
      <c r="O162" s="97"/>
      <c r="P162" s="97"/>
      <c r="Q162" s="97"/>
      <c r="R162" s="97"/>
      <c r="S162" s="97"/>
      <c r="T162" s="97"/>
      <c r="U162" s="97"/>
      <c r="V162" s="97"/>
      <c r="W162" s="97"/>
      <c r="X162" s="97"/>
      <c r="Y162" s="97"/>
      <c r="AQ162" s="3"/>
    </row>
    <row r="163" spans="3:43" x14ac:dyDescent="0.25">
      <c r="C163" s="75"/>
      <c r="J163" s="97"/>
      <c r="K163" s="97"/>
      <c r="L163" s="97"/>
      <c r="M163" s="97"/>
      <c r="N163" s="97"/>
      <c r="O163" s="97"/>
      <c r="P163" s="97"/>
      <c r="Q163" s="97"/>
      <c r="R163" s="97"/>
      <c r="S163" s="97"/>
      <c r="T163" s="97"/>
      <c r="U163" s="97"/>
      <c r="V163" s="97"/>
      <c r="W163" s="97"/>
      <c r="X163" s="97"/>
      <c r="Y163" s="97"/>
      <c r="AQ163" s="3"/>
    </row>
    <row r="164" spans="3:43" x14ac:dyDescent="0.2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25">
      <c r="H165" s="97"/>
      <c r="J165" s="97"/>
      <c r="K165" s="97"/>
      <c r="L165" s="97"/>
      <c r="M165" s="97"/>
      <c r="N165" s="97"/>
      <c r="O165" s="97"/>
      <c r="P165" s="97"/>
      <c r="Q165" s="97"/>
      <c r="R165" s="97"/>
      <c r="S165" s="97"/>
      <c r="T165" s="97"/>
      <c r="U165" s="97"/>
      <c r="V165" s="97"/>
      <c r="W165" s="97"/>
      <c r="X165" s="97"/>
      <c r="Y165" s="97"/>
    </row>
    <row r="166" spans="3:43" x14ac:dyDescent="0.25">
      <c r="E166" s="75" t="s">
        <v>476</v>
      </c>
      <c r="H166" s="97"/>
      <c r="J166" s="97"/>
      <c r="K166" s="97"/>
      <c r="L166" s="97"/>
      <c r="M166" s="97"/>
      <c r="N166" s="97"/>
      <c r="O166" s="97"/>
      <c r="P166" s="97"/>
      <c r="Q166" s="97"/>
      <c r="R166" s="97"/>
      <c r="S166" s="97"/>
      <c r="T166" s="97"/>
      <c r="U166" s="97"/>
      <c r="V166" s="97"/>
      <c r="W166" s="97"/>
      <c r="X166" s="97"/>
      <c r="Y166" s="97"/>
    </row>
    <row r="167" spans="3:43" x14ac:dyDescent="0.25">
      <c r="E167" s="86" t="s">
        <v>477</v>
      </c>
      <c r="F167" s="86"/>
      <c r="J167" s="97"/>
      <c r="K167" s="97"/>
      <c r="L167" s="97"/>
      <c r="M167" s="97"/>
      <c r="N167" s="97"/>
      <c r="O167" s="97"/>
      <c r="P167" s="97"/>
      <c r="Q167" s="97"/>
      <c r="R167" s="97"/>
      <c r="S167" s="97"/>
      <c r="T167" s="97"/>
      <c r="U167" s="97"/>
      <c r="V167" s="97"/>
      <c r="W167" s="97"/>
      <c r="X167" s="97"/>
      <c r="Y167" s="97"/>
      <c r="AQ167" s="3"/>
    </row>
    <row r="168" spans="3:43" x14ac:dyDescent="0.25">
      <c r="C168" s="75"/>
      <c r="F168" s="95" t="s">
        <v>189</v>
      </c>
      <c r="G168" s="95" t="s">
        <v>170</v>
      </c>
      <c r="H168" s="175"/>
      <c r="I168" s="95"/>
      <c r="J168" s="222">
        <f t="shared" ref="J168:Y168" si="38">J142 * (1 - J23)</f>
        <v>1029.4676477044752</v>
      </c>
      <c r="K168" s="222">
        <f t="shared" si="38"/>
        <v>1.475150673439297</v>
      </c>
      <c r="L168" s="222">
        <f t="shared" si="38"/>
        <v>320.32460320029622</v>
      </c>
      <c r="M168" s="222">
        <f t="shared" si="38"/>
        <v>0.42215552100263243</v>
      </c>
      <c r="N168" s="222">
        <f t="shared" si="38"/>
        <v>353.42538958025506</v>
      </c>
      <c r="O168" s="222">
        <f t="shared" si="38"/>
        <v>101.42555404352905</v>
      </c>
      <c r="P168" s="222">
        <f t="shared" si="38"/>
        <v>325.85676040973658</v>
      </c>
      <c r="Q168" s="222">
        <f t="shared" si="38"/>
        <v>24.56660256206402</v>
      </c>
      <c r="R168" s="222">
        <f t="shared" si="38"/>
        <v>-8.5839214331727476</v>
      </c>
      <c r="S168" s="222">
        <f t="shared" si="38"/>
        <v>0</v>
      </c>
      <c r="T168" s="222">
        <f t="shared" si="38"/>
        <v>-5.2440981156424815</v>
      </c>
      <c r="U168" s="222">
        <f t="shared" si="38"/>
        <v>0</v>
      </c>
      <c r="V168" s="222">
        <f t="shared" si="38"/>
        <v>-0.27496589799412696</v>
      </c>
      <c r="W168" s="222">
        <f t="shared" si="38"/>
        <v>0</v>
      </c>
      <c r="X168" s="222">
        <f t="shared" si="38"/>
        <v>-124.04184823960645</v>
      </c>
      <c r="Y168" s="222">
        <f t="shared" si="38"/>
        <v>0</v>
      </c>
      <c r="AQ168" s="3"/>
    </row>
    <row r="169" spans="3:43" x14ac:dyDescent="0.25">
      <c r="C169" s="75"/>
      <c r="F169" t="s">
        <v>190</v>
      </c>
      <c r="G169" t="s">
        <v>170</v>
      </c>
      <c r="H169" s="97"/>
      <c r="J169" s="106">
        <f t="shared" ref="J169:Y169" si="39">J143 * (1 - J24)</f>
        <v>972.21735581317591</v>
      </c>
      <c r="K169" s="106">
        <f t="shared" si="39"/>
        <v>1.890897805991457</v>
      </c>
      <c r="L169" s="106">
        <f t="shared" si="39"/>
        <v>325.93900243852482</v>
      </c>
      <c r="M169" s="106">
        <f t="shared" si="39"/>
        <v>0.46451942128555024</v>
      </c>
      <c r="N169" s="106">
        <f t="shared" si="39"/>
        <v>356.62218194465237</v>
      </c>
      <c r="O169" s="106">
        <f t="shared" si="39"/>
        <v>101.65863157787679</v>
      </c>
      <c r="P169" s="106">
        <f t="shared" si="39"/>
        <v>325.84068221828034</v>
      </c>
      <c r="Q169" s="106">
        <f t="shared" si="39"/>
        <v>21.719337234548583</v>
      </c>
      <c r="R169" s="106">
        <f t="shared" si="39"/>
        <v>-8.999247221555871</v>
      </c>
      <c r="S169" s="106">
        <f t="shared" si="39"/>
        <v>0</v>
      </c>
      <c r="T169" s="106">
        <f t="shared" si="39"/>
        <v>-5.3302963156471259</v>
      </c>
      <c r="U169" s="106">
        <f t="shared" si="39"/>
        <v>0</v>
      </c>
      <c r="V169" s="106">
        <f t="shared" si="39"/>
        <v>-0.2897743532589771</v>
      </c>
      <c r="W169" s="106">
        <f t="shared" si="39"/>
        <v>0</v>
      </c>
      <c r="X169" s="106">
        <f t="shared" si="39"/>
        <v>-119.53865013391952</v>
      </c>
      <c r="Y169" s="106">
        <f t="shared" si="39"/>
        <v>0</v>
      </c>
      <c r="AQ169" s="3"/>
    </row>
    <row r="170" spans="3:43" x14ac:dyDescent="0.25">
      <c r="C170" s="75"/>
      <c r="F170" t="s">
        <v>191</v>
      </c>
      <c r="G170" t="s">
        <v>170</v>
      </c>
      <c r="H170" s="97"/>
      <c r="J170" s="106">
        <f t="shared" ref="J170:Y170" si="40">J144 * (1 - J25)</f>
        <v>969.32385177801757</v>
      </c>
      <c r="K170" s="106">
        <f t="shared" si="40"/>
        <v>1.8852701339498155</v>
      </c>
      <c r="L170" s="106">
        <f t="shared" si="40"/>
        <v>324.9689458836483</v>
      </c>
      <c r="M170" s="106">
        <f t="shared" si="40"/>
        <v>0.46313692300791459</v>
      </c>
      <c r="N170" s="106">
        <f t="shared" si="40"/>
        <v>355.56080640315031</v>
      </c>
      <c r="O170" s="106">
        <f t="shared" si="40"/>
        <v>101.35607612675216</v>
      </c>
      <c r="P170" s="106">
        <f t="shared" si="40"/>
        <v>324.87091828310685</v>
      </c>
      <c r="Q170" s="106">
        <f t="shared" si="40"/>
        <v>21.654696349921949</v>
      </c>
      <c r="R170" s="106">
        <f t="shared" si="40"/>
        <v>-8.9724637476821911</v>
      </c>
      <c r="S170" s="106">
        <f t="shared" si="40"/>
        <v>0</v>
      </c>
      <c r="T170" s="106">
        <f t="shared" si="40"/>
        <v>-5.3144323385172232</v>
      </c>
      <c r="U170" s="106">
        <f t="shared" si="40"/>
        <v>0</v>
      </c>
      <c r="V170" s="106">
        <f t="shared" si="40"/>
        <v>-0.28891192958856343</v>
      </c>
      <c r="W170" s="106">
        <f t="shared" si="40"/>
        <v>0</v>
      </c>
      <c r="X170" s="106">
        <f t="shared" si="40"/>
        <v>-119.18288034185427</v>
      </c>
      <c r="Y170" s="106">
        <f t="shared" si="40"/>
        <v>0</v>
      </c>
      <c r="AQ170" s="3"/>
    </row>
    <row r="171" spans="3:43" x14ac:dyDescent="0.25">
      <c r="C171" s="75"/>
      <c r="F171" t="s">
        <v>192</v>
      </c>
      <c r="G171" t="s">
        <v>170</v>
      </c>
      <c r="H171" s="97"/>
      <c r="J171" s="106">
        <f t="shared" ref="J171:Y171" si="41">J145 * (1 - J26)</f>
        <v>959.26119343784148</v>
      </c>
      <c r="K171" s="106">
        <f t="shared" si="41"/>
        <v>1.9213265285492154</v>
      </c>
      <c r="L171" s="106">
        <f t="shared" si="41"/>
        <v>328.11903489757236</v>
      </c>
      <c r="M171" s="106">
        <f t="shared" si="41"/>
        <v>0.46073728886324655</v>
      </c>
      <c r="N171" s="106">
        <f t="shared" si="41"/>
        <v>358.16301625073783</v>
      </c>
      <c r="O171" s="106">
        <f t="shared" si="41"/>
        <v>101.74567918212948</v>
      </c>
      <c r="P171" s="106">
        <f t="shared" si="41"/>
        <v>260.6068457019951</v>
      </c>
      <c r="Q171" s="106">
        <f t="shared" si="41"/>
        <v>20.293247909084666</v>
      </c>
      <c r="R171" s="106">
        <f t="shared" si="41"/>
        <v>-9.1716396433198568</v>
      </c>
      <c r="S171" s="106">
        <f t="shared" si="41"/>
        <v>0</v>
      </c>
      <c r="T171" s="106">
        <f t="shared" si="41"/>
        <v>-5.3426615179693382</v>
      </c>
      <c r="U171" s="106">
        <f t="shared" si="41"/>
        <v>0</v>
      </c>
      <c r="V171" s="106">
        <f t="shared" si="41"/>
        <v>-0.29315489526929772</v>
      </c>
      <c r="W171" s="106">
        <f t="shared" si="41"/>
        <v>0</v>
      </c>
      <c r="X171" s="106">
        <f t="shared" si="41"/>
        <v>-118.48244444889401</v>
      </c>
      <c r="Y171" s="106">
        <f t="shared" si="41"/>
        <v>0</v>
      </c>
      <c r="AQ171" s="3"/>
    </row>
    <row r="172" spans="3:43" x14ac:dyDescent="0.25">
      <c r="C172" s="75"/>
      <c r="F172" t="s">
        <v>193</v>
      </c>
      <c r="G172" t="s">
        <v>170</v>
      </c>
      <c r="H172" s="97"/>
      <c r="J172" s="106">
        <f t="shared" ref="J172:Y172" si="42">J146 * (1 - J27)</f>
        <v>954.53576883962558</v>
      </c>
      <c r="K172" s="106">
        <f t="shared" si="42"/>
        <v>1.9118618658470026</v>
      </c>
      <c r="L172" s="106">
        <f t="shared" si="42"/>
        <v>326.50268497196862</v>
      </c>
      <c r="M172" s="106">
        <f t="shared" si="42"/>
        <v>0.45846764704618626</v>
      </c>
      <c r="N172" s="106">
        <f t="shared" si="42"/>
        <v>356.39866641699047</v>
      </c>
      <c r="O172" s="106">
        <f t="shared" si="42"/>
        <v>101.24446893985299</v>
      </c>
      <c r="P172" s="106">
        <f t="shared" si="42"/>
        <v>0</v>
      </c>
      <c r="Q172" s="106">
        <f t="shared" si="42"/>
        <v>20.19328117061627</v>
      </c>
      <c r="R172" s="106">
        <f t="shared" si="42"/>
        <v>-9.1264591524660652</v>
      </c>
      <c r="S172" s="106">
        <f t="shared" si="42"/>
        <v>0</v>
      </c>
      <c r="T172" s="106">
        <f t="shared" si="42"/>
        <v>-5.3163429883241706</v>
      </c>
      <c r="U172" s="106">
        <f t="shared" si="42"/>
        <v>0</v>
      </c>
      <c r="V172" s="106">
        <f t="shared" si="42"/>
        <v>-0.29171078248471988</v>
      </c>
      <c r="W172" s="106">
        <f t="shared" si="42"/>
        <v>0</v>
      </c>
      <c r="X172" s="106">
        <f t="shared" si="42"/>
        <v>-117.89878708707683</v>
      </c>
      <c r="Y172" s="106">
        <f t="shared" si="42"/>
        <v>0</v>
      </c>
      <c r="AQ172" s="3"/>
    </row>
    <row r="173" spans="3:43" x14ac:dyDescent="0.25">
      <c r="C173" s="75"/>
      <c r="F173" t="s">
        <v>194</v>
      </c>
      <c r="G173" t="s">
        <v>170</v>
      </c>
      <c r="H173" s="97"/>
      <c r="J173" s="106">
        <f t="shared" ref="J173:Y173" si="43">J147 * (1 - J28)</f>
        <v>0</v>
      </c>
      <c r="K173" s="106">
        <f t="shared" si="43"/>
        <v>0</v>
      </c>
      <c r="L173" s="106">
        <f t="shared" si="43"/>
        <v>0</v>
      </c>
      <c r="M173" s="106">
        <f t="shared" si="43"/>
        <v>0</v>
      </c>
      <c r="N173" s="106">
        <f t="shared" si="43"/>
        <v>0</v>
      </c>
      <c r="O173" s="106">
        <f t="shared" si="43"/>
        <v>0</v>
      </c>
      <c r="P173" s="106">
        <f t="shared" si="43"/>
        <v>0</v>
      </c>
      <c r="Q173" s="106">
        <f t="shared" si="43"/>
        <v>0</v>
      </c>
      <c r="R173" s="106">
        <f t="shared" si="43"/>
        <v>0</v>
      </c>
      <c r="S173" s="106">
        <f t="shared" si="43"/>
        <v>0</v>
      </c>
      <c r="T173" s="106">
        <f t="shared" si="43"/>
        <v>0</v>
      </c>
      <c r="U173" s="106">
        <f t="shared" si="43"/>
        <v>0</v>
      </c>
      <c r="V173" s="106">
        <f t="shared" si="43"/>
        <v>0</v>
      </c>
      <c r="W173" s="106">
        <f t="shared" si="43"/>
        <v>0</v>
      </c>
      <c r="X173" s="106">
        <f t="shared" si="43"/>
        <v>0</v>
      </c>
      <c r="Y173" s="106">
        <f t="shared" si="43"/>
        <v>0</v>
      </c>
      <c r="AQ173" s="3"/>
    </row>
    <row r="174" spans="3:43" x14ac:dyDescent="0.25">
      <c r="C174" s="75"/>
      <c r="F174" t="s">
        <v>195</v>
      </c>
      <c r="G174" t="s">
        <v>170</v>
      </c>
      <c r="H174" s="97"/>
      <c r="J174" s="106">
        <f t="shared" ref="J174:Y174" si="44">J148 * (1 - J29)</f>
        <v>946.14629430880848</v>
      </c>
      <c r="K174" s="106">
        <f t="shared" si="44"/>
        <v>1.8950583924167066</v>
      </c>
      <c r="L174" s="106">
        <f t="shared" si="44"/>
        <v>323.6330324673321</v>
      </c>
      <c r="M174" s="106">
        <f t="shared" si="44"/>
        <v>0.45443814624206935</v>
      </c>
      <c r="N174" s="106">
        <f t="shared" si="44"/>
        <v>282.61300501034782</v>
      </c>
      <c r="O174" s="106">
        <f t="shared" si="44"/>
        <v>0</v>
      </c>
      <c r="P174" s="106">
        <f t="shared" si="44"/>
        <v>0</v>
      </c>
      <c r="Q174" s="106">
        <f t="shared" si="44"/>
        <v>20.015801160327651</v>
      </c>
      <c r="R174" s="106">
        <f t="shared" si="44"/>
        <v>-9.0462461325713406</v>
      </c>
      <c r="S174" s="106">
        <f t="shared" si="44"/>
        <v>0</v>
      </c>
      <c r="T174" s="106">
        <f t="shared" si="44"/>
        <v>-5.2696173175283514</v>
      </c>
      <c r="U174" s="106">
        <f t="shared" si="44"/>
        <v>0</v>
      </c>
      <c r="V174" s="106">
        <f t="shared" si="44"/>
        <v>-0.28914691818553773</v>
      </c>
      <c r="W174" s="106">
        <f t="shared" si="44"/>
        <v>0</v>
      </c>
      <c r="X174" s="106">
        <f t="shared" si="44"/>
        <v>0</v>
      </c>
      <c r="Y174" s="106">
        <f t="shared" si="44"/>
        <v>0</v>
      </c>
      <c r="AQ174" s="3"/>
    </row>
    <row r="175" spans="3:43" x14ac:dyDescent="0.25">
      <c r="C175" s="75"/>
      <c r="F175" t="s">
        <v>196</v>
      </c>
      <c r="G175" t="s">
        <v>170</v>
      </c>
      <c r="H175" s="97"/>
      <c r="J175" s="106">
        <f t="shared" ref="J175:Y175" si="45">J149 * (1 - J30)</f>
        <v>931.59019747328853</v>
      </c>
      <c r="K175" s="106">
        <f t="shared" si="45"/>
        <v>1.865903647917988</v>
      </c>
      <c r="L175" s="106">
        <f t="shared" si="45"/>
        <v>318.65406273706549</v>
      </c>
      <c r="M175" s="106">
        <f t="shared" si="45"/>
        <v>0.4474467901460375</v>
      </c>
      <c r="N175" s="106">
        <f t="shared" si="45"/>
        <v>0</v>
      </c>
      <c r="O175" s="106">
        <f t="shared" si="45"/>
        <v>0</v>
      </c>
      <c r="P175" s="106">
        <f t="shared" si="45"/>
        <v>0</v>
      </c>
      <c r="Q175" s="106">
        <f t="shared" si="45"/>
        <v>19.707865757861072</v>
      </c>
      <c r="R175" s="106">
        <f t="shared" si="45"/>
        <v>-8.9070731151471687</v>
      </c>
      <c r="S175" s="106">
        <f t="shared" si="45"/>
        <v>0</v>
      </c>
      <c r="T175" s="106">
        <f t="shared" si="45"/>
        <v>-5.1885462818740695</v>
      </c>
      <c r="U175" s="106">
        <f t="shared" si="45"/>
        <v>0</v>
      </c>
      <c r="V175" s="106">
        <f t="shared" si="45"/>
        <v>0</v>
      </c>
      <c r="W175" s="106">
        <f t="shared" si="45"/>
        <v>0</v>
      </c>
      <c r="X175" s="106">
        <f t="shared" si="45"/>
        <v>0</v>
      </c>
      <c r="Y175" s="106">
        <f t="shared" si="45"/>
        <v>0</v>
      </c>
      <c r="AQ175" s="3"/>
    </row>
    <row r="176" spans="3:43" x14ac:dyDescent="0.25">
      <c r="C176" s="75"/>
      <c r="F176" s="96" t="s">
        <v>197</v>
      </c>
      <c r="G176" s="96" t="s">
        <v>170</v>
      </c>
      <c r="H176" s="176"/>
      <c r="I176" s="96"/>
      <c r="J176" s="195">
        <f t="shared" ref="J176:Y176" si="46">J150 * (1 - J31)</f>
        <v>0</v>
      </c>
      <c r="K176" s="195">
        <f t="shared" si="46"/>
        <v>0</v>
      </c>
      <c r="L176" s="195">
        <f t="shared" si="46"/>
        <v>0</v>
      </c>
      <c r="M176" s="195">
        <f t="shared" si="46"/>
        <v>0</v>
      </c>
      <c r="N176" s="195">
        <f t="shared" si="46"/>
        <v>0</v>
      </c>
      <c r="O176" s="195">
        <f t="shared" si="46"/>
        <v>0</v>
      </c>
      <c r="P176" s="195">
        <f t="shared" si="46"/>
        <v>0</v>
      </c>
      <c r="Q176" s="195">
        <f t="shared" si="46"/>
        <v>18.599074762409721</v>
      </c>
      <c r="R176" s="195">
        <f t="shared" si="46"/>
        <v>0</v>
      </c>
      <c r="S176" s="195">
        <f t="shared" si="46"/>
        <v>0</v>
      </c>
      <c r="T176" s="195">
        <f t="shared" si="46"/>
        <v>0</v>
      </c>
      <c r="U176" s="195">
        <f t="shared" si="46"/>
        <v>0</v>
      </c>
      <c r="V176" s="195">
        <f t="shared" si="46"/>
        <v>0</v>
      </c>
      <c r="W176" s="195">
        <f t="shared" si="46"/>
        <v>0</v>
      </c>
      <c r="X176" s="195">
        <f t="shared" si="46"/>
        <v>0</v>
      </c>
      <c r="Y176" s="195">
        <f t="shared" si="46"/>
        <v>0</v>
      </c>
      <c r="AQ176" s="3"/>
    </row>
    <row r="177" spans="2:43" x14ac:dyDescent="0.25">
      <c r="C177" s="75"/>
      <c r="F177" s="145" t="s">
        <v>99</v>
      </c>
      <c r="G177" s="145" t="s">
        <v>170</v>
      </c>
      <c r="H177" s="228"/>
      <c r="I177" s="145"/>
      <c r="J177" s="227">
        <f t="shared" ref="J177:Y177" si="47">SUM(J168:J176)</f>
        <v>6762.5423093552326</v>
      </c>
      <c r="K177" s="227">
        <f t="shared" si="47"/>
        <v>12.845469048111482</v>
      </c>
      <c r="L177" s="227">
        <f t="shared" si="47"/>
        <v>2268.1413665964078</v>
      </c>
      <c r="M177" s="227">
        <f t="shared" si="47"/>
        <v>3.1709017375936366</v>
      </c>
      <c r="N177" s="227">
        <f t="shared" si="47"/>
        <v>2062.7830656061337</v>
      </c>
      <c r="O177" s="227">
        <f t="shared" si="47"/>
        <v>507.43040987014047</v>
      </c>
      <c r="P177" s="227">
        <f t="shared" si="47"/>
        <v>1237.1752066131189</v>
      </c>
      <c r="Q177" s="227">
        <f t="shared" si="47"/>
        <v>166.74990690683393</v>
      </c>
      <c r="R177" s="227">
        <f t="shared" si="47"/>
        <v>-62.807050445915237</v>
      </c>
      <c r="S177" s="227">
        <f t="shared" si="47"/>
        <v>0</v>
      </c>
      <c r="T177" s="227">
        <f t="shared" si="47"/>
        <v>-37.005994875502758</v>
      </c>
      <c r="U177" s="227">
        <f t="shared" si="47"/>
        <v>0</v>
      </c>
      <c r="V177" s="227">
        <f t="shared" si="47"/>
        <v>-1.7276647767812228</v>
      </c>
      <c r="W177" s="227">
        <f t="shared" si="47"/>
        <v>0</v>
      </c>
      <c r="X177" s="227">
        <f t="shared" si="47"/>
        <v>-599.14461025135108</v>
      </c>
      <c r="Y177" s="227">
        <f t="shared" si="47"/>
        <v>0</v>
      </c>
      <c r="AQ177" s="3"/>
    </row>
    <row r="178" spans="2:43" x14ac:dyDescent="0.25">
      <c r="H178" s="229"/>
    </row>
    <row r="179" spans="2:43" x14ac:dyDescent="0.25">
      <c r="B179" s="85" t="s">
        <v>478</v>
      </c>
      <c r="C179" s="85"/>
      <c r="D179" s="85"/>
      <c r="E179" s="85"/>
      <c r="F179" s="85"/>
      <c r="G179" s="85"/>
      <c r="H179" s="85"/>
      <c r="I179" s="85"/>
      <c r="J179" s="178"/>
      <c r="K179" s="178"/>
      <c r="L179" s="178"/>
      <c r="M179" s="178"/>
      <c r="N179" s="178"/>
      <c r="O179" s="178"/>
      <c r="P179" s="178"/>
      <c r="Q179" s="178"/>
      <c r="R179" s="178"/>
      <c r="S179" s="178"/>
      <c r="T179" s="178"/>
      <c r="U179" s="178"/>
      <c r="V179" s="178"/>
      <c r="W179" s="178"/>
      <c r="X179" s="178"/>
      <c r="Y179" s="178"/>
      <c r="Z179" s="85"/>
      <c r="AA179" s="85"/>
      <c r="AQ179" s="3"/>
    </row>
    <row r="180" spans="2:43" x14ac:dyDescent="0.25">
      <c r="C180" s="75"/>
      <c r="J180" s="97"/>
      <c r="K180" s="97"/>
      <c r="L180" s="97"/>
      <c r="M180" s="97"/>
      <c r="N180" s="97"/>
      <c r="O180" s="97"/>
      <c r="P180" s="97"/>
      <c r="Q180" s="97"/>
      <c r="R180" s="97"/>
      <c r="S180" s="97"/>
      <c r="T180" s="97"/>
      <c r="U180" s="97"/>
      <c r="V180" s="97"/>
      <c r="W180" s="97"/>
      <c r="X180" s="97"/>
      <c r="Y180" s="97"/>
      <c r="AQ180" s="3"/>
    </row>
    <row r="181" spans="2:43" x14ac:dyDescent="0.25">
      <c r="C181" s="86" t="s">
        <v>479</v>
      </c>
      <c r="J181" s="97"/>
      <c r="K181" s="97"/>
      <c r="L181" s="97"/>
      <c r="M181" s="97"/>
      <c r="N181" s="97"/>
      <c r="O181" s="97"/>
      <c r="P181" s="97"/>
      <c r="Q181" s="97"/>
      <c r="R181" s="97"/>
      <c r="S181" s="97"/>
      <c r="T181" s="97"/>
      <c r="U181" s="97"/>
      <c r="V181" s="97"/>
      <c r="W181" s="97"/>
      <c r="X181" s="97"/>
      <c r="Y181" s="97"/>
      <c r="AQ181" s="3"/>
    </row>
    <row r="182" spans="2:43" x14ac:dyDescent="0.25">
      <c r="C182" s="86" t="s">
        <v>480</v>
      </c>
      <c r="J182" s="97"/>
      <c r="K182" s="97"/>
      <c r="L182" s="97"/>
      <c r="M182" s="97"/>
      <c r="N182" s="97"/>
      <c r="O182" s="97"/>
      <c r="P182" s="97"/>
      <c r="Q182" s="97"/>
      <c r="R182" s="97"/>
      <c r="S182" s="97"/>
      <c r="T182" s="97"/>
      <c r="U182" s="97"/>
      <c r="V182" s="97"/>
      <c r="W182" s="97"/>
      <c r="X182" s="97"/>
      <c r="Y182" s="97"/>
      <c r="AQ182" s="3"/>
    </row>
    <row r="183" spans="2:43" x14ac:dyDescent="0.25">
      <c r="C183" s="75"/>
      <c r="J183" s="97"/>
      <c r="K183" s="97"/>
      <c r="L183" s="97"/>
      <c r="M183" s="97"/>
      <c r="N183" s="97"/>
      <c r="O183" s="97"/>
      <c r="P183" s="97"/>
      <c r="Q183" s="97"/>
      <c r="R183" s="97"/>
      <c r="S183" s="97"/>
      <c r="T183" s="97"/>
      <c r="U183" s="97"/>
      <c r="V183" s="97"/>
      <c r="W183" s="97"/>
      <c r="X183" s="97"/>
      <c r="Y183" s="97"/>
      <c r="AQ183" s="3"/>
    </row>
    <row r="184" spans="2:43" x14ac:dyDescent="0.2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25">
      <c r="C185" s="75"/>
      <c r="J185" s="97"/>
      <c r="K185" s="97"/>
      <c r="L185" s="97"/>
      <c r="M185" s="97"/>
      <c r="N185" s="97"/>
      <c r="O185" s="97"/>
      <c r="P185" s="97"/>
      <c r="Q185" s="97"/>
      <c r="R185" s="97"/>
      <c r="S185" s="97"/>
      <c r="T185" s="97"/>
      <c r="U185" s="97"/>
      <c r="V185" s="97"/>
      <c r="W185" s="97"/>
      <c r="X185" s="97"/>
      <c r="Y185" s="97"/>
      <c r="AQ185" s="3"/>
    </row>
    <row r="186" spans="2:43" x14ac:dyDescent="0.25">
      <c r="D186" s="86" t="s">
        <v>481</v>
      </c>
      <c r="E186" s="86"/>
      <c r="J186" s="97"/>
      <c r="K186" s="97"/>
      <c r="L186" s="97"/>
      <c r="M186" s="97"/>
      <c r="N186" s="97"/>
      <c r="O186" s="97"/>
      <c r="P186" s="97"/>
      <c r="Q186" s="97"/>
      <c r="R186" s="97"/>
      <c r="S186" s="97"/>
      <c r="T186" s="97"/>
      <c r="U186" s="97"/>
      <c r="V186" s="97"/>
      <c r="W186" s="97"/>
      <c r="X186" s="97"/>
      <c r="Y186" s="97"/>
      <c r="AQ186" s="3"/>
    </row>
    <row r="187" spans="2:43" x14ac:dyDescent="0.25">
      <c r="J187" s="97"/>
      <c r="K187" s="97"/>
      <c r="L187" s="97"/>
      <c r="M187" s="97"/>
      <c r="N187" s="97"/>
      <c r="O187" s="97"/>
      <c r="P187" s="97"/>
      <c r="Q187" s="97"/>
      <c r="R187" s="97"/>
      <c r="S187" s="97"/>
      <c r="T187" s="97"/>
      <c r="U187" s="97"/>
      <c r="V187" s="97"/>
      <c r="W187" s="97"/>
      <c r="X187" s="97"/>
      <c r="Y187" s="97"/>
      <c r="AQ187" s="3"/>
    </row>
    <row r="188" spans="2:43" x14ac:dyDescent="0.25">
      <c r="C188" s="75"/>
      <c r="E188" t="s">
        <v>248</v>
      </c>
      <c r="G188" t="s">
        <v>249</v>
      </c>
      <c r="J188" s="167">
        <f>'Volume adjustments'!J286</f>
        <v>0</v>
      </c>
      <c r="K188" s="167">
        <f>'Volume adjustments'!K286</f>
        <v>0</v>
      </c>
      <c r="L188" s="167">
        <f>'Volume adjustments'!L286</f>
        <v>0</v>
      </c>
      <c r="M188" s="167">
        <f>'Volume adjustments'!M286</f>
        <v>0</v>
      </c>
      <c r="N188" s="167">
        <f>'Volume adjustments'!N286</f>
        <v>1270979.9748671856</v>
      </c>
      <c r="O188" s="167">
        <f>'Volume adjustments'!O286</f>
        <v>343066.56026764587</v>
      </c>
      <c r="P188" s="167">
        <f>'Volume adjustments'!P286</f>
        <v>1217622.9996724809</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25">
      <c r="C189" s="75"/>
      <c r="E189" t="s">
        <v>250</v>
      </c>
      <c r="G189" t="s">
        <v>249</v>
      </c>
      <c r="J189" s="167">
        <f>'Volume adjustments'!J297</f>
        <v>0</v>
      </c>
      <c r="K189" s="167">
        <f>'Volume adjustments'!K297</f>
        <v>0</v>
      </c>
      <c r="L189" s="167">
        <f>'Volume adjustments'!L297</f>
        <v>0</v>
      </c>
      <c r="M189" s="167">
        <f>'Volume adjustments'!M297</f>
        <v>0</v>
      </c>
      <c r="N189" s="167">
        <f>'Volume adjustments'!N297</f>
        <v>22785.567013075954</v>
      </c>
      <c r="O189" s="167">
        <f>'Volume adjustments'!O297</f>
        <v>1550.5572725091165</v>
      </c>
      <c r="P189" s="167">
        <f>'Volume adjustments'!P297</f>
        <v>13357.730044299575</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25">
      <c r="C190" s="75"/>
      <c r="J190" s="167"/>
      <c r="K190" s="167"/>
      <c r="L190" s="167"/>
      <c r="M190" s="167"/>
      <c r="N190" s="167"/>
      <c r="O190" s="167"/>
      <c r="P190" s="167"/>
      <c r="Q190" s="167"/>
      <c r="R190" s="167"/>
      <c r="S190" s="167"/>
      <c r="T190" s="167"/>
      <c r="U190" s="167"/>
      <c r="V190" s="167"/>
      <c r="W190" s="167"/>
      <c r="X190" s="167"/>
      <c r="Y190" s="167"/>
      <c r="AQ190" s="3"/>
    </row>
    <row r="191" spans="2:43" x14ac:dyDescent="0.25">
      <c r="C191" s="75"/>
      <c r="E191" t="s">
        <v>482</v>
      </c>
      <c r="G191" t="s">
        <v>249</v>
      </c>
      <c r="J191" s="106">
        <f t="shared" ref="J191:Y191" si="48">SUM(J188:J189)</f>
        <v>0</v>
      </c>
      <c r="K191" s="106">
        <f t="shared" si="48"/>
        <v>0</v>
      </c>
      <c r="L191" s="106">
        <f t="shared" si="48"/>
        <v>0</v>
      </c>
      <c r="M191" s="106">
        <f t="shared" si="48"/>
        <v>0</v>
      </c>
      <c r="N191" s="106">
        <f t="shared" si="48"/>
        <v>1293765.5418802616</v>
      </c>
      <c r="O191" s="106">
        <f t="shared" si="48"/>
        <v>344617.11754015496</v>
      </c>
      <c r="P191" s="106">
        <f t="shared" si="48"/>
        <v>1230980.7297167804</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25">
      <c r="C192" s="75"/>
      <c r="E192" t="s">
        <v>483</v>
      </c>
      <c r="G192" t="s">
        <v>170</v>
      </c>
      <c r="J192" s="106">
        <f t="shared" ref="J192:Y192" si="49">J191 * PowerFactor / thousand</f>
        <v>0</v>
      </c>
      <c r="K192" s="106">
        <f t="shared" si="49"/>
        <v>0</v>
      </c>
      <c r="L192" s="106">
        <f t="shared" si="49"/>
        <v>0</v>
      </c>
      <c r="M192" s="106">
        <f t="shared" si="49"/>
        <v>0</v>
      </c>
      <c r="N192" s="106">
        <f t="shared" si="49"/>
        <v>1229.0772647862486</v>
      </c>
      <c r="O192" s="106">
        <f t="shared" si="49"/>
        <v>327.3862616631472</v>
      </c>
      <c r="P192" s="106">
        <f t="shared" si="49"/>
        <v>1169.4316932309412</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25">
      <c r="C193" s="75"/>
      <c r="J193" s="97"/>
      <c r="K193" s="97"/>
      <c r="L193" s="97"/>
      <c r="M193" s="97"/>
      <c r="N193" s="97"/>
      <c r="O193" s="97"/>
      <c r="P193" s="97"/>
      <c r="Q193" s="97"/>
      <c r="R193" s="97"/>
      <c r="S193" s="97"/>
      <c r="T193" s="97"/>
      <c r="U193" s="97"/>
      <c r="V193" s="97"/>
      <c r="W193" s="97"/>
      <c r="X193" s="97"/>
      <c r="Y193" s="97"/>
      <c r="AQ193" s="3"/>
    </row>
    <row r="194" spans="3:43" x14ac:dyDescent="0.2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25">
      <c r="C195" s="75"/>
      <c r="J195" s="97"/>
      <c r="K195" s="97"/>
      <c r="L195" s="97"/>
      <c r="M195" s="97"/>
      <c r="N195" s="97"/>
      <c r="O195" s="97"/>
      <c r="P195" s="97"/>
      <c r="Q195" s="97"/>
      <c r="R195" s="97"/>
      <c r="S195" s="97"/>
      <c r="T195" s="97"/>
      <c r="U195" s="97"/>
      <c r="V195" s="97"/>
      <c r="W195" s="97"/>
      <c r="X195" s="97"/>
      <c r="Y195" s="97"/>
      <c r="AQ195" s="3"/>
    </row>
    <row r="196" spans="3:43" x14ac:dyDescent="0.25">
      <c r="C196" s="75"/>
      <c r="D196" s="86" t="s">
        <v>484</v>
      </c>
      <c r="J196" s="97"/>
      <c r="K196" s="97"/>
      <c r="L196" s="97"/>
      <c r="M196" s="97"/>
      <c r="N196" s="97"/>
      <c r="O196" s="97"/>
      <c r="P196" s="97"/>
      <c r="Q196" s="97"/>
      <c r="R196" s="97"/>
      <c r="S196" s="97"/>
      <c r="T196" s="97"/>
      <c r="U196" s="97"/>
      <c r="V196" s="97"/>
      <c r="W196" s="97"/>
      <c r="X196" s="97"/>
      <c r="Y196" s="97"/>
      <c r="AQ196" s="3"/>
    </row>
    <row r="197" spans="3:43" x14ac:dyDescent="0.25">
      <c r="D197" s="75"/>
      <c r="J197" s="97"/>
      <c r="K197" s="97"/>
      <c r="L197" s="97"/>
      <c r="M197" s="97"/>
      <c r="N197" s="97"/>
      <c r="O197" s="97"/>
      <c r="P197" s="97"/>
      <c r="Q197" s="97"/>
      <c r="R197" s="97"/>
      <c r="S197" s="97"/>
      <c r="T197" s="97"/>
      <c r="U197" s="97"/>
      <c r="V197" s="97"/>
      <c r="W197" s="97"/>
      <c r="X197" s="97"/>
      <c r="Y197" s="97"/>
      <c r="AQ197" s="3"/>
    </row>
    <row r="198" spans="3:43" x14ac:dyDescent="0.25">
      <c r="E198" t="s">
        <v>219</v>
      </c>
      <c r="G198" t="s">
        <v>207</v>
      </c>
      <c r="H198" s="229"/>
      <c r="I198" t="s">
        <v>152</v>
      </c>
      <c r="J198" s="230" t="b">
        <f>'Fixed inputs'!J132</f>
        <v>1</v>
      </c>
      <c r="K198" s="230" t="b">
        <f>'Fixed inputs'!K132</f>
        <v>0</v>
      </c>
      <c r="L198" s="230" t="b">
        <f>'Fixed inputs'!L132</f>
        <v>1</v>
      </c>
      <c r="M198" s="230" t="b">
        <f>'Fixed inputs'!M132</f>
        <v>0</v>
      </c>
      <c r="N198" s="230" t="b">
        <f>'Fixed inputs'!N132</f>
        <v>1</v>
      </c>
      <c r="O198" s="230" t="b">
        <f>'Fixed inputs'!O132</f>
        <v>1</v>
      </c>
      <c r="P198" s="230" t="b">
        <f>'Fixed inputs'!P132</f>
        <v>1</v>
      </c>
      <c r="Q198" s="230" t="b">
        <f>'Fixed inputs'!Q132</f>
        <v>1</v>
      </c>
      <c r="R198" s="230" t="b">
        <f>'Fixed inputs'!R132</f>
        <v>1</v>
      </c>
      <c r="S198" s="230" t="b">
        <f>'Fixed inputs'!S132</f>
        <v>1</v>
      </c>
      <c r="T198" s="230" t="b">
        <f>'Fixed inputs'!T132</f>
        <v>1</v>
      </c>
      <c r="U198" s="230" t="b">
        <f>'Fixed inputs'!U132</f>
        <v>1</v>
      </c>
      <c r="V198" s="230" t="b">
        <f>'Fixed inputs'!V132</f>
        <v>1</v>
      </c>
      <c r="W198" s="230" t="b">
        <f>'Fixed inputs'!W132</f>
        <v>1</v>
      </c>
      <c r="X198" s="230" t="b">
        <f>'Fixed inputs'!X132</f>
        <v>1</v>
      </c>
      <c r="Y198" s="230" t="b">
        <f>'Fixed inputs'!Y132</f>
        <v>1</v>
      </c>
      <c r="AA198" t="s">
        <v>485</v>
      </c>
    </row>
    <row r="199" spans="3:43" x14ac:dyDescent="0.25">
      <c r="D199" s="75"/>
      <c r="H199" s="231"/>
      <c r="J199" s="97"/>
      <c r="L199" s="97"/>
      <c r="AQ199" s="3"/>
    </row>
    <row r="200" spans="3:43" x14ac:dyDescent="0.25">
      <c r="C200" s="75"/>
      <c r="E200" t="s">
        <v>486</v>
      </c>
      <c r="G200" t="s">
        <v>170</v>
      </c>
      <c r="H200" s="97"/>
      <c r="I200" t="s">
        <v>152</v>
      </c>
      <c r="J200" s="151">
        <f t="shared" ref="J200:Q200" si="50">IF(J61 = 0, 0, J59 / (hours_in_year * J61))</f>
        <v>1126.2892001807943</v>
      </c>
      <c r="K200" s="151">
        <f t="shared" si="50"/>
        <v>19.875866891336415</v>
      </c>
      <c r="L200" s="151">
        <f t="shared" si="50"/>
        <v>355.85340954657823</v>
      </c>
      <c r="M200" s="151">
        <f t="shared" si="50"/>
        <v>2.1066605268854048</v>
      </c>
      <c r="N200" s="151">
        <f t="shared" si="50"/>
        <v>395.27808652082405</v>
      </c>
      <c r="O200" s="151">
        <f t="shared" si="50"/>
        <v>113.66775216462065</v>
      </c>
      <c r="P200" s="151">
        <f t="shared" si="50"/>
        <v>371.33537310293895</v>
      </c>
      <c r="Q200" s="151">
        <f t="shared" si="50"/>
        <v>25.27009910991805</v>
      </c>
      <c r="R200" s="140"/>
      <c r="S200" s="140"/>
      <c r="T200" s="140"/>
      <c r="U200" s="140"/>
      <c r="V200" s="140"/>
      <c r="W200" s="140"/>
      <c r="X200" s="140"/>
      <c r="Y200" s="140"/>
      <c r="AA200" t="s">
        <v>485</v>
      </c>
      <c r="AQ200" s="3"/>
    </row>
    <row r="201" spans="3:43" x14ac:dyDescent="0.25">
      <c r="C201" s="75"/>
      <c r="H201" s="97"/>
      <c r="J201" s="106"/>
      <c r="K201" s="106"/>
      <c r="L201" s="106"/>
      <c r="M201" s="106"/>
      <c r="N201" s="106"/>
      <c r="O201" s="106"/>
      <c r="P201" s="106"/>
      <c r="Q201" s="106"/>
      <c r="R201" s="97"/>
      <c r="S201" s="97"/>
      <c r="T201" s="97"/>
      <c r="U201" s="97"/>
      <c r="V201" s="97"/>
      <c r="W201" s="97"/>
      <c r="X201" s="97"/>
      <c r="Y201" s="97"/>
      <c r="AQ201" s="3"/>
    </row>
    <row r="202" spans="3:43" x14ac:dyDescent="0.25">
      <c r="E202" t="s">
        <v>487</v>
      </c>
      <c r="G202" t="s">
        <v>170</v>
      </c>
      <c r="H202" s="97"/>
      <c r="I202" t="s">
        <v>152</v>
      </c>
      <c r="J202" s="106">
        <f t="shared" ref="J202:Y202" si="51">J192 * J42 / $H53</f>
        <v>0</v>
      </c>
      <c r="K202" s="106">
        <f t="shared" si="51"/>
        <v>0</v>
      </c>
      <c r="L202" s="106">
        <f t="shared" si="51"/>
        <v>0</v>
      </c>
      <c r="M202" s="106">
        <f t="shared" si="51"/>
        <v>0</v>
      </c>
      <c r="N202" s="106">
        <f t="shared" si="51"/>
        <v>1229.0772647862486</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485</v>
      </c>
    </row>
    <row r="203" spans="3:43" x14ac:dyDescent="0.25">
      <c r="H203" s="97"/>
      <c r="J203" s="106"/>
      <c r="K203" s="106"/>
      <c r="L203" s="106"/>
      <c r="M203" s="106"/>
      <c r="N203" s="106"/>
      <c r="O203" s="106"/>
      <c r="P203" s="106"/>
      <c r="Q203" s="106"/>
      <c r="R203" s="106"/>
      <c r="S203" s="106"/>
      <c r="T203" s="106"/>
      <c r="U203" s="106"/>
      <c r="V203" s="106"/>
      <c r="W203" s="106"/>
      <c r="X203" s="106"/>
      <c r="Y203" s="106"/>
    </row>
    <row r="204" spans="3:43" x14ac:dyDescent="0.25">
      <c r="E204" t="s">
        <v>488</v>
      </c>
      <c r="G204" t="s">
        <v>170</v>
      </c>
      <c r="H204" s="97"/>
      <c r="J204" s="106">
        <f t="shared" ref="J204:Y204" si="52">IF(J198, J$200 * J42 / $H53, 0)</f>
        <v>1126.2892001807943</v>
      </c>
      <c r="K204" s="106">
        <f t="shared" si="52"/>
        <v>0</v>
      </c>
      <c r="L204" s="106">
        <f t="shared" si="52"/>
        <v>355.85340954657823</v>
      </c>
      <c r="M204" s="106">
        <f t="shared" si="52"/>
        <v>0</v>
      </c>
      <c r="N204" s="106">
        <f t="shared" si="52"/>
        <v>395.27808652082405</v>
      </c>
      <c r="O204" s="106">
        <f t="shared" si="52"/>
        <v>0</v>
      </c>
      <c r="P204" s="106">
        <f t="shared" si="52"/>
        <v>0</v>
      </c>
      <c r="Q204" s="106">
        <f t="shared" si="52"/>
        <v>25.27009910991805</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25">
      <c r="H205" s="97"/>
      <c r="J205" s="106"/>
      <c r="K205" s="106"/>
      <c r="L205" s="106"/>
      <c r="M205" s="106"/>
      <c r="N205" s="106"/>
      <c r="O205" s="106"/>
      <c r="P205" s="106"/>
      <c r="Q205" s="106"/>
      <c r="R205" s="106"/>
      <c r="S205" s="106"/>
      <c r="T205" s="106"/>
      <c r="U205" s="106"/>
      <c r="V205" s="106"/>
      <c r="W205" s="106"/>
      <c r="X205" s="106"/>
      <c r="Y205" s="106"/>
    </row>
    <row r="206" spans="3:43" x14ac:dyDescent="0.25">
      <c r="E206" t="s">
        <v>489</v>
      </c>
      <c r="G206" t="s">
        <v>170</v>
      </c>
      <c r="H206" s="97"/>
      <c r="J206" s="106">
        <f t="shared" ref="J206:Y206" si="53">IF(J202 = 0, J204, J202)</f>
        <v>1126.2892001807943</v>
      </c>
      <c r="K206" s="106">
        <f t="shared" si="53"/>
        <v>0</v>
      </c>
      <c r="L206" s="106">
        <f t="shared" si="53"/>
        <v>355.85340954657823</v>
      </c>
      <c r="M206" s="106">
        <f t="shared" si="53"/>
        <v>0</v>
      </c>
      <c r="N206" s="106">
        <f t="shared" si="53"/>
        <v>1229.0772647862486</v>
      </c>
      <c r="O206" s="106">
        <f t="shared" si="53"/>
        <v>0</v>
      </c>
      <c r="P206" s="106">
        <f t="shared" si="53"/>
        <v>0</v>
      </c>
      <c r="Q206" s="106">
        <f t="shared" si="53"/>
        <v>25.27009910991805</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25">
      <c r="H207" s="97"/>
      <c r="J207" s="106"/>
      <c r="K207" s="106"/>
      <c r="L207" s="106"/>
      <c r="M207" s="106"/>
      <c r="N207" s="106"/>
      <c r="O207" s="106"/>
      <c r="P207" s="106"/>
      <c r="Q207" s="106"/>
      <c r="R207" s="106"/>
      <c r="S207" s="106"/>
      <c r="T207" s="106"/>
      <c r="U207" s="106"/>
      <c r="V207" s="106"/>
      <c r="W207" s="106"/>
      <c r="X207" s="106"/>
      <c r="Y207" s="106"/>
    </row>
    <row r="208" spans="3:43" x14ac:dyDescent="0.25">
      <c r="E208" t="s">
        <v>490</v>
      </c>
      <c r="G208" t="s">
        <v>170</v>
      </c>
      <c r="H208" s="97"/>
      <c r="I208" t="s">
        <v>152</v>
      </c>
      <c r="J208" s="106">
        <f t="shared" ref="J208:Y208" si="54">J150</f>
        <v>879.17768182597092</v>
      </c>
      <c r="K208" s="106">
        <f t="shared" si="54"/>
        <v>1.7609254027538179</v>
      </c>
      <c r="L208" s="106">
        <f t="shared" si="54"/>
        <v>300.72615721102369</v>
      </c>
      <c r="M208" s="106">
        <f t="shared" si="54"/>
        <v>0.42227283280569777</v>
      </c>
      <c r="N208" s="106">
        <f t="shared" si="54"/>
        <v>328.26192959459638</v>
      </c>
      <c r="O208" s="106">
        <f t="shared" si="54"/>
        <v>0</v>
      </c>
      <c r="P208" s="106">
        <f t="shared" si="54"/>
        <v>0</v>
      </c>
      <c r="Q208" s="106">
        <f t="shared" si="54"/>
        <v>18.599074762409721</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485</v>
      </c>
    </row>
    <row r="209" spans="5:43" x14ac:dyDescent="0.25">
      <c r="H209" s="97"/>
      <c r="J209" s="97"/>
      <c r="K209" s="97"/>
      <c r="L209" s="97"/>
      <c r="M209" s="97"/>
      <c r="N209" s="97"/>
      <c r="O209" s="97"/>
      <c r="P209" s="97"/>
      <c r="Q209" s="97"/>
      <c r="R209" s="97"/>
      <c r="S209" s="97"/>
      <c r="T209" s="97"/>
      <c r="U209" s="97"/>
      <c r="V209" s="97"/>
      <c r="W209" s="97"/>
      <c r="X209" s="97"/>
      <c r="Y209" s="97"/>
    </row>
    <row r="210" spans="5:43" x14ac:dyDescent="0.25">
      <c r="E210" t="s">
        <v>491</v>
      </c>
      <c r="G210" t="s">
        <v>165</v>
      </c>
      <c r="H210" s="232">
        <f>SUM(J206:Y206) / SUM(J208:Y208) - 1</f>
        <v>0.78978611379558394</v>
      </c>
      <c r="J210" s="97"/>
      <c r="K210" s="97"/>
      <c r="L210" s="97"/>
      <c r="M210" s="97"/>
      <c r="N210" s="97"/>
      <c r="O210" s="97"/>
      <c r="P210" s="97"/>
      <c r="Q210" s="97"/>
      <c r="R210" s="97"/>
      <c r="S210" s="97"/>
      <c r="T210" s="97"/>
      <c r="U210" s="97"/>
      <c r="V210" s="97"/>
      <c r="W210" s="97"/>
      <c r="X210" s="97"/>
      <c r="Y210" s="97"/>
    </row>
    <row r="211" spans="5:43" x14ac:dyDescent="0.25">
      <c r="H211" s="229"/>
    </row>
    <row r="212" spans="5:43" x14ac:dyDescent="0.25">
      <c r="E212" s="75" t="s">
        <v>346</v>
      </c>
      <c r="J212" s="97"/>
      <c r="L212" s="97"/>
      <c r="AA212" t="s">
        <v>485</v>
      </c>
      <c r="AQ212" s="3"/>
    </row>
    <row r="213" spans="5:43" x14ac:dyDescent="0.25">
      <c r="E213" s="86" t="s">
        <v>492</v>
      </c>
      <c r="F213" s="86"/>
      <c r="J213" s="97"/>
      <c r="L213" s="97"/>
      <c r="AQ213" s="3"/>
    </row>
    <row r="214" spans="5:43" x14ac:dyDescent="0.25">
      <c r="E214" s="75"/>
      <c r="F214" s="95" t="s">
        <v>189</v>
      </c>
      <c r="G214" s="95" t="s">
        <v>165</v>
      </c>
      <c r="H214" s="154">
        <f t="array" ref="H214:H222">TRANSPOSE('Load &amp; loss characteristics'!K23:S23)</f>
        <v>0.19989489363654123</v>
      </c>
      <c r="J214" s="97"/>
      <c r="K214" s="233"/>
      <c r="L214" s="97"/>
      <c r="M214" s="233"/>
      <c r="AQ214" s="3"/>
    </row>
    <row r="215" spans="5:43" x14ac:dyDescent="0.25">
      <c r="E215" s="75"/>
      <c r="F215" t="s">
        <v>190</v>
      </c>
      <c r="G215" t="s">
        <v>165</v>
      </c>
      <c r="H215" s="155">
        <v>0.5539573104686546</v>
      </c>
      <c r="J215" s="97"/>
      <c r="L215" s="97"/>
      <c r="AQ215" s="3"/>
    </row>
    <row r="216" spans="5:43" x14ac:dyDescent="0.25">
      <c r="E216" s="75"/>
      <c r="F216" t="s">
        <v>191</v>
      </c>
      <c r="G216" t="s">
        <v>165</v>
      </c>
      <c r="H216" s="155">
        <v>0.5539573104686546</v>
      </c>
      <c r="J216" s="97"/>
      <c r="L216" s="97"/>
      <c r="AQ216" s="3"/>
    </row>
    <row r="217" spans="5:43" x14ac:dyDescent="0.25">
      <c r="E217" s="75"/>
      <c r="F217" t="s">
        <v>192</v>
      </c>
      <c r="G217" t="s">
        <v>165</v>
      </c>
      <c r="H217" s="155">
        <v>0.89642198676926244</v>
      </c>
      <c r="J217" s="97"/>
      <c r="L217" s="97"/>
      <c r="AQ217" s="3"/>
    </row>
    <row r="218" spans="5:43" x14ac:dyDescent="0.25">
      <c r="E218" s="75"/>
      <c r="F218" t="s">
        <v>193</v>
      </c>
      <c r="G218" t="s">
        <v>165</v>
      </c>
      <c r="H218" s="155">
        <v>0.89642198676926244</v>
      </c>
      <c r="J218" s="97"/>
      <c r="L218" s="97"/>
      <c r="AQ218" s="3"/>
    </row>
    <row r="219" spans="5:43" x14ac:dyDescent="0.25">
      <c r="E219" s="75"/>
      <c r="F219" t="s">
        <v>194</v>
      </c>
      <c r="G219" t="s">
        <v>165</v>
      </c>
      <c r="H219" s="155">
        <v>0.5539573104686546</v>
      </c>
      <c r="J219" s="97"/>
      <c r="L219" s="97"/>
      <c r="AQ219" s="3"/>
    </row>
    <row r="220" spans="5:43" x14ac:dyDescent="0.25">
      <c r="E220" s="75"/>
      <c r="F220" t="s">
        <v>195</v>
      </c>
      <c r="G220" t="s">
        <v>165</v>
      </c>
      <c r="H220" s="155">
        <v>1.5412054622708116</v>
      </c>
      <c r="J220" s="97"/>
      <c r="L220" s="97"/>
      <c r="AQ220" s="3"/>
    </row>
    <row r="221" spans="5:43" x14ac:dyDescent="0.25">
      <c r="E221" s="75"/>
      <c r="F221" t="s">
        <v>196</v>
      </c>
      <c r="G221" t="s">
        <v>165</v>
      </c>
      <c r="H221" s="155">
        <v>1.5412054622708116</v>
      </c>
      <c r="J221" s="97"/>
      <c r="L221" s="97"/>
      <c r="AQ221" s="3"/>
    </row>
    <row r="222" spans="5:43" x14ac:dyDescent="0.25">
      <c r="E222" s="75"/>
      <c r="F222" s="96" t="s">
        <v>197</v>
      </c>
      <c r="G222" s="96" t="s">
        <v>165</v>
      </c>
      <c r="H222" s="186">
        <v>1.5412054622708116</v>
      </c>
      <c r="J222" s="97"/>
      <c r="L222" s="97"/>
      <c r="AQ222" s="3"/>
    </row>
    <row r="223" spans="5:43" x14ac:dyDescent="0.25">
      <c r="H223" s="229"/>
    </row>
    <row r="224" spans="5:43" x14ac:dyDescent="0.25">
      <c r="E224" s="75" t="s">
        <v>493</v>
      </c>
      <c r="J224" s="97"/>
      <c r="L224" s="97"/>
      <c r="AA224" t="s">
        <v>485</v>
      </c>
      <c r="AQ224" s="3"/>
    </row>
    <row r="225" spans="3:43" x14ac:dyDescent="0.25">
      <c r="E225" s="86" t="s">
        <v>494</v>
      </c>
      <c r="F225" s="86"/>
      <c r="J225" s="97"/>
      <c r="L225" s="97"/>
      <c r="AQ225" s="3"/>
    </row>
    <row r="226" spans="3:43" x14ac:dyDescent="0.25">
      <c r="C226" s="75"/>
      <c r="F226" s="95" t="s">
        <v>189</v>
      </c>
      <c r="G226" s="95" t="s">
        <v>165</v>
      </c>
      <c r="H226" s="234">
        <f t="shared" ref="H226:H233" si="55">IF(F226 = $F$234, $H$210, H214)</f>
        <v>0.19989489363654123</v>
      </c>
      <c r="J226" s="97"/>
      <c r="L226" s="97"/>
      <c r="AQ226" s="3"/>
    </row>
    <row r="227" spans="3:43" x14ac:dyDescent="0.25">
      <c r="C227" s="75"/>
      <c r="F227" t="s">
        <v>190</v>
      </c>
      <c r="G227" t="s">
        <v>165</v>
      </c>
      <c r="H227" s="158">
        <f t="shared" si="55"/>
        <v>0.5539573104686546</v>
      </c>
      <c r="J227" s="97"/>
      <c r="L227" s="97"/>
      <c r="AQ227" s="3"/>
    </row>
    <row r="228" spans="3:43" x14ac:dyDescent="0.25">
      <c r="C228" s="75"/>
      <c r="F228" t="s">
        <v>191</v>
      </c>
      <c r="G228" t="s">
        <v>165</v>
      </c>
      <c r="H228" s="158">
        <f t="shared" si="55"/>
        <v>0.5539573104686546</v>
      </c>
      <c r="J228" s="97"/>
      <c r="L228" s="97"/>
      <c r="AQ228" s="3"/>
    </row>
    <row r="229" spans="3:43" x14ac:dyDescent="0.25">
      <c r="C229" s="75"/>
      <c r="F229" t="s">
        <v>192</v>
      </c>
      <c r="G229" t="s">
        <v>165</v>
      </c>
      <c r="H229" s="158">
        <f t="shared" si="55"/>
        <v>0.89642198676926244</v>
      </c>
      <c r="J229" s="97"/>
      <c r="L229" s="97"/>
      <c r="AQ229" s="3"/>
    </row>
    <row r="230" spans="3:43" x14ac:dyDescent="0.25">
      <c r="C230" s="75"/>
      <c r="F230" t="s">
        <v>193</v>
      </c>
      <c r="G230" t="s">
        <v>165</v>
      </c>
      <c r="H230" s="158">
        <f t="shared" si="55"/>
        <v>0.89642198676926244</v>
      </c>
      <c r="J230" s="97"/>
      <c r="L230" s="97"/>
      <c r="AQ230" s="3"/>
    </row>
    <row r="231" spans="3:43" x14ac:dyDescent="0.25">
      <c r="C231" s="75"/>
      <c r="F231" t="s">
        <v>194</v>
      </c>
      <c r="G231" t="s">
        <v>165</v>
      </c>
      <c r="H231" s="158">
        <f t="shared" si="55"/>
        <v>0.5539573104686546</v>
      </c>
      <c r="J231" s="97"/>
      <c r="L231" s="97"/>
      <c r="AQ231" s="3"/>
    </row>
    <row r="232" spans="3:43" x14ac:dyDescent="0.25">
      <c r="C232" s="75"/>
      <c r="F232" t="s">
        <v>195</v>
      </c>
      <c r="G232" t="s">
        <v>165</v>
      </c>
      <c r="H232" s="158">
        <f t="shared" si="55"/>
        <v>1.5412054622708116</v>
      </c>
      <c r="J232" s="97"/>
      <c r="L232" s="97"/>
      <c r="AQ232" s="3"/>
    </row>
    <row r="233" spans="3:43" x14ac:dyDescent="0.25">
      <c r="C233" s="75"/>
      <c r="F233" t="s">
        <v>196</v>
      </c>
      <c r="G233" t="s">
        <v>165</v>
      </c>
      <c r="H233" s="158">
        <f t="shared" si="55"/>
        <v>1.5412054622708116</v>
      </c>
      <c r="J233" s="97"/>
      <c r="L233" s="97"/>
      <c r="AQ233" s="3"/>
    </row>
    <row r="234" spans="3:43" x14ac:dyDescent="0.25">
      <c r="C234" s="75"/>
      <c r="F234" s="96" t="s">
        <v>197</v>
      </c>
      <c r="G234" s="96" t="s">
        <v>165</v>
      </c>
      <c r="H234" s="188">
        <f>IF(F234 = $F$234, $H$210, H222)</f>
        <v>0.78978611379558394</v>
      </c>
      <c r="J234" s="97"/>
      <c r="L234" s="97"/>
      <c r="AQ234" s="3"/>
    </row>
    <row r="235" spans="3:43" x14ac:dyDescent="0.25">
      <c r="H235" s="229"/>
    </row>
    <row r="236" spans="3:43" x14ac:dyDescent="0.2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25">
      <c r="H237" s="229"/>
    </row>
    <row r="238" spans="3:43" x14ac:dyDescent="0.25">
      <c r="E238" s="75" t="s">
        <v>495</v>
      </c>
      <c r="F238" s="86"/>
      <c r="H238" s="235"/>
    </row>
    <row r="239" spans="3:43" x14ac:dyDescent="0.25">
      <c r="C239" s="75"/>
      <c r="F239" s="95" t="s">
        <v>189</v>
      </c>
      <c r="G239" s="95" t="s">
        <v>170</v>
      </c>
      <c r="H239" s="175"/>
      <c r="I239" s="95"/>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75"/>
      <c r="F240" t="s">
        <v>190</v>
      </c>
      <c r="G240" t="s">
        <v>170</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0</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25">
      <c r="C241" s="75"/>
      <c r="F241" t="s">
        <v>191</v>
      </c>
      <c r="G241" t="s">
        <v>170</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25">
      <c r="C242" s="75"/>
      <c r="F242" t="s">
        <v>192</v>
      </c>
      <c r="G242" t="s">
        <v>170</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125.03985355215197</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25">
      <c r="C243" s="75"/>
      <c r="F243" t="s">
        <v>193</v>
      </c>
      <c r="G243" t="s">
        <v>170</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622.1194684121848</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25">
      <c r="C244" s="75"/>
      <c r="F244" t="s">
        <v>194</v>
      </c>
      <c r="G244" t="s">
        <v>170</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0</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25">
      <c r="C245" s="75"/>
      <c r="F245" t="s">
        <v>195</v>
      </c>
      <c r="G245" t="s">
        <v>170</v>
      </c>
      <c r="H245" s="97"/>
      <c r="J245" s="106">
        <f t="shared" ref="J245:Y245" si="62">J$192 * J29 * J40 / (1 + $H232) / $H51</f>
        <v>0</v>
      </c>
      <c r="K245" s="106">
        <f t="shared" si="62"/>
        <v>0</v>
      </c>
      <c r="L245" s="106">
        <f t="shared" si="62"/>
        <v>0</v>
      </c>
      <c r="M245" s="106">
        <f t="shared" si="62"/>
        <v>0</v>
      </c>
      <c r="N245" s="106">
        <f t="shared" si="62"/>
        <v>104.10007409498722</v>
      </c>
      <c r="O245" s="106">
        <f t="shared" si="62"/>
        <v>130.84407260187126</v>
      </c>
      <c r="P245" s="106">
        <f t="shared" si="62"/>
        <v>460.18777725510688</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25">
      <c r="C246" s="75"/>
      <c r="F246" t="s">
        <v>196</v>
      </c>
      <c r="G246" t="s">
        <v>170</v>
      </c>
      <c r="H246" s="97"/>
      <c r="J246" s="106">
        <f t="shared" ref="J246:Y246" si="63">J$192 * J30 * J41 / (1 + $H233) / $H52</f>
        <v>0</v>
      </c>
      <c r="K246" s="106">
        <f t="shared" si="63"/>
        <v>0</v>
      </c>
      <c r="L246" s="106">
        <f t="shared" si="63"/>
        <v>0</v>
      </c>
      <c r="M246" s="106">
        <f t="shared" si="63"/>
        <v>0</v>
      </c>
      <c r="N246" s="106">
        <f t="shared" si="63"/>
        <v>512.4926724676294</v>
      </c>
      <c r="O246" s="106">
        <f t="shared" si="63"/>
        <v>128.83108686953477</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25">
      <c r="C247" s="75"/>
      <c r="F247" s="96" t="s">
        <v>197</v>
      </c>
      <c r="G247" s="96" t="s">
        <v>170</v>
      </c>
      <c r="H247" s="176"/>
      <c r="I247" s="96"/>
      <c r="J247" s="195">
        <f t="shared" ref="J247:Y247" si="64">J$192 * J31 * J42 / (1 + $H234) / $H53</f>
        <v>0</v>
      </c>
      <c r="K247" s="195">
        <f t="shared" si="64"/>
        <v>0</v>
      </c>
      <c r="L247" s="195">
        <f t="shared" si="64"/>
        <v>0</v>
      </c>
      <c r="M247" s="195">
        <f t="shared" si="64"/>
        <v>0</v>
      </c>
      <c r="N247" s="195">
        <f t="shared" si="64"/>
        <v>686.71739897442558</v>
      </c>
      <c r="O247" s="195">
        <f t="shared" si="64"/>
        <v>0</v>
      </c>
      <c r="P247" s="195">
        <f t="shared" si="64"/>
        <v>0</v>
      </c>
      <c r="Q247" s="195">
        <f t="shared" si="64"/>
        <v>0</v>
      </c>
      <c r="R247" s="195">
        <f t="shared" si="64"/>
        <v>0</v>
      </c>
      <c r="S247" s="195">
        <f t="shared" si="64"/>
        <v>0</v>
      </c>
      <c r="T247" s="195">
        <f t="shared" si="64"/>
        <v>0</v>
      </c>
      <c r="U247" s="195">
        <f t="shared" si="64"/>
        <v>0</v>
      </c>
      <c r="V247" s="195">
        <f t="shared" si="64"/>
        <v>0</v>
      </c>
      <c r="W247" s="195">
        <f t="shared" si="64"/>
        <v>0</v>
      </c>
      <c r="X247" s="195">
        <f t="shared" si="64"/>
        <v>0</v>
      </c>
      <c r="Y247" s="195">
        <f t="shared" si="64"/>
        <v>0</v>
      </c>
      <c r="AQ247" s="3"/>
    </row>
    <row r="248" spans="3:43" x14ac:dyDescent="0.25">
      <c r="H248" s="229"/>
      <c r="J248" s="106"/>
      <c r="K248" s="106"/>
      <c r="L248" s="106"/>
      <c r="M248" s="106"/>
      <c r="N248" s="106"/>
      <c r="O248" s="106"/>
      <c r="P248" s="106"/>
      <c r="Q248" s="106"/>
      <c r="R248" s="106"/>
      <c r="S248" s="106"/>
      <c r="T248" s="106"/>
      <c r="U248" s="106"/>
      <c r="V248" s="106"/>
      <c r="W248" s="106"/>
      <c r="X248" s="106"/>
      <c r="Y248" s="106"/>
    </row>
    <row r="249" spans="3:43" x14ac:dyDescent="0.2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25">
      <c r="H250" s="229"/>
      <c r="J250" s="106"/>
      <c r="K250" s="106"/>
      <c r="L250" s="106"/>
      <c r="M250" s="106"/>
      <c r="N250" s="106"/>
      <c r="O250" s="106"/>
      <c r="P250" s="106"/>
      <c r="Q250" s="106"/>
      <c r="R250" s="106"/>
      <c r="S250" s="106"/>
      <c r="T250" s="106"/>
      <c r="U250" s="106"/>
      <c r="V250" s="106"/>
      <c r="W250" s="106"/>
      <c r="X250" s="106"/>
      <c r="Y250" s="106"/>
    </row>
    <row r="251" spans="3:43" x14ac:dyDescent="0.25">
      <c r="E251" s="75" t="s">
        <v>496</v>
      </c>
      <c r="F251" s="86"/>
      <c r="H251" s="229"/>
      <c r="J251" s="106"/>
      <c r="K251" s="106"/>
      <c r="L251" s="106"/>
      <c r="M251" s="106"/>
      <c r="N251" s="106"/>
      <c r="O251" s="106"/>
      <c r="P251" s="106"/>
      <c r="Q251" s="106"/>
      <c r="R251" s="106"/>
      <c r="S251" s="106"/>
      <c r="T251" s="106"/>
      <c r="U251" s="106"/>
      <c r="V251" s="106"/>
      <c r="W251" s="106"/>
      <c r="X251" s="106"/>
      <c r="Y251" s="106"/>
    </row>
    <row r="252" spans="3:43" x14ac:dyDescent="0.25">
      <c r="C252" s="75"/>
      <c r="F252" s="95" t="s">
        <v>189</v>
      </c>
      <c r="G252" s="175" t="s">
        <v>170</v>
      </c>
      <c r="H252" s="175"/>
      <c r="I252" s="95"/>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75"/>
      <c r="F253" t="s">
        <v>190</v>
      </c>
      <c r="G253" s="97" t="s">
        <v>170</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25">
      <c r="C254" s="75"/>
      <c r="F254" t="s">
        <v>191</v>
      </c>
      <c r="G254" s="97" t="s">
        <v>170</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25">
      <c r="C255" s="75"/>
      <c r="F255" t="s">
        <v>192</v>
      </c>
      <c r="G255" s="97" t="s">
        <v>170</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25">
      <c r="C256" s="75"/>
      <c r="F256" t="s">
        <v>193</v>
      </c>
      <c r="G256" s="97" t="s">
        <v>170</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25">
      <c r="C257" s="75"/>
      <c r="F257" t="s">
        <v>194</v>
      </c>
      <c r="G257" s="97" t="s">
        <v>170</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25">
      <c r="C258" s="75"/>
      <c r="F258" t="s">
        <v>195</v>
      </c>
      <c r="G258" s="97" t="s">
        <v>170</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25">
      <c r="C259" s="75"/>
      <c r="F259" t="s">
        <v>196</v>
      </c>
      <c r="G259" s="97" t="s">
        <v>170</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25">
      <c r="C260" s="75"/>
      <c r="F260" s="96" t="s">
        <v>197</v>
      </c>
      <c r="G260" s="176" t="s">
        <v>170</v>
      </c>
      <c r="H260" s="176"/>
      <c r="I260" s="96"/>
      <c r="J260" s="195">
        <f t="shared" ref="J260:Y260" si="73">IF(AND(J$192 = 0, J$198), J$200 * J31 * J42 / (1 + $H234) / $H53, 0)</f>
        <v>629.28703686960819</v>
      </c>
      <c r="K260" s="195">
        <f t="shared" si="73"/>
        <v>0</v>
      </c>
      <c r="L260" s="195">
        <f t="shared" si="73"/>
        <v>198.8245449015821</v>
      </c>
      <c r="M260" s="195">
        <f t="shared" si="73"/>
        <v>0</v>
      </c>
      <c r="N260" s="195">
        <f t="shared" si="73"/>
        <v>0</v>
      </c>
      <c r="O260" s="195">
        <f t="shared" si="73"/>
        <v>0</v>
      </c>
      <c r="P260" s="195">
        <f t="shared" si="73"/>
        <v>0</v>
      </c>
      <c r="Q260" s="195">
        <f t="shared" si="73"/>
        <v>0</v>
      </c>
      <c r="R260" s="195">
        <f t="shared" si="73"/>
        <v>0</v>
      </c>
      <c r="S260" s="195">
        <f t="shared" si="73"/>
        <v>0</v>
      </c>
      <c r="T260" s="195">
        <f t="shared" si="73"/>
        <v>0</v>
      </c>
      <c r="U260" s="195">
        <f t="shared" si="73"/>
        <v>0</v>
      </c>
      <c r="V260" s="195">
        <f t="shared" si="73"/>
        <v>0</v>
      </c>
      <c r="W260" s="195">
        <f t="shared" si="73"/>
        <v>0</v>
      </c>
      <c r="X260" s="195">
        <f t="shared" si="73"/>
        <v>0</v>
      </c>
      <c r="Y260" s="195">
        <f t="shared" si="73"/>
        <v>0</v>
      </c>
      <c r="AQ260" s="3"/>
    </row>
    <row r="261" spans="2:43" x14ac:dyDescent="0.25">
      <c r="H261" s="229"/>
    </row>
    <row r="262" spans="2:43" x14ac:dyDescent="0.25">
      <c r="B262" s="85" t="s">
        <v>497</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25">
      <c r="H263" s="229"/>
      <c r="J263" s="97"/>
      <c r="K263" s="97"/>
      <c r="L263" s="97"/>
      <c r="M263" s="97"/>
      <c r="N263" s="97"/>
      <c r="O263" s="97"/>
      <c r="P263" s="97"/>
      <c r="Q263" s="97"/>
      <c r="R263" s="97"/>
      <c r="S263" s="97"/>
      <c r="T263" s="97"/>
      <c r="U263" s="97"/>
      <c r="V263" s="97"/>
      <c r="W263" s="97"/>
      <c r="X263" s="97"/>
      <c r="Y263" s="97"/>
    </row>
    <row r="264" spans="2:43" x14ac:dyDescent="0.25">
      <c r="C264" s="86" t="s">
        <v>498</v>
      </c>
      <c r="H264" s="229"/>
      <c r="J264" s="97"/>
      <c r="K264" s="97"/>
      <c r="L264" s="97"/>
      <c r="M264" s="97"/>
      <c r="N264" s="97"/>
      <c r="O264" s="97"/>
      <c r="P264" s="97"/>
      <c r="Q264" s="97"/>
      <c r="R264" s="97"/>
      <c r="S264" s="97"/>
      <c r="T264" s="97"/>
      <c r="U264" s="97"/>
      <c r="V264" s="97"/>
      <c r="W264" s="97"/>
      <c r="X264" s="97"/>
      <c r="Y264" s="97"/>
    </row>
    <row r="265" spans="2:43" x14ac:dyDescent="0.25">
      <c r="H265" s="229"/>
      <c r="J265" s="97"/>
      <c r="K265" s="97"/>
      <c r="L265" s="97"/>
      <c r="M265" s="97"/>
      <c r="N265" s="97"/>
      <c r="O265" s="97"/>
      <c r="P265" s="97"/>
      <c r="Q265" s="97"/>
      <c r="R265" s="97"/>
      <c r="S265" s="97"/>
      <c r="T265" s="97"/>
      <c r="U265" s="97"/>
      <c r="V265" s="97"/>
      <c r="W265" s="97"/>
      <c r="X265" s="97"/>
      <c r="Y265" s="97"/>
    </row>
    <row r="266" spans="2:43" x14ac:dyDescent="0.2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25">
      <c r="H267" s="229"/>
    </row>
    <row r="268" spans="2:43" x14ac:dyDescent="0.25">
      <c r="E268" s="75" t="s">
        <v>499</v>
      </c>
      <c r="F268" s="86"/>
      <c r="H268" s="235" t="s">
        <v>500</v>
      </c>
      <c r="J268" s="97"/>
      <c r="K268" s="97"/>
      <c r="L268" s="97"/>
      <c r="M268" s="97"/>
      <c r="N268" s="97"/>
      <c r="O268" s="97"/>
      <c r="P268" s="97"/>
      <c r="Q268" s="97"/>
      <c r="R268" s="97"/>
      <c r="S268" s="97"/>
      <c r="T268" s="97"/>
      <c r="U268" s="97"/>
      <c r="V268" s="97"/>
      <c r="W268" s="97"/>
      <c r="X268" s="97"/>
      <c r="Y268" s="97"/>
    </row>
    <row r="269" spans="2:43" x14ac:dyDescent="0.25">
      <c r="C269" s="75"/>
      <c r="F269" s="95" t="s">
        <v>189</v>
      </c>
      <c r="G269" s="95" t="s">
        <v>170</v>
      </c>
      <c r="H269" s="149">
        <f t="shared" ref="H269:H277" si="74">SUM(J269:Y269)</f>
        <v>2018.8190300083822</v>
      </c>
      <c r="I269" s="222"/>
      <c r="J269" s="222">
        <f t="shared" ref="J269:Y269" si="75">J239 + J252 + J168</f>
        <v>1029.4676477044752</v>
      </c>
      <c r="K269" s="222">
        <f t="shared" si="75"/>
        <v>1.475150673439297</v>
      </c>
      <c r="L269" s="222">
        <f t="shared" si="75"/>
        <v>320.32460320029622</v>
      </c>
      <c r="M269" s="222">
        <f t="shared" si="75"/>
        <v>0.42215552100263243</v>
      </c>
      <c r="N269" s="222">
        <f t="shared" si="75"/>
        <v>353.42538958025506</v>
      </c>
      <c r="O269" s="222">
        <f t="shared" si="75"/>
        <v>101.42555404352905</v>
      </c>
      <c r="P269" s="222">
        <f t="shared" si="75"/>
        <v>325.85676040973658</v>
      </c>
      <c r="Q269" s="222">
        <f t="shared" si="75"/>
        <v>24.56660256206402</v>
      </c>
      <c r="R269" s="222">
        <f t="shared" si="75"/>
        <v>-8.5839214331727476</v>
      </c>
      <c r="S269" s="222">
        <f t="shared" si="75"/>
        <v>0</v>
      </c>
      <c r="T269" s="222">
        <f t="shared" si="75"/>
        <v>-5.2440981156424815</v>
      </c>
      <c r="U269" s="222">
        <f t="shared" si="75"/>
        <v>0</v>
      </c>
      <c r="V269" s="222">
        <f t="shared" si="75"/>
        <v>-0.27496589799412696</v>
      </c>
      <c r="W269" s="222">
        <f t="shared" si="75"/>
        <v>0</v>
      </c>
      <c r="X269" s="222">
        <f t="shared" si="75"/>
        <v>-124.04184823960645</v>
      </c>
      <c r="Y269" s="222">
        <f t="shared" si="75"/>
        <v>0</v>
      </c>
      <c r="AQ269" s="3"/>
    </row>
    <row r="270" spans="2:43" x14ac:dyDescent="0.25">
      <c r="C270" s="75"/>
      <c r="F270" t="s">
        <v>190</v>
      </c>
      <c r="G270" t="s">
        <v>170</v>
      </c>
      <c r="H270" s="151">
        <f t="shared" si="74"/>
        <v>1972.1946404299547</v>
      </c>
      <c r="I270" s="106"/>
      <c r="J270" s="106">
        <f t="shared" ref="J270:Y270" si="76">J240 + J253 + J169</f>
        <v>972.21735581317591</v>
      </c>
      <c r="K270" s="106">
        <f t="shared" si="76"/>
        <v>1.890897805991457</v>
      </c>
      <c r="L270" s="106">
        <f t="shared" si="76"/>
        <v>325.93900243852482</v>
      </c>
      <c r="M270" s="106">
        <f t="shared" si="76"/>
        <v>0.46451942128555024</v>
      </c>
      <c r="N270" s="106">
        <f t="shared" si="76"/>
        <v>356.62218194465237</v>
      </c>
      <c r="O270" s="106">
        <f t="shared" si="76"/>
        <v>101.65863157787679</v>
      </c>
      <c r="P270" s="106">
        <f t="shared" si="76"/>
        <v>325.84068221828034</v>
      </c>
      <c r="Q270" s="106">
        <f t="shared" si="76"/>
        <v>21.719337234548583</v>
      </c>
      <c r="R270" s="106">
        <f t="shared" si="76"/>
        <v>-8.999247221555871</v>
      </c>
      <c r="S270" s="106">
        <f t="shared" si="76"/>
        <v>0</v>
      </c>
      <c r="T270" s="106">
        <f t="shared" si="76"/>
        <v>-5.3302963156471259</v>
      </c>
      <c r="U270" s="106">
        <f t="shared" si="76"/>
        <v>0</v>
      </c>
      <c r="V270" s="106">
        <f t="shared" si="76"/>
        <v>-0.2897743532589771</v>
      </c>
      <c r="W270" s="106">
        <f t="shared" si="76"/>
        <v>0</v>
      </c>
      <c r="X270" s="106">
        <f t="shared" si="76"/>
        <v>-119.53865013391952</v>
      </c>
      <c r="Y270" s="106">
        <f t="shared" si="76"/>
        <v>0</v>
      </c>
      <c r="AQ270" s="3"/>
    </row>
    <row r="271" spans="2:43" x14ac:dyDescent="0.25">
      <c r="C271" s="75"/>
      <c r="F271" t="s">
        <v>191</v>
      </c>
      <c r="G271" t="s">
        <v>170</v>
      </c>
      <c r="H271" s="151">
        <f t="shared" si="74"/>
        <v>1966.3250135239123</v>
      </c>
      <c r="I271" s="106"/>
      <c r="J271" s="106">
        <f t="shared" ref="J271:Y271" si="77">J241 + J254 + J170</f>
        <v>969.32385177801757</v>
      </c>
      <c r="K271" s="106">
        <f t="shared" si="77"/>
        <v>1.8852701339498155</v>
      </c>
      <c r="L271" s="106">
        <f t="shared" si="77"/>
        <v>324.9689458836483</v>
      </c>
      <c r="M271" s="106">
        <f t="shared" si="77"/>
        <v>0.46313692300791459</v>
      </c>
      <c r="N271" s="106">
        <f t="shared" si="77"/>
        <v>355.56080640315031</v>
      </c>
      <c r="O271" s="106">
        <f t="shared" si="77"/>
        <v>101.35607612675216</v>
      </c>
      <c r="P271" s="106">
        <f t="shared" si="77"/>
        <v>324.87091828310685</v>
      </c>
      <c r="Q271" s="106">
        <f t="shared" si="77"/>
        <v>21.654696349921949</v>
      </c>
      <c r="R271" s="106">
        <f t="shared" si="77"/>
        <v>-8.9724637476821911</v>
      </c>
      <c r="S271" s="106">
        <f t="shared" si="77"/>
        <v>0</v>
      </c>
      <c r="T271" s="106">
        <f t="shared" si="77"/>
        <v>-5.3144323385172232</v>
      </c>
      <c r="U271" s="106">
        <f t="shared" si="77"/>
        <v>0</v>
      </c>
      <c r="V271" s="106">
        <f t="shared" si="77"/>
        <v>-0.28891192958856343</v>
      </c>
      <c r="W271" s="106">
        <f t="shared" si="77"/>
        <v>0</v>
      </c>
      <c r="X271" s="106">
        <f t="shared" si="77"/>
        <v>-119.18288034185427</v>
      </c>
      <c r="Y271" s="106">
        <f t="shared" si="77"/>
        <v>0</v>
      </c>
      <c r="AQ271" s="3"/>
    </row>
    <row r="272" spans="2:43" x14ac:dyDescent="0.25">
      <c r="C272" s="75"/>
      <c r="F272" t="s">
        <v>192</v>
      </c>
      <c r="G272" t="s">
        <v>170</v>
      </c>
      <c r="H272" s="151">
        <f t="shared" si="74"/>
        <v>2022.3210342434727</v>
      </c>
      <c r="I272" s="106"/>
      <c r="J272" s="106">
        <f t="shared" ref="J272:Y272" si="78">J242 + J255 + J171</f>
        <v>959.26119343784148</v>
      </c>
      <c r="K272" s="106">
        <f t="shared" si="78"/>
        <v>1.9213265285492154</v>
      </c>
      <c r="L272" s="106">
        <f t="shared" si="78"/>
        <v>328.11903489757236</v>
      </c>
      <c r="M272" s="106">
        <f t="shared" si="78"/>
        <v>0.46073728886324655</v>
      </c>
      <c r="N272" s="106">
        <f t="shared" si="78"/>
        <v>358.16301625073783</v>
      </c>
      <c r="O272" s="106">
        <f t="shared" si="78"/>
        <v>101.74567918212948</v>
      </c>
      <c r="P272" s="106">
        <f t="shared" si="78"/>
        <v>385.64669925414705</v>
      </c>
      <c r="Q272" s="106">
        <f t="shared" si="78"/>
        <v>20.293247909084666</v>
      </c>
      <c r="R272" s="106">
        <f t="shared" si="78"/>
        <v>-9.1716396433198568</v>
      </c>
      <c r="S272" s="106">
        <f t="shared" si="78"/>
        <v>0</v>
      </c>
      <c r="T272" s="106">
        <f t="shared" si="78"/>
        <v>-5.3426615179693382</v>
      </c>
      <c r="U272" s="106">
        <f t="shared" si="78"/>
        <v>0</v>
      </c>
      <c r="V272" s="106">
        <f t="shared" si="78"/>
        <v>-0.29315489526929772</v>
      </c>
      <c r="W272" s="106">
        <f t="shared" si="78"/>
        <v>0</v>
      </c>
      <c r="X272" s="106">
        <f t="shared" si="78"/>
        <v>-118.48244444889401</v>
      </c>
      <c r="Y272" s="106">
        <f t="shared" si="78"/>
        <v>0</v>
      </c>
      <c r="AQ272" s="3"/>
    </row>
    <row r="273" spans="2:43" x14ac:dyDescent="0.25">
      <c r="C273" s="75"/>
      <c r="F273" t="s">
        <v>193</v>
      </c>
      <c r="G273" t="s">
        <v>170</v>
      </c>
      <c r="H273" s="151">
        <f t="shared" si="74"/>
        <v>2250.7313682537801</v>
      </c>
      <c r="I273" s="106"/>
      <c r="J273" s="106">
        <f t="shared" ref="J273:Y273" si="79">J243 + J256 + J172</f>
        <v>954.53576883962558</v>
      </c>
      <c r="K273" s="106">
        <f t="shared" si="79"/>
        <v>1.9118618658470026</v>
      </c>
      <c r="L273" s="106">
        <f t="shared" si="79"/>
        <v>326.50268497196862</v>
      </c>
      <c r="M273" s="106">
        <f t="shared" si="79"/>
        <v>0.45846764704618626</v>
      </c>
      <c r="N273" s="106">
        <f t="shared" si="79"/>
        <v>356.39866641699047</v>
      </c>
      <c r="O273" s="106">
        <f t="shared" si="79"/>
        <v>101.24446893985299</v>
      </c>
      <c r="P273" s="106">
        <f t="shared" si="79"/>
        <v>622.1194684121848</v>
      </c>
      <c r="Q273" s="106">
        <f t="shared" si="79"/>
        <v>20.19328117061627</v>
      </c>
      <c r="R273" s="106">
        <f t="shared" si="79"/>
        <v>-9.1264591524660652</v>
      </c>
      <c r="S273" s="106">
        <f t="shared" si="79"/>
        <v>0</v>
      </c>
      <c r="T273" s="106">
        <f t="shared" si="79"/>
        <v>-5.3163429883241706</v>
      </c>
      <c r="U273" s="106">
        <f t="shared" si="79"/>
        <v>0</v>
      </c>
      <c r="V273" s="106">
        <f t="shared" si="79"/>
        <v>-0.29171078248471988</v>
      </c>
      <c r="W273" s="106">
        <f t="shared" si="79"/>
        <v>0</v>
      </c>
      <c r="X273" s="106">
        <f t="shared" si="79"/>
        <v>-117.89878708707683</v>
      </c>
      <c r="Y273" s="106">
        <f t="shared" si="79"/>
        <v>0</v>
      </c>
      <c r="AQ273" s="3"/>
    </row>
    <row r="274" spans="2:43" x14ac:dyDescent="0.25">
      <c r="C274" s="75"/>
      <c r="F274" t="s">
        <v>194</v>
      </c>
      <c r="G274" t="s">
        <v>170</v>
      </c>
      <c r="H274" s="151">
        <f t="shared" si="74"/>
        <v>0</v>
      </c>
      <c r="I274" s="106"/>
      <c r="J274" s="106">
        <f t="shared" ref="J274:Y274" si="80">J244 + J257 + J173</f>
        <v>0</v>
      </c>
      <c r="K274" s="106">
        <f t="shared" si="80"/>
        <v>0</v>
      </c>
      <c r="L274" s="106">
        <f t="shared" si="80"/>
        <v>0</v>
      </c>
      <c r="M274" s="106">
        <f t="shared" si="80"/>
        <v>0</v>
      </c>
      <c r="N274" s="106">
        <f t="shared" si="80"/>
        <v>0</v>
      </c>
      <c r="O274" s="106">
        <f t="shared" si="80"/>
        <v>0</v>
      </c>
      <c r="P274" s="106">
        <f t="shared" si="80"/>
        <v>0</v>
      </c>
      <c r="Q274" s="106">
        <f t="shared" si="80"/>
        <v>0</v>
      </c>
      <c r="R274" s="106">
        <f t="shared" si="80"/>
        <v>0</v>
      </c>
      <c r="S274" s="106">
        <f t="shared" si="80"/>
        <v>0</v>
      </c>
      <c r="T274" s="106">
        <f t="shared" si="80"/>
        <v>0</v>
      </c>
      <c r="U274" s="106">
        <f t="shared" si="80"/>
        <v>0</v>
      </c>
      <c r="V274" s="106">
        <f t="shared" si="80"/>
        <v>0</v>
      </c>
      <c r="W274" s="106">
        <f t="shared" si="80"/>
        <v>0</v>
      </c>
      <c r="X274" s="106">
        <f t="shared" si="80"/>
        <v>0</v>
      </c>
      <c r="Y274" s="106">
        <f t="shared" si="80"/>
        <v>0</v>
      </c>
      <c r="AQ274" s="3"/>
    </row>
    <row r="275" spans="2:43" x14ac:dyDescent="0.25">
      <c r="C275" s="75"/>
      <c r="F275" t="s">
        <v>195</v>
      </c>
      <c r="G275" t="s">
        <v>170</v>
      </c>
      <c r="H275" s="151">
        <f t="shared" si="74"/>
        <v>2255.284543069155</v>
      </c>
      <c r="I275" s="106"/>
      <c r="J275" s="106">
        <f t="shared" ref="J275:Y275" si="81">J245 + J258 + J174</f>
        <v>946.14629430880848</v>
      </c>
      <c r="K275" s="106">
        <f t="shared" si="81"/>
        <v>1.8950583924167066</v>
      </c>
      <c r="L275" s="106">
        <f t="shared" si="81"/>
        <v>323.6330324673321</v>
      </c>
      <c r="M275" s="106">
        <f t="shared" si="81"/>
        <v>0.45443814624206935</v>
      </c>
      <c r="N275" s="106">
        <f t="shared" si="81"/>
        <v>386.71307910533505</v>
      </c>
      <c r="O275" s="106">
        <f t="shared" si="81"/>
        <v>130.84407260187126</v>
      </c>
      <c r="P275" s="106">
        <f t="shared" si="81"/>
        <v>460.18777725510688</v>
      </c>
      <c r="Q275" s="106">
        <f t="shared" si="81"/>
        <v>20.015801160327651</v>
      </c>
      <c r="R275" s="106">
        <f t="shared" si="81"/>
        <v>-9.0462461325713406</v>
      </c>
      <c r="S275" s="106">
        <f t="shared" si="81"/>
        <v>0</v>
      </c>
      <c r="T275" s="106">
        <f t="shared" si="81"/>
        <v>-5.2696173175283514</v>
      </c>
      <c r="U275" s="106">
        <f t="shared" si="81"/>
        <v>0</v>
      </c>
      <c r="V275" s="106">
        <f t="shared" si="81"/>
        <v>-0.28914691818553773</v>
      </c>
      <c r="W275" s="106">
        <f t="shared" si="81"/>
        <v>0</v>
      </c>
      <c r="X275" s="106">
        <f t="shared" si="81"/>
        <v>0</v>
      </c>
      <c r="Y275" s="106">
        <f t="shared" si="81"/>
        <v>0</v>
      </c>
      <c r="AQ275" s="3"/>
    </row>
    <row r="276" spans="2:43" x14ac:dyDescent="0.25">
      <c r="C276" s="75"/>
      <c r="F276" t="s">
        <v>196</v>
      </c>
      <c r="G276" t="s">
        <v>170</v>
      </c>
      <c r="H276" s="151">
        <f t="shared" si="74"/>
        <v>1899.4936163464222</v>
      </c>
      <c r="I276" s="106"/>
      <c r="J276" s="106">
        <f t="shared" ref="J276:Y276" si="82">J246 + J259 + J175</f>
        <v>931.59019747328853</v>
      </c>
      <c r="K276" s="106">
        <f t="shared" si="82"/>
        <v>1.865903647917988</v>
      </c>
      <c r="L276" s="106">
        <f t="shared" si="82"/>
        <v>318.65406273706549</v>
      </c>
      <c r="M276" s="106">
        <f t="shared" si="82"/>
        <v>0.4474467901460375</v>
      </c>
      <c r="N276" s="106">
        <f t="shared" si="82"/>
        <v>512.4926724676294</v>
      </c>
      <c r="O276" s="106">
        <f t="shared" si="82"/>
        <v>128.83108686953477</v>
      </c>
      <c r="P276" s="106">
        <f t="shared" si="82"/>
        <v>0</v>
      </c>
      <c r="Q276" s="106">
        <f t="shared" si="82"/>
        <v>19.707865757861072</v>
      </c>
      <c r="R276" s="106">
        <f t="shared" si="82"/>
        <v>-8.9070731151471687</v>
      </c>
      <c r="S276" s="106">
        <f t="shared" si="82"/>
        <v>0</v>
      </c>
      <c r="T276" s="106">
        <f t="shared" si="82"/>
        <v>-5.1885462818740695</v>
      </c>
      <c r="U276" s="106">
        <f t="shared" si="82"/>
        <v>0</v>
      </c>
      <c r="V276" s="106">
        <f t="shared" si="82"/>
        <v>0</v>
      </c>
      <c r="W276" s="106">
        <f t="shared" si="82"/>
        <v>0</v>
      </c>
      <c r="X276" s="106">
        <f t="shared" si="82"/>
        <v>0</v>
      </c>
      <c r="Y276" s="106">
        <f t="shared" si="82"/>
        <v>0</v>
      </c>
      <c r="AQ276" s="3"/>
    </row>
    <row r="277" spans="2:43" x14ac:dyDescent="0.25">
      <c r="C277" s="75"/>
      <c r="F277" s="96" t="s">
        <v>197</v>
      </c>
      <c r="G277" s="96" t="s">
        <v>170</v>
      </c>
      <c r="H277" s="150">
        <f t="shared" si="74"/>
        <v>1533.4280555080256</v>
      </c>
      <c r="I277" s="195"/>
      <c r="J277" s="195">
        <f t="shared" ref="J277:Y277" si="83">J247 + J260 + J176</f>
        <v>629.28703686960819</v>
      </c>
      <c r="K277" s="195">
        <f t="shared" si="83"/>
        <v>0</v>
      </c>
      <c r="L277" s="195">
        <f t="shared" si="83"/>
        <v>198.8245449015821</v>
      </c>
      <c r="M277" s="195">
        <f t="shared" si="83"/>
        <v>0</v>
      </c>
      <c r="N277" s="195">
        <f t="shared" si="83"/>
        <v>686.71739897442558</v>
      </c>
      <c r="O277" s="195">
        <f t="shared" si="83"/>
        <v>0</v>
      </c>
      <c r="P277" s="195">
        <f t="shared" si="83"/>
        <v>0</v>
      </c>
      <c r="Q277" s="195">
        <f t="shared" si="83"/>
        <v>18.599074762409721</v>
      </c>
      <c r="R277" s="195">
        <f t="shared" si="83"/>
        <v>0</v>
      </c>
      <c r="S277" s="195">
        <f t="shared" si="83"/>
        <v>0</v>
      </c>
      <c r="T277" s="195">
        <f t="shared" si="83"/>
        <v>0</v>
      </c>
      <c r="U277" s="195">
        <f t="shared" si="83"/>
        <v>0</v>
      </c>
      <c r="V277" s="195">
        <f t="shared" si="83"/>
        <v>0</v>
      </c>
      <c r="W277" s="195">
        <f t="shared" si="83"/>
        <v>0</v>
      </c>
      <c r="X277" s="195">
        <f t="shared" si="83"/>
        <v>0</v>
      </c>
      <c r="Y277" s="195">
        <f t="shared" si="83"/>
        <v>0</v>
      </c>
      <c r="AQ277" s="3"/>
    </row>
    <row r="278" spans="2:43" x14ac:dyDescent="0.25">
      <c r="H278" s="229"/>
    </row>
    <row r="279" spans="2:43" x14ac:dyDescent="0.25">
      <c r="B279" s="85" t="s">
        <v>229</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25">
      <c r="E281" t="s">
        <v>230</v>
      </c>
      <c r="G281" s="6" t="s">
        <v>54</v>
      </c>
      <c r="H281" s="113">
        <f t="array" ref="H281">SUM(IF(ISERROR(H23:Y277), 1))</f>
        <v>0</v>
      </c>
    </row>
    <row r="283" spans="2:43" x14ac:dyDescent="0.25">
      <c r="B283" s="85" t="s">
        <v>105</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H38 &amp; IF(H38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501</v>
      </c>
    </row>
    <row r="10" spans="1:43" x14ac:dyDescent="0.25">
      <c r="C10" s="86" t="s">
        <v>502</v>
      </c>
    </row>
    <row r="11" spans="1:43" x14ac:dyDescent="0.25">
      <c r="D11" s="75"/>
      <c r="AQ11" s="3"/>
    </row>
    <row r="12" spans="1:43" x14ac:dyDescent="0.25">
      <c r="B12" s="85" t="s">
        <v>503</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25">
      <c r="G13" s="61"/>
    </row>
    <row r="14" spans="1:43" x14ac:dyDescent="0.2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25">
      <c r="E16" s="94" t="s">
        <v>504</v>
      </c>
      <c r="G16" s="94" t="s">
        <v>210</v>
      </c>
      <c r="J16" s="167">
        <f>'Volume adjustments'!J275</f>
        <v>1547748.3978608586</v>
      </c>
      <c r="K16" s="167">
        <f>'Volume adjustments'!K275</f>
        <v>7577.1293347193641</v>
      </c>
      <c r="L16" s="167">
        <f>'Volume adjustments'!L275</f>
        <v>100775.69911688015</v>
      </c>
      <c r="M16" s="167">
        <f>'Volume adjustments'!M275</f>
        <v>589.96666666666681</v>
      </c>
      <c r="N16" s="167">
        <f>'Volume adjustments'!N275</f>
        <v>11392.790444138975</v>
      </c>
      <c r="O16" s="167">
        <f>'Volume adjustments'!O275</f>
        <v>769.46796766216858</v>
      </c>
      <c r="P16" s="167">
        <f>'Volume adjustments'!P275</f>
        <v>933.12524752410434</v>
      </c>
      <c r="Q16" s="167">
        <f>'Volume adjustments'!Q275</f>
        <v>1129.7489873710761</v>
      </c>
      <c r="R16" s="167">
        <f>'Volume adjustments'!R275</f>
        <v>24062.24357489097</v>
      </c>
      <c r="S16" s="167">
        <f>'Volume adjustments'!S275</f>
        <v>0</v>
      </c>
      <c r="T16" s="167">
        <f>'Volume adjustments'!T275</f>
        <v>372</v>
      </c>
      <c r="U16" s="167">
        <f>'Volume adjustments'!U275</f>
        <v>0</v>
      </c>
      <c r="V16" s="167">
        <f>'Volume adjustments'!V275</f>
        <v>36</v>
      </c>
      <c r="W16" s="167">
        <f>'Volume adjustments'!W275</f>
        <v>0</v>
      </c>
      <c r="X16" s="167">
        <f>'Volume adjustments'!X275</f>
        <v>176</v>
      </c>
      <c r="Y16" s="167">
        <f>'Volume adjustments'!Y275</f>
        <v>0</v>
      </c>
    </row>
    <row r="17" spans="5:27" x14ac:dyDescent="0.25">
      <c r="E17" s="94" t="s">
        <v>505</v>
      </c>
      <c r="G17" s="94" t="s">
        <v>205</v>
      </c>
      <c r="J17" s="170">
        <f>'Volume adjustments'!J264</f>
        <v>4312022.9369161977</v>
      </c>
      <c r="K17" s="170">
        <f>'Volume adjustments'!K264</f>
        <v>22479.962563972036</v>
      </c>
      <c r="L17" s="170">
        <f>'Volume adjustments'!L264</f>
        <v>1367856.8240003353</v>
      </c>
      <c r="M17" s="170">
        <f>'Volume adjustments'!M264</f>
        <v>4048.8464150818595</v>
      </c>
      <c r="N17" s="170">
        <f>'Volume adjustments'!N264</f>
        <v>1847574.2025812217</v>
      </c>
      <c r="O17" s="170">
        <f>'Volume adjustments'!O264</f>
        <v>664379.16590689763</v>
      </c>
      <c r="P17" s="170">
        <f>'Volume adjustments'!P264</f>
        <v>2302753.5774311875</v>
      </c>
      <c r="Q17" s="170">
        <f>'Volume adjustments'!Q264</f>
        <v>105037.41424637056</v>
      </c>
      <c r="R17" s="170">
        <f>'Volume adjustments'!R264</f>
        <v>55431.522778892366</v>
      </c>
      <c r="S17" s="170">
        <f>'Volume adjustments'!S264</f>
        <v>0</v>
      </c>
      <c r="T17" s="170">
        <f>'Volume adjustments'!T264</f>
        <v>41491.444099999993</v>
      </c>
      <c r="U17" s="170">
        <f>'Volume adjustments'!U264</f>
        <v>0</v>
      </c>
      <c r="V17" s="170">
        <f>'Volume adjustments'!V264</f>
        <v>2452.2659000000003</v>
      </c>
      <c r="W17" s="170">
        <f>'Volume adjustments'!W264</f>
        <v>0</v>
      </c>
      <c r="X17" s="170">
        <f>'Volume adjustments'!X264</f>
        <v>875923.16760000004</v>
      </c>
      <c r="Y17" s="170">
        <f>'Volume adjustments'!Y264</f>
        <v>0</v>
      </c>
    </row>
    <row r="18" spans="5:27" x14ac:dyDescent="0.25">
      <c r="J18" s="106"/>
      <c r="K18" s="106"/>
      <c r="L18" s="106"/>
      <c r="M18" s="106"/>
      <c r="N18" s="106"/>
      <c r="O18" s="106"/>
      <c r="P18" s="106"/>
      <c r="Q18" s="106"/>
      <c r="R18" s="106"/>
      <c r="S18" s="106"/>
      <c r="T18" s="106"/>
      <c r="U18" s="106"/>
      <c r="V18" s="106"/>
      <c r="W18" s="106"/>
      <c r="X18" s="106"/>
      <c r="Y18" s="106"/>
    </row>
    <row r="19" spans="5:27" x14ac:dyDescent="0.25">
      <c r="E19" s="105" t="s">
        <v>506</v>
      </c>
      <c r="J19" s="106"/>
      <c r="K19" s="106"/>
      <c r="L19" s="106"/>
      <c r="M19" s="106"/>
      <c r="N19" s="106"/>
      <c r="O19" s="106"/>
      <c r="P19" s="106"/>
      <c r="Q19" s="106"/>
      <c r="R19" s="106"/>
      <c r="S19" s="106"/>
      <c r="T19" s="106"/>
      <c r="U19" s="106"/>
      <c r="V19" s="106"/>
      <c r="W19" s="106"/>
      <c r="X19" s="106"/>
      <c r="Y19" s="106"/>
    </row>
    <row r="20" spans="5:27" x14ac:dyDescent="0.25">
      <c r="E20" s="86" t="s">
        <v>507</v>
      </c>
      <c r="J20" s="106"/>
      <c r="K20" s="106"/>
      <c r="L20" s="106"/>
      <c r="M20" s="106"/>
      <c r="N20" s="106"/>
      <c r="O20" s="106"/>
      <c r="P20" s="106"/>
      <c r="Q20" s="106"/>
      <c r="R20" s="106"/>
      <c r="S20" s="106"/>
      <c r="T20" s="106"/>
      <c r="U20" s="106"/>
      <c r="V20" s="106"/>
      <c r="W20" s="106"/>
      <c r="X20" s="106"/>
      <c r="Y20" s="106"/>
    </row>
    <row r="21" spans="5:27" x14ac:dyDescent="0.25">
      <c r="E21" s="105"/>
      <c r="F21" s="95" t="s">
        <v>332</v>
      </c>
      <c r="G21" s="95" t="s">
        <v>259</v>
      </c>
      <c r="H21" s="236"/>
      <c r="I21" s="95"/>
      <c r="J21" s="170">
        <f>'Inputs by customer type'!J187</f>
        <v>2494</v>
      </c>
      <c r="K21" s="170">
        <f>'Inputs by customer type'!K187</f>
        <v>0</v>
      </c>
      <c r="L21" s="170">
        <f>'Inputs by customer type'!L187</f>
        <v>2240</v>
      </c>
      <c r="M21" s="170">
        <f>'Inputs by customer type'!M187</f>
        <v>0</v>
      </c>
      <c r="N21" s="170">
        <f>'Inputs by customer type'!N187</f>
        <v>2965</v>
      </c>
      <c r="O21" s="170">
        <f>'Inputs by customer type'!O187</f>
        <v>2965</v>
      </c>
      <c r="P21" s="170">
        <f>'Inputs by customer type'!P187</f>
        <v>0</v>
      </c>
      <c r="Q21" s="117"/>
      <c r="R21" s="170">
        <f>'Inputs by customer type'!R187</f>
        <v>0</v>
      </c>
      <c r="S21" s="170">
        <f>'Inputs by customer type'!S187</f>
        <v>0</v>
      </c>
      <c r="T21" s="170">
        <f>'Inputs by customer type'!T187</f>
        <v>0</v>
      </c>
      <c r="U21" s="170">
        <f>'Inputs by customer type'!U187</f>
        <v>0</v>
      </c>
      <c r="V21" s="170">
        <f>'Inputs by customer type'!V187</f>
        <v>0</v>
      </c>
      <c r="W21" s="170">
        <f>'Inputs by customer type'!W187</f>
        <v>0</v>
      </c>
      <c r="X21" s="170">
        <f>'Inputs by customer type'!X187</f>
        <v>0</v>
      </c>
      <c r="Y21" s="170">
        <f>'Inputs by customer type'!Y187</f>
        <v>0</v>
      </c>
    </row>
    <row r="22" spans="5:27" x14ac:dyDescent="0.25">
      <c r="E22" s="105"/>
      <c r="F22" t="s">
        <v>333</v>
      </c>
      <c r="G22" t="s">
        <v>259</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61585</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13738.9272</v>
      </c>
      <c r="Y22" s="167">
        <f>'Inputs by customer type'!Y188</f>
        <v>13738.9272</v>
      </c>
    </row>
    <row r="23" spans="5:27" x14ac:dyDescent="0.25">
      <c r="E23" s="105"/>
      <c r="F23" s="96" t="s">
        <v>508</v>
      </c>
      <c r="G23" s="96" t="s">
        <v>262</v>
      </c>
      <c r="H23" s="96"/>
      <c r="I23" s="96"/>
      <c r="J23" s="237"/>
      <c r="K23" s="237"/>
      <c r="L23" s="237"/>
      <c r="M23" s="237"/>
      <c r="N23" s="237"/>
      <c r="O23" s="237"/>
      <c r="P23" s="237"/>
      <c r="Q23" s="238">
        <f>'Inputs by customer type'!Q190</f>
        <v>0</v>
      </c>
      <c r="R23" s="237"/>
      <c r="S23" s="237"/>
      <c r="T23" s="237"/>
      <c r="U23" s="237"/>
      <c r="V23" s="237"/>
      <c r="W23" s="237"/>
      <c r="X23" s="237"/>
      <c r="Y23" s="237"/>
    </row>
    <row r="24" spans="5:27" x14ac:dyDescent="0.25">
      <c r="J24" s="106"/>
      <c r="K24" s="106"/>
      <c r="L24" s="106"/>
      <c r="M24" s="106"/>
      <c r="N24" s="106"/>
      <c r="O24" s="106"/>
      <c r="P24" s="106"/>
      <c r="Q24" s="106"/>
      <c r="R24" s="106"/>
      <c r="S24" s="106"/>
      <c r="T24" s="106"/>
      <c r="U24" s="106"/>
      <c r="V24" s="106"/>
      <c r="W24" s="106"/>
      <c r="X24" s="106"/>
      <c r="Y24" s="106"/>
    </row>
    <row r="25" spans="5:27" x14ac:dyDescent="0.25">
      <c r="E25" s="105" t="s">
        <v>509</v>
      </c>
      <c r="J25" s="106"/>
      <c r="K25" s="106"/>
      <c r="L25" s="106"/>
      <c r="M25" s="106"/>
      <c r="N25" s="106"/>
      <c r="O25" s="106"/>
      <c r="P25" s="106"/>
      <c r="Q25" s="106"/>
      <c r="R25" s="106"/>
      <c r="S25" s="106"/>
      <c r="T25" s="106"/>
      <c r="U25" s="106"/>
      <c r="V25" s="106"/>
      <c r="W25" s="106"/>
      <c r="X25" s="106"/>
      <c r="Y25" s="106"/>
    </row>
    <row r="26" spans="5:27" x14ac:dyDescent="0.25">
      <c r="E26" s="86" t="s">
        <v>510</v>
      </c>
      <c r="I26" t="s">
        <v>152</v>
      </c>
      <c r="J26" s="106"/>
      <c r="K26" s="106"/>
      <c r="L26" s="106"/>
      <c r="M26" s="106"/>
      <c r="N26" s="106"/>
      <c r="O26" s="106"/>
      <c r="P26" s="106"/>
      <c r="Q26" s="106"/>
      <c r="R26" s="106"/>
      <c r="S26" s="106"/>
      <c r="T26" s="106"/>
      <c r="U26" s="106"/>
      <c r="V26" s="106"/>
      <c r="W26" s="106"/>
      <c r="X26" s="106"/>
      <c r="Y26" s="106"/>
      <c r="AA26" t="s">
        <v>851</v>
      </c>
    </row>
    <row r="27" spans="5:27" x14ac:dyDescent="0.25">
      <c r="F27" s="95" t="s">
        <v>332</v>
      </c>
      <c r="G27" s="95" t="s">
        <v>275</v>
      </c>
      <c r="H27" s="175"/>
      <c r="I27" s="95"/>
      <c r="J27" s="147">
        <f t="shared" ref="J27:Y27" si="0">J21 * J$16</f>
        <v>3860084504.2649813</v>
      </c>
      <c r="K27" s="147">
        <f t="shared" si="0"/>
        <v>0</v>
      </c>
      <c r="L27" s="147">
        <f t="shared" si="0"/>
        <v>225737566.02181152</v>
      </c>
      <c r="M27" s="147">
        <f t="shared" si="0"/>
        <v>0</v>
      </c>
      <c r="N27" s="147">
        <f t="shared" si="0"/>
        <v>33779623.666872062</v>
      </c>
      <c r="O27" s="147">
        <f t="shared" si="0"/>
        <v>2281472.5241183299</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25">
      <c r="F28" t="s">
        <v>333</v>
      </c>
      <c r="G28" t="s">
        <v>275</v>
      </c>
      <c r="H28" s="97"/>
      <c r="J28" s="168">
        <f t="shared" ref="J28:Y28" si="1">J22 * J$16</f>
        <v>0</v>
      </c>
      <c r="K28" s="168">
        <f t="shared" si="1"/>
        <v>0</v>
      </c>
      <c r="L28" s="168">
        <f t="shared" si="1"/>
        <v>0</v>
      </c>
      <c r="M28" s="168">
        <f t="shared" si="1"/>
        <v>0</v>
      </c>
      <c r="N28" s="168">
        <f t="shared" si="1"/>
        <v>0</v>
      </c>
      <c r="O28" s="168">
        <f t="shared" si="1"/>
        <v>0</v>
      </c>
      <c r="P28" s="168">
        <f t="shared" si="1"/>
        <v>57466518.368771963</v>
      </c>
      <c r="Q28" s="168">
        <f t="shared" si="1"/>
        <v>0</v>
      </c>
      <c r="R28" s="168">
        <f t="shared" si="1"/>
        <v>0</v>
      </c>
      <c r="S28" s="168">
        <f t="shared" si="1"/>
        <v>0</v>
      </c>
      <c r="T28" s="168">
        <f t="shared" si="1"/>
        <v>0</v>
      </c>
      <c r="U28" s="168">
        <f t="shared" si="1"/>
        <v>0</v>
      </c>
      <c r="V28" s="168">
        <f t="shared" si="1"/>
        <v>0</v>
      </c>
      <c r="W28" s="168">
        <f t="shared" si="1"/>
        <v>0</v>
      </c>
      <c r="X28" s="168">
        <f t="shared" si="1"/>
        <v>2418051.1872</v>
      </c>
      <c r="Y28" s="168">
        <f t="shared" si="1"/>
        <v>0</v>
      </c>
    </row>
    <row r="29" spans="5:27" x14ac:dyDescent="0.25">
      <c r="F29" s="96" t="s">
        <v>508</v>
      </c>
      <c r="G29" s="96" t="s">
        <v>275</v>
      </c>
      <c r="H29" s="176"/>
      <c r="I29" s="96"/>
      <c r="J29" s="237"/>
      <c r="K29" s="237"/>
      <c r="L29" s="237"/>
      <c r="M29" s="237"/>
      <c r="N29" s="237"/>
      <c r="O29" s="237"/>
      <c r="P29" s="237"/>
      <c r="Q29" s="146">
        <f t="shared" ref="Q29" si="2">Q23 * Q$17</f>
        <v>0</v>
      </c>
      <c r="R29" s="237"/>
      <c r="S29" s="237"/>
      <c r="T29" s="237"/>
      <c r="U29" s="237"/>
      <c r="V29" s="237"/>
      <c r="W29" s="237"/>
      <c r="X29" s="237"/>
      <c r="Y29" s="237"/>
    </row>
    <row r="30" spans="5:27" x14ac:dyDescent="0.25">
      <c r="J30" s="106"/>
      <c r="K30" s="106"/>
      <c r="L30" s="106"/>
      <c r="M30" s="106"/>
      <c r="N30" s="106"/>
      <c r="O30" s="106"/>
      <c r="P30" s="106"/>
      <c r="Q30" s="106"/>
      <c r="R30" s="106"/>
      <c r="S30" s="106"/>
      <c r="T30" s="106"/>
      <c r="U30" s="106"/>
      <c r="V30" s="106"/>
      <c r="W30" s="106"/>
      <c r="X30" s="106"/>
      <c r="Y30" s="106"/>
    </row>
    <row r="31" spans="5:27" x14ac:dyDescent="0.25">
      <c r="E31" s="105" t="s">
        <v>511</v>
      </c>
      <c r="J31" s="106"/>
      <c r="K31" s="106"/>
      <c r="L31" s="106"/>
      <c r="M31" s="106"/>
      <c r="N31" s="106"/>
      <c r="O31" s="106"/>
      <c r="P31" s="106"/>
      <c r="Q31" s="106"/>
      <c r="R31" s="106"/>
      <c r="S31" s="106"/>
      <c r="T31" s="106"/>
      <c r="U31" s="106"/>
      <c r="V31" s="106"/>
      <c r="W31" s="106"/>
      <c r="X31" s="106"/>
      <c r="Y31" s="106"/>
    </row>
    <row r="32" spans="5:27" x14ac:dyDescent="0.25">
      <c r="E32" s="86" t="s">
        <v>512</v>
      </c>
      <c r="H32" s="174" t="s">
        <v>500</v>
      </c>
      <c r="J32" s="106"/>
      <c r="K32" s="106"/>
      <c r="L32" s="106"/>
      <c r="M32" s="106"/>
      <c r="N32" s="106"/>
      <c r="O32" s="106"/>
      <c r="P32" s="106"/>
      <c r="Q32" s="106"/>
      <c r="R32" s="106"/>
      <c r="S32" s="106"/>
      <c r="T32" s="106"/>
      <c r="U32" s="106"/>
      <c r="V32" s="106"/>
      <c r="W32" s="106"/>
      <c r="X32" s="106"/>
      <c r="Y32" s="106"/>
    </row>
    <row r="33" spans="2:43" x14ac:dyDescent="0.25">
      <c r="F33" s="95" t="s">
        <v>513</v>
      </c>
      <c r="G33" s="95" t="s">
        <v>275</v>
      </c>
      <c r="H33" s="149">
        <f>SUM(J33:Y33)</f>
        <v>4121883166.4777832</v>
      </c>
      <c r="I33" s="95"/>
      <c r="J33" s="222">
        <f t="shared" ref="J33:Y33" si="3">J27 +J29</f>
        <v>3860084504.2649813</v>
      </c>
      <c r="K33" s="222">
        <f t="shared" si="3"/>
        <v>0</v>
      </c>
      <c r="L33" s="222">
        <f t="shared" si="3"/>
        <v>225737566.02181152</v>
      </c>
      <c r="M33" s="222">
        <f t="shared" si="3"/>
        <v>0</v>
      </c>
      <c r="N33" s="222">
        <f t="shared" si="3"/>
        <v>33779623.666872062</v>
      </c>
      <c r="O33" s="222">
        <f t="shared" si="3"/>
        <v>2281472.5241183299</v>
      </c>
      <c r="P33" s="222">
        <f t="shared" si="3"/>
        <v>0</v>
      </c>
      <c r="Q33" s="222">
        <f t="shared" si="3"/>
        <v>0</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6" t="s">
        <v>514</v>
      </c>
      <c r="G34" s="96" t="s">
        <v>275</v>
      </c>
      <c r="H34" s="150">
        <f>SUM(J34:Y34)</f>
        <v>59884569.555971965</v>
      </c>
      <c r="I34" s="96"/>
      <c r="J34" s="227">
        <f t="shared" ref="J34:Y34" si="4">J28</f>
        <v>0</v>
      </c>
      <c r="K34" s="227">
        <f t="shared" si="4"/>
        <v>0</v>
      </c>
      <c r="L34" s="227">
        <f t="shared" si="4"/>
        <v>0</v>
      </c>
      <c r="M34" s="227">
        <f t="shared" si="4"/>
        <v>0</v>
      </c>
      <c r="N34" s="227">
        <f t="shared" si="4"/>
        <v>0</v>
      </c>
      <c r="O34" s="227">
        <f t="shared" si="4"/>
        <v>0</v>
      </c>
      <c r="P34" s="227">
        <f t="shared" si="4"/>
        <v>57466518.368771963</v>
      </c>
      <c r="Q34" s="227">
        <f t="shared" si="4"/>
        <v>0</v>
      </c>
      <c r="R34" s="227">
        <f t="shared" si="4"/>
        <v>0</v>
      </c>
      <c r="S34" s="227">
        <f t="shared" si="4"/>
        <v>0</v>
      </c>
      <c r="T34" s="227">
        <f t="shared" si="4"/>
        <v>0</v>
      </c>
      <c r="U34" s="227">
        <f t="shared" si="4"/>
        <v>0</v>
      </c>
      <c r="V34" s="227">
        <f t="shared" si="4"/>
        <v>0</v>
      </c>
      <c r="W34" s="227">
        <f t="shared" si="4"/>
        <v>0</v>
      </c>
      <c r="X34" s="227">
        <f t="shared" si="4"/>
        <v>2418051.1872</v>
      </c>
      <c r="Y34" s="227">
        <f t="shared" si="4"/>
        <v>0</v>
      </c>
    </row>
    <row r="36" spans="2:43" x14ac:dyDescent="0.25">
      <c r="B36" s="85" t="s">
        <v>229</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25">
      <c r="E38" t="s">
        <v>230</v>
      </c>
      <c r="G38" s="6" t="s">
        <v>54</v>
      </c>
      <c r="H38" s="113">
        <f t="array" ref="H38">SUM(IF(ISERROR(H16:Y35), 1))</f>
        <v>0</v>
      </c>
    </row>
    <row r="40" spans="2:43" x14ac:dyDescent="0.25">
      <c r="B40" s="85" t="s">
        <v>105</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v11 - 2026/27</v>
      </c>
    </row>
    <row r="4" spans="1:23" x14ac:dyDescent="0.25">
      <c r="A4" s="60" t="str">
        <f>H131 &amp; IF(H131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I5" s="161"/>
      <c r="J5" s="138"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3"/>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515</v>
      </c>
      <c r="D9" s="86"/>
    </row>
    <row r="10" spans="1:23" x14ac:dyDescent="0.25">
      <c r="C10" s="86" t="s">
        <v>516</v>
      </c>
      <c r="D10" s="86"/>
    </row>
    <row r="11" spans="1:23" x14ac:dyDescent="0.25">
      <c r="C11" s="86"/>
      <c r="D11" s="86" t="s">
        <v>517</v>
      </c>
    </row>
    <row r="12" spans="1:23" x14ac:dyDescent="0.25">
      <c r="C12" s="86"/>
      <c r="D12" s="86" t="s">
        <v>518</v>
      </c>
    </row>
    <row r="13" spans="1:23" x14ac:dyDescent="0.25">
      <c r="C13" s="86" t="s">
        <v>519</v>
      </c>
      <c r="D13" s="86"/>
    </row>
    <row r="15" spans="1:23" x14ac:dyDescent="0.25">
      <c r="B15" s="85" t="s">
        <v>520</v>
      </c>
      <c r="C15" s="85"/>
      <c r="D15" s="85"/>
      <c r="E15" s="85"/>
      <c r="F15" s="85"/>
      <c r="G15" s="85"/>
      <c r="H15" s="85"/>
      <c r="I15" s="85"/>
      <c r="J15" s="85"/>
      <c r="K15" s="85"/>
      <c r="L15" s="85"/>
      <c r="M15" s="85"/>
      <c r="N15" s="85"/>
      <c r="O15" s="85"/>
      <c r="P15" s="85"/>
      <c r="Q15" s="85"/>
      <c r="R15" s="85"/>
      <c r="S15" s="85"/>
      <c r="T15" s="85"/>
      <c r="U15" s="85"/>
      <c r="V15" s="85"/>
      <c r="W15" s="85"/>
    </row>
    <row r="16" spans="1:23" x14ac:dyDescent="0.25">
      <c r="H16" s="3"/>
      <c r="I16" s="3"/>
      <c r="J16" s="3"/>
      <c r="K16" s="3"/>
      <c r="L16" s="3"/>
      <c r="M16" s="3"/>
      <c r="N16" s="3"/>
      <c r="O16" s="3"/>
      <c r="P16" s="3"/>
      <c r="Q16" s="3"/>
      <c r="R16" s="3"/>
      <c r="S16" s="3"/>
      <c r="T16" s="3"/>
      <c r="U16" s="3"/>
      <c r="W16" s="3"/>
    </row>
    <row r="17" spans="3:25" x14ac:dyDescent="0.25">
      <c r="C17" s="86" t="s">
        <v>521</v>
      </c>
    </row>
    <row r="18" spans="3:25" x14ac:dyDescent="0.25">
      <c r="H18" s="3"/>
      <c r="I18" s="3"/>
      <c r="J18" s="3"/>
      <c r="K18" s="3"/>
      <c r="L18" s="3"/>
      <c r="M18" s="3"/>
      <c r="N18" s="3"/>
      <c r="O18" s="3"/>
      <c r="P18" s="3"/>
      <c r="Q18" s="3"/>
      <c r="R18" s="3"/>
      <c r="S18" s="3"/>
      <c r="T18" s="3"/>
      <c r="U18" s="3"/>
      <c r="W18" s="3"/>
    </row>
    <row r="19" spans="3:25" x14ac:dyDescent="0.2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25">
      <c r="H20" s="3"/>
    </row>
    <row r="21" spans="3:25" x14ac:dyDescent="0.25">
      <c r="D21" s="86" t="s">
        <v>522</v>
      </c>
      <c r="I21" s="3" t="s">
        <v>152</v>
      </c>
      <c r="J21" s="3"/>
      <c r="K21" s="3"/>
      <c r="L21" s="3"/>
      <c r="M21" s="3"/>
      <c r="N21" s="3"/>
      <c r="O21" s="3"/>
      <c r="P21" s="3"/>
      <c r="Q21" s="3"/>
      <c r="R21" s="3"/>
      <c r="S21" s="3"/>
      <c r="T21" s="3"/>
      <c r="U21" s="3"/>
      <c r="W21" s="3" t="s">
        <v>163</v>
      </c>
    </row>
    <row r="22" spans="3:25" x14ac:dyDescent="0.25">
      <c r="D22" s="86"/>
    </row>
    <row r="23" spans="3:25" x14ac:dyDescent="0.25">
      <c r="D23" s="105"/>
      <c r="E23" s="94" t="s">
        <v>309</v>
      </c>
      <c r="G23" s="94" t="s">
        <v>165</v>
      </c>
      <c r="H23" s="163">
        <f>'General inputs'!H96</f>
        <v>4.8399999999999999E-2</v>
      </c>
      <c r="I23" s="3"/>
      <c r="J23" s="3"/>
      <c r="K23" s="3"/>
      <c r="L23" s="3"/>
      <c r="M23" s="3"/>
      <c r="N23" s="3"/>
      <c r="O23" s="3"/>
      <c r="P23" s="3"/>
      <c r="Q23" s="3"/>
      <c r="R23" s="3"/>
      <c r="S23" s="3"/>
      <c r="T23" s="3"/>
      <c r="U23" s="3"/>
    </row>
    <row r="24" spans="3:25" x14ac:dyDescent="0.25">
      <c r="D24" s="105"/>
      <c r="E24" s="94" t="s">
        <v>161</v>
      </c>
      <c r="G24" s="94" t="s">
        <v>162</v>
      </c>
      <c r="H24" s="79">
        <f>'Fixed inputs'!H36</f>
        <v>40</v>
      </c>
      <c r="I24" s="3"/>
      <c r="J24" s="3"/>
      <c r="K24" s="3"/>
      <c r="L24" s="3"/>
      <c r="M24" s="3"/>
      <c r="N24" s="3"/>
      <c r="O24" s="3"/>
      <c r="P24" s="3"/>
      <c r="Q24" s="3"/>
      <c r="R24" s="3"/>
      <c r="S24" s="3"/>
      <c r="T24" s="3"/>
      <c r="U24" s="3"/>
      <c r="W24" s="3"/>
    </row>
    <row r="25" spans="3:25" x14ac:dyDescent="0.25">
      <c r="E25" s="94" t="s">
        <v>523</v>
      </c>
      <c r="G25" s="94" t="s">
        <v>165</v>
      </c>
      <c r="H25" s="239">
        <f>H23 / (1 - (1 + H23) ^ -H24)</f>
        <v>5.7006904129041573E-2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25">
      <c r="E28" s="75"/>
      <c r="F28" s="162"/>
      <c r="H28" s="3"/>
      <c r="I28" s="3"/>
      <c r="J28" s="3"/>
      <c r="K28" s="3"/>
      <c r="L28" s="3"/>
      <c r="M28" s="3"/>
      <c r="N28" s="3"/>
      <c r="O28" s="3"/>
      <c r="P28" s="3"/>
      <c r="Q28" s="3"/>
      <c r="R28" s="3"/>
      <c r="S28" s="3"/>
      <c r="T28" s="3"/>
      <c r="U28" s="3"/>
    </row>
    <row r="29" spans="3:25" x14ac:dyDescent="0.25">
      <c r="D29" s="86" t="s">
        <v>524</v>
      </c>
      <c r="F29" s="162"/>
      <c r="H29" s="3"/>
      <c r="I29" s="3"/>
      <c r="J29" s="3"/>
      <c r="K29" s="3"/>
      <c r="L29" s="3"/>
      <c r="M29" s="3"/>
      <c r="N29" s="3"/>
      <c r="O29" s="3"/>
      <c r="P29" s="3"/>
      <c r="Q29" s="3"/>
      <c r="R29" s="3"/>
      <c r="S29" s="3"/>
      <c r="T29" s="3"/>
      <c r="U29" s="3"/>
    </row>
    <row r="30" spans="3:25" x14ac:dyDescent="0.25">
      <c r="D30" s="86"/>
      <c r="F30" s="162"/>
      <c r="H30" s="3"/>
      <c r="I30" s="3"/>
      <c r="J30" s="3"/>
      <c r="K30" s="3"/>
      <c r="L30" s="3"/>
      <c r="M30" s="3"/>
      <c r="N30" s="3"/>
      <c r="O30" s="3"/>
      <c r="P30" s="3"/>
      <c r="Q30" s="3"/>
      <c r="R30" s="3"/>
      <c r="S30" s="3"/>
      <c r="T30" s="3"/>
      <c r="U30" s="3"/>
    </row>
    <row r="31" spans="3:25" x14ac:dyDescent="0.25">
      <c r="E31" t="s">
        <v>525</v>
      </c>
      <c r="F31" s="166"/>
      <c r="G31" s="94" t="s">
        <v>526</v>
      </c>
      <c r="H31" s="3"/>
      <c r="I31" s="3"/>
      <c r="J31" s="119"/>
      <c r="K31" s="167">
        <f>'Load &amp; loss characteristics'!K29</f>
        <v>1</v>
      </c>
      <c r="L31" s="167">
        <f>'Load &amp; loss characteristics'!L29</f>
        <v>1.0049999999999999</v>
      </c>
      <c r="M31" s="167">
        <f>'Load &amp; loss characteristics'!M29</f>
        <v>1.008</v>
      </c>
      <c r="N31" s="167">
        <f>'Load &amp; loss characteristics'!N29</f>
        <v>1.01</v>
      </c>
      <c r="O31" s="167">
        <f>'Load &amp; loss characteristics'!O29</f>
        <v>1.0149999999999999</v>
      </c>
      <c r="P31" s="167">
        <f>'Load &amp; loss characteristics'!P29</f>
        <v>1.0149999999999999</v>
      </c>
      <c r="Q31" s="167">
        <f>'Load &amp; loss characteristics'!Q29</f>
        <v>1.024</v>
      </c>
      <c r="R31" s="167">
        <f>'Load &amp; loss characteristics'!R29</f>
        <v>1.04</v>
      </c>
      <c r="S31" s="167">
        <f>'Load &amp; loss characteristics'!S29</f>
        <v>1.1020000000000001</v>
      </c>
      <c r="T31" s="119"/>
      <c r="U31" s="119"/>
    </row>
    <row r="32" spans="3:25" x14ac:dyDescent="0.25">
      <c r="E32" t="s">
        <v>527</v>
      </c>
      <c r="F32" s="240"/>
      <c r="G32" s="94" t="s">
        <v>165</v>
      </c>
      <c r="H32" s="3"/>
      <c r="I32" s="3"/>
      <c r="J32" s="241"/>
      <c r="K32" s="242">
        <f>'Load &amp; loss characteristics'!$K$23</f>
        <v>0.19989489363654123</v>
      </c>
      <c r="L32" s="243"/>
      <c r="M32" s="243"/>
      <c r="N32" s="243"/>
      <c r="O32" s="243"/>
      <c r="P32" s="241"/>
      <c r="Q32" s="243"/>
      <c r="R32" s="243"/>
      <c r="S32" s="243"/>
      <c r="T32" s="241"/>
      <c r="U32" s="241"/>
      <c r="Y32" s="244"/>
    </row>
    <row r="33" spans="3:23" x14ac:dyDescent="0.25">
      <c r="E33" t="s">
        <v>528</v>
      </c>
      <c r="F33" s="166"/>
      <c r="G33" s="94" t="s">
        <v>165</v>
      </c>
      <c r="H33" s="3"/>
      <c r="I33" s="3"/>
      <c r="J33" s="103"/>
      <c r="K33" s="239">
        <f xml:space="preserve"> 1 / (1 + K32)</f>
        <v>0.833406330257214</v>
      </c>
      <c r="L33" s="243"/>
      <c r="M33" s="243"/>
      <c r="N33" s="243"/>
      <c r="O33" s="243"/>
      <c r="P33" s="243"/>
      <c r="Q33" s="243"/>
      <c r="R33" s="243"/>
      <c r="S33" s="243"/>
      <c r="T33" s="241"/>
      <c r="U33" s="241"/>
      <c r="W33" s="3"/>
    </row>
    <row r="34" spans="3:23" x14ac:dyDescent="0.25">
      <c r="F34" s="166"/>
      <c r="G34" s="94"/>
      <c r="H34" s="3"/>
      <c r="I34" s="3"/>
      <c r="J34" s="3"/>
      <c r="K34" s="3"/>
      <c r="L34" s="3"/>
      <c r="M34" s="3"/>
      <c r="N34" s="3"/>
      <c r="O34" s="3"/>
      <c r="P34" s="3"/>
      <c r="Q34" s="3"/>
      <c r="R34" s="3"/>
      <c r="S34" s="3"/>
      <c r="T34" s="3"/>
      <c r="U34" s="3"/>
      <c r="V34" s="3"/>
      <c r="W34" s="3"/>
    </row>
    <row r="35" spans="3:23" x14ac:dyDescent="0.2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25">
      <c r="E36" s="75"/>
      <c r="F36" s="162"/>
      <c r="H36" s="3"/>
      <c r="J36" s="3"/>
      <c r="K36" s="3"/>
      <c r="L36" s="3"/>
      <c r="M36" s="3"/>
      <c r="N36" s="3"/>
      <c r="O36" s="3"/>
      <c r="P36" s="3"/>
      <c r="Q36" s="3"/>
      <c r="R36" s="3"/>
      <c r="S36" s="3"/>
      <c r="T36" s="3"/>
      <c r="U36" s="3"/>
    </row>
    <row r="37" spans="3:23" x14ac:dyDescent="0.25">
      <c r="D37" s="86" t="s">
        <v>529</v>
      </c>
      <c r="F37" s="162"/>
      <c r="H37" s="3"/>
      <c r="I37" s="3"/>
      <c r="J37" s="3"/>
      <c r="K37" s="3"/>
      <c r="L37" s="3"/>
      <c r="M37" s="3"/>
      <c r="N37" s="3"/>
      <c r="O37" s="3"/>
      <c r="P37" s="3"/>
      <c r="Q37" s="3"/>
      <c r="R37" s="3"/>
      <c r="S37" s="3"/>
      <c r="T37" s="3"/>
      <c r="U37" s="3"/>
      <c r="W37" s="3"/>
    </row>
    <row r="38" spans="3:23" x14ac:dyDescent="0.25">
      <c r="D38" s="86"/>
      <c r="F38" s="162"/>
      <c r="H38" s="3"/>
      <c r="I38" s="3"/>
      <c r="J38" s="3"/>
      <c r="K38" s="3"/>
      <c r="L38" s="3"/>
      <c r="M38" s="3"/>
      <c r="N38" s="3"/>
      <c r="O38" s="3"/>
      <c r="P38" s="3"/>
      <c r="Q38" s="3"/>
      <c r="R38" s="3"/>
      <c r="S38" s="3"/>
      <c r="T38" s="3"/>
      <c r="U38" s="3"/>
      <c r="W38" s="3"/>
    </row>
    <row r="39" spans="3:23" x14ac:dyDescent="0.25">
      <c r="D39" s="105"/>
      <c r="E39" t="s">
        <v>169</v>
      </c>
      <c r="F39" s="166"/>
      <c r="G39" s="94" t="s">
        <v>170</v>
      </c>
      <c r="H39" s="167">
        <f>'Fixed inputs'!H42</f>
        <v>500</v>
      </c>
      <c r="I39" s="3"/>
      <c r="J39" s="119"/>
      <c r="K39" s="119"/>
      <c r="L39" s="119"/>
      <c r="M39" s="119"/>
      <c r="N39" s="119"/>
      <c r="O39" s="119"/>
      <c r="P39" s="119"/>
      <c r="Q39" s="119"/>
      <c r="R39" s="119"/>
      <c r="S39" s="119"/>
      <c r="T39" s="119"/>
      <c r="U39" s="119"/>
      <c r="W39" s="3"/>
    </row>
    <row r="40" spans="3:23" x14ac:dyDescent="0.25">
      <c r="E40" t="s">
        <v>530</v>
      </c>
      <c r="F40" s="166"/>
      <c r="G40" s="94" t="s">
        <v>170</v>
      </c>
      <c r="H40" s="3"/>
      <c r="I40" s="3" t="s">
        <v>152</v>
      </c>
      <c r="J40" s="119"/>
      <c r="K40" s="245">
        <f t="shared" ref="K40:S40" si="0">$H$39 * $K$33 / K31</f>
        <v>416.703165128607</v>
      </c>
      <c r="L40" s="245">
        <f t="shared" si="0"/>
        <v>414.63001505334034</v>
      </c>
      <c r="M40" s="245">
        <f t="shared" si="0"/>
        <v>413.39599715139582</v>
      </c>
      <c r="N40" s="245">
        <f t="shared" si="0"/>
        <v>412.57739121644255</v>
      </c>
      <c r="O40" s="245">
        <f t="shared" si="0"/>
        <v>410.54499027448969</v>
      </c>
      <c r="P40" s="245">
        <f t="shared" si="0"/>
        <v>410.54499027448969</v>
      </c>
      <c r="Q40" s="245">
        <f t="shared" si="0"/>
        <v>406.93668469590529</v>
      </c>
      <c r="R40" s="245">
        <f t="shared" si="0"/>
        <v>400.67612031596826</v>
      </c>
      <c r="S40" s="245">
        <f t="shared" si="0"/>
        <v>378.133543673872</v>
      </c>
      <c r="T40" s="119"/>
      <c r="U40" s="119"/>
      <c r="W40" s="3" t="s">
        <v>531</v>
      </c>
    </row>
    <row r="41" spans="3:23" x14ac:dyDescent="0.25">
      <c r="F41" s="166"/>
      <c r="G41" s="94"/>
      <c r="H41" s="3"/>
      <c r="I41" s="3"/>
      <c r="J41" s="3"/>
      <c r="K41" s="3"/>
      <c r="L41" s="3"/>
      <c r="M41" s="3"/>
      <c r="N41" s="3"/>
      <c r="O41" s="3"/>
      <c r="P41" s="3"/>
      <c r="Q41" s="3"/>
      <c r="R41" s="3"/>
      <c r="S41" s="3"/>
      <c r="T41" s="3"/>
      <c r="U41" s="3"/>
      <c r="V41" s="3"/>
      <c r="W41" s="3"/>
    </row>
    <row r="42" spans="3:23" x14ac:dyDescent="0.2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25">
      <c r="E43" s="75"/>
      <c r="F43" s="162"/>
      <c r="H43" s="3"/>
      <c r="I43" s="3"/>
      <c r="J43" s="3"/>
      <c r="K43" s="3"/>
      <c r="L43" s="3"/>
      <c r="M43" s="3"/>
      <c r="N43" s="3"/>
      <c r="O43" s="3"/>
      <c r="P43" s="3"/>
      <c r="Q43" s="3"/>
      <c r="R43" s="3"/>
      <c r="S43" s="3"/>
      <c r="T43" s="3"/>
      <c r="U43" s="3"/>
      <c r="W43" s="3"/>
    </row>
    <row r="44" spans="3:23" x14ac:dyDescent="0.25">
      <c r="D44" s="86" t="s">
        <v>532</v>
      </c>
      <c r="F44" s="162"/>
      <c r="H44" s="3"/>
      <c r="I44" s="3"/>
      <c r="J44" s="3"/>
      <c r="K44" s="3"/>
      <c r="L44" s="3"/>
      <c r="M44" s="3"/>
      <c r="N44" s="3"/>
      <c r="O44" s="3"/>
      <c r="P44" s="3"/>
      <c r="Q44" s="3"/>
      <c r="R44" s="3"/>
      <c r="S44" s="3"/>
      <c r="T44" s="3"/>
      <c r="U44" s="3"/>
      <c r="W44" s="3"/>
    </row>
    <row r="45" spans="3:23" x14ac:dyDescent="0.25">
      <c r="D45" s="86"/>
      <c r="F45" s="162"/>
      <c r="H45" s="3"/>
      <c r="I45" s="3"/>
      <c r="J45" s="3"/>
      <c r="K45" s="3"/>
      <c r="L45" s="3"/>
      <c r="M45" s="3"/>
      <c r="N45" s="3"/>
      <c r="O45" s="3"/>
      <c r="P45" s="3"/>
      <c r="Q45" s="3"/>
      <c r="R45" s="3"/>
      <c r="S45" s="3"/>
      <c r="T45" s="3"/>
      <c r="U45" s="3"/>
      <c r="W45" s="3"/>
    </row>
    <row r="46" spans="3:23" x14ac:dyDescent="0.25">
      <c r="D46" s="105"/>
      <c r="E46" s="94" t="s">
        <v>279</v>
      </c>
      <c r="G46" s="94" t="s">
        <v>165</v>
      </c>
      <c r="H46" s="3"/>
      <c r="I46" s="3"/>
      <c r="J46" s="243"/>
      <c r="K46" s="243"/>
      <c r="L46" s="243"/>
      <c r="M46" s="243"/>
      <c r="N46" s="243"/>
      <c r="O46" s="243"/>
      <c r="P46" s="242">
        <f>'Inputs by network level'!P17</f>
        <v>0</v>
      </c>
      <c r="Q46" s="243"/>
      <c r="R46" s="243"/>
      <c r="S46" s="243"/>
      <c r="T46" s="243"/>
      <c r="U46" s="243"/>
      <c r="W46" s="3"/>
    </row>
    <row r="47" spans="3:23" x14ac:dyDescent="0.25">
      <c r="E47" s="94" t="s">
        <v>533</v>
      </c>
      <c r="G47" s="94" t="s">
        <v>165</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25">
      <c r="E48" s="94" t="s">
        <v>534</v>
      </c>
      <c r="G48" s="94" t="s">
        <v>170</v>
      </c>
      <c r="H48" s="3"/>
      <c r="I48" s="3"/>
      <c r="J48" s="119"/>
      <c r="K48" s="168">
        <f t="shared" ref="K48:S48" si="1">IF(K47 = "", K40, K47 * K40)</f>
        <v>416.703165128607</v>
      </c>
      <c r="L48" s="168">
        <f t="shared" si="1"/>
        <v>414.63001505334034</v>
      </c>
      <c r="M48" s="168">
        <f t="shared" si="1"/>
        <v>413.39599715139582</v>
      </c>
      <c r="N48" s="168">
        <f t="shared" si="1"/>
        <v>412.57739121644255</v>
      </c>
      <c r="O48" s="168">
        <f t="shared" si="1"/>
        <v>410.54499027448969</v>
      </c>
      <c r="P48" s="168">
        <f t="shared" si="1"/>
        <v>0</v>
      </c>
      <c r="Q48" s="168">
        <f t="shared" si="1"/>
        <v>406.93668469590529</v>
      </c>
      <c r="R48" s="168">
        <f t="shared" si="1"/>
        <v>400.67612031596826</v>
      </c>
      <c r="S48" s="168">
        <f t="shared" si="1"/>
        <v>378.133543673872</v>
      </c>
      <c r="T48" s="119"/>
      <c r="U48" s="119"/>
      <c r="W48" s="3"/>
    </row>
    <row r="49" spans="2:23" x14ac:dyDescent="0.25">
      <c r="E49" s="94"/>
      <c r="G49" s="94"/>
      <c r="H49" s="3"/>
      <c r="I49" s="3"/>
      <c r="J49" s="3"/>
      <c r="K49" s="3"/>
      <c r="L49" s="3"/>
      <c r="M49" s="3"/>
      <c r="N49" s="3"/>
      <c r="O49" s="3"/>
      <c r="P49" s="3"/>
      <c r="Q49" s="3"/>
      <c r="R49" s="3"/>
      <c r="S49" s="3"/>
      <c r="T49" s="3"/>
      <c r="U49" s="3"/>
      <c r="V49" s="3"/>
      <c r="W49" s="3"/>
    </row>
    <row r="50" spans="2:23" x14ac:dyDescent="0.2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25">
      <c r="E51" s="75"/>
      <c r="F51" s="162"/>
      <c r="H51" s="3"/>
      <c r="J51" s="3"/>
      <c r="K51" s="3"/>
      <c r="L51" s="161"/>
      <c r="M51" s="161"/>
      <c r="N51" s="161"/>
      <c r="O51" s="161"/>
      <c r="P51" s="161"/>
      <c r="Q51" s="161"/>
      <c r="R51" s="161"/>
      <c r="S51" s="161"/>
      <c r="T51" s="161"/>
      <c r="U51" s="246"/>
    </row>
    <row r="52" spans="2:23" x14ac:dyDescent="0.25">
      <c r="D52" s="86" t="s">
        <v>535</v>
      </c>
      <c r="F52" s="162"/>
      <c r="H52" s="3"/>
      <c r="I52" s="3"/>
      <c r="J52" s="3"/>
      <c r="K52" s="3"/>
      <c r="L52" s="161"/>
      <c r="M52" s="161"/>
      <c r="N52" s="161"/>
      <c r="O52" s="161"/>
      <c r="P52" s="161"/>
      <c r="Q52" s="161"/>
      <c r="R52" s="161"/>
      <c r="S52" s="161"/>
      <c r="T52" s="161"/>
      <c r="U52" s="246"/>
    </row>
    <row r="53" spans="2:23" x14ac:dyDescent="0.25">
      <c r="D53" s="86"/>
      <c r="F53" s="162"/>
      <c r="H53" s="3"/>
      <c r="I53" s="3"/>
      <c r="J53" s="3"/>
      <c r="K53" s="3"/>
      <c r="L53" s="161"/>
      <c r="M53" s="161"/>
      <c r="N53" s="161"/>
      <c r="O53" s="161"/>
      <c r="P53" s="161"/>
      <c r="Q53" s="161"/>
      <c r="R53" s="161"/>
      <c r="S53" s="161"/>
      <c r="T53" s="161"/>
      <c r="U53" s="246"/>
    </row>
    <row r="54" spans="2:23" x14ac:dyDescent="0.25">
      <c r="E54" t="s">
        <v>536</v>
      </c>
      <c r="F54" s="240"/>
      <c r="G54" s="94" t="s">
        <v>275</v>
      </c>
      <c r="H54" s="3"/>
      <c r="I54" s="3"/>
      <c r="J54" s="119"/>
      <c r="K54" s="119"/>
      <c r="L54" s="167">
        <f>'Inputs by network level'!L33</f>
        <v>58899329.349634677</v>
      </c>
      <c r="M54" s="167">
        <f>'Inputs by network level'!M33</f>
        <v>36483135.632377945</v>
      </c>
      <c r="N54" s="167">
        <f>'Inputs by network level'!N33</f>
        <v>115678234.51967752</v>
      </c>
      <c r="O54" s="167">
        <f>'Inputs by network level'!O33</f>
        <v>44018427.355476975</v>
      </c>
      <c r="P54" s="167">
        <f>'Inputs by network level'!P33</f>
        <v>0</v>
      </c>
      <c r="Q54" s="167">
        <f>'Inputs by network level'!Q33</f>
        <v>203725694.24879056</v>
      </c>
      <c r="R54" s="167">
        <f>'Inputs by network level'!R33</f>
        <v>61961301.160199992</v>
      </c>
      <c r="S54" s="167">
        <f>'Inputs by network level'!S33</f>
        <v>115814971.27464746</v>
      </c>
      <c r="T54" s="119"/>
      <c r="U54" s="119"/>
      <c r="W54" s="3"/>
    </row>
    <row r="55" spans="2:23" x14ac:dyDescent="0.25">
      <c r="E55" t="s">
        <v>537</v>
      </c>
      <c r="F55" s="240"/>
      <c r="G55" s="94" t="s">
        <v>538</v>
      </c>
      <c r="H55" s="3"/>
      <c r="I55" s="3"/>
      <c r="J55" s="119"/>
      <c r="K55" s="119"/>
      <c r="L55" s="168">
        <f t="shared" ref="L55:S55" si="2">IF(L48 = 0, 0, L54 / (L48 * thousand))</f>
        <v>142.05273909573944</v>
      </c>
      <c r="M55" s="168">
        <f t="shared" si="2"/>
        <v>88.252271148665528</v>
      </c>
      <c r="N55" s="168">
        <f t="shared" si="2"/>
        <v>280.37948026820368</v>
      </c>
      <c r="O55" s="168">
        <f t="shared" si="2"/>
        <v>107.21949700578816</v>
      </c>
      <c r="P55" s="168">
        <f t="shared" si="2"/>
        <v>0</v>
      </c>
      <c r="Q55" s="168">
        <f t="shared" si="2"/>
        <v>500.63241263448691</v>
      </c>
      <c r="R55" s="168">
        <f t="shared" si="2"/>
        <v>154.64186163961574</v>
      </c>
      <c r="S55" s="168">
        <f t="shared" si="2"/>
        <v>306.28060697660334</v>
      </c>
      <c r="T55" s="119"/>
      <c r="U55" s="119"/>
      <c r="W55" s="3"/>
    </row>
    <row r="56" spans="2:23" x14ac:dyDescent="0.25">
      <c r="E56" t="s">
        <v>539</v>
      </c>
      <c r="F56" s="240"/>
      <c r="G56" s="94" t="s">
        <v>540</v>
      </c>
      <c r="H56" s="3"/>
      <c r="I56" s="3" t="s">
        <v>152</v>
      </c>
      <c r="J56" s="119"/>
      <c r="K56" s="119"/>
      <c r="L56" s="168">
        <f t="shared" ref="L56:S56" si="3">L55 * $H$25</f>
        <v>8.097986878898574</v>
      </c>
      <c r="M56" s="168">
        <f t="shared" si="3"/>
        <v>5.030988760542157</v>
      </c>
      <c r="N56" s="168">
        <f t="shared" si="3"/>
        <v>15.983566151399991</v>
      </c>
      <c r="O56" s="168">
        <f t="shared" si="3"/>
        <v>6.1122515865730254</v>
      </c>
      <c r="P56" s="168">
        <f t="shared" si="3"/>
        <v>0</v>
      </c>
      <c r="Q56" s="168">
        <f t="shared" si="3"/>
        <v>28.539503950944976</v>
      </c>
      <c r="R56" s="168">
        <f t="shared" si="3"/>
        <v>8.8156537808260858</v>
      </c>
      <c r="S56" s="168">
        <f t="shared" si="3"/>
        <v>17.46010919849989</v>
      </c>
      <c r="T56" s="119"/>
      <c r="U56" s="119"/>
      <c r="W56" s="3" t="s">
        <v>541</v>
      </c>
    </row>
    <row r="57" spans="2:23" x14ac:dyDescent="0.25">
      <c r="H57" s="3"/>
      <c r="I57" s="3"/>
      <c r="J57" s="173"/>
      <c r="K57" s="173"/>
      <c r="L57" s="173"/>
      <c r="M57" s="173"/>
      <c r="N57" s="173"/>
      <c r="O57" s="173"/>
      <c r="P57" s="173"/>
      <c r="Q57" s="173"/>
      <c r="R57" s="173"/>
      <c r="S57" s="173"/>
      <c r="T57" s="173"/>
      <c r="U57" s="173"/>
      <c r="W57" s="3"/>
    </row>
    <row r="58" spans="2:23" x14ac:dyDescent="0.25">
      <c r="B58" s="85" t="s">
        <v>542</v>
      </c>
      <c r="C58" s="85"/>
      <c r="D58" s="85"/>
      <c r="E58" s="85"/>
      <c r="F58" s="85"/>
      <c r="G58" s="85"/>
      <c r="H58" s="85"/>
      <c r="I58" s="85"/>
      <c r="J58" s="247"/>
      <c r="K58" s="247"/>
      <c r="L58" s="247"/>
      <c r="M58" s="247"/>
      <c r="N58" s="247"/>
      <c r="O58" s="247"/>
      <c r="P58" s="247"/>
      <c r="Q58" s="247"/>
      <c r="R58" s="247"/>
      <c r="S58" s="247"/>
      <c r="T58" s="247"/>
      <c r="U58" s="247"/>
      <c r="V58" s="85"/>
      <c r="W58" s="85"/>
    </row>
    <row r="59" spans="2:23" x14ac:dyDescent="0.25">
      <c r="J59" s="106"/>
      <c r="K59" s="106"/>
      <c r="L59" s="106"/>
      <c r="M59" s="106"/>
      <c r="N59" s="106"/>
      <c r="O59" s="106"/>
      <c r="P59" s="106"/>
      <c r="Q59" s="106"/>
      <c r="R59" s="106"/>
      <c r="S59" s="106"/>
      <c r="T59" s="106"/>
      <c r="U59" s="106"/>
    </row>
    <row r="60" spans="2:23" x14ac:dyDescent="0.25">
      <c r="C60" s="86" t="s">
        <v>543</v>
      </c>
      <c r="J60" s="106"/>
      <c r="K60" s="106"/>
      <c r="L60" s="106"/>
      <c r="M60" s="106"/>
      <c r="N60" s="106"/>
      <c r="O60" s="106"/>
      <c r="P60" s="106"/>
      <c r="Q60" s="106"/>
      <c r="R60" s="106"/>
      <c r="S60" s="106"/>
      <c r="T60" s="106"/>
      <c r="U60" s="106"/>
    </row>
    <row r="61" spans="2:23" x14ac:dyDescent="0.25">
      <c r="J61" s="106"/>
      <c r="K61" s="106"/>
      <c r="L61" s="106"/>
      <c r="M61" s="106"/>
      <c r="N61" s="106"/>
      <c r="O61" s="106"/>
      <c r="P61" s="106"/>
      <c r="Q61" s="106"/>
      <c r="R61" s="106"/>
      <c r="S61" s="106"/>
      <c r="T61" s="106"/>
      <c r="U61" s="106"/>
    </row>
    <row r="62" spans="2:23" x14ac:dyDescent="0.2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8"/>
      <c r="K62" s="248"/>
      <c r="L62" s="248"/>
      <c r="M62" s="248"/>
      <c r="N62" s="248"/>
      <c r="O62" s="248"/>
      <c r="P62" s="248"/>
      <c r="Q62" s="248"/>
      <c r="R62" s="248"/>
      <c r="S62" s="248"/>
      <c r="T62" s="248"/>
      <c r="U62" s="248"/>
      <c r="V62" s="93"/>
      <c r="W62" s="52"/>
    </row>
    <row r="63" spans="2:23" x14ac:dyDescent="0.25">
      <c r="D63" s="75"/>
      <c r="J63" s="106"/>
      <c r="K63" s="106"/>
      <c r="L63" s="106"/>
      <c r="M63" s="106"/>
      <c r="N63" s="106"/>
      <c r="O63" s="106"/>
      <c r="P63" s="106"/>
      <c r="Q63" s="106"/>
      <c r="R63" s="106"/>
      <c r="S63" s="106"/>
      <c r="T63" s="106"/>
      <c r="U63" s="106"/>
    </row>
    <row r="64" spans="2:23" x14ac:dyDescent="0.25">
      <c r="E64" t="s">
        <v>544</v>
      </c>
      <c r="G64" t="s">
        <v>170</v>
      </c>
      <c r="J64" s="119"/>
      <c r="K64" s="167">
        <f t="array" ref="K64:S64">TRANSPOSE('System peak demand'!H269:H277)</f>
        <v>2018.8190300083822</v>
      </c>
      <c r="L64" s="167">
        <v>1972.1946404299547</v>
      </c>
      <c r="M64" s="167">
        <v>1966.3250135239123</v>
      </c>
      <c r="N64" s="167">
        <v>2022.3210342434727</v>
      </c>
      <c r="O64" s="167">
        <v>2250.7313682537801</v>
      </c>
      <c r="P64" s="167">
        <v>0</v>
      </c>
      <c r="Q64" s="167">
        <v>2255.284543069155</v>
      </c>
      <c r="R64" s="167">
        <v>1899.4936163464222</v>
      </c>
      <c r="S64" s="167">
        <v>1533.4280555080256</v>
      </c>
      <c r="T64" s="119"/>
      <c r="U64" s="119"/>
    </row>
    <row r="65" spans="3:24" x14ac:dyDescent="0.25">
      <c r="E65" s="94" t="s">
        <v>545</v>
      </c>
      <c r="F65" s="94"/>
      <c r="G65" s="94" t="s">
        <v>170</v>
      </c>
      <c r="H65" s="249"/>
      <c r="J65" s="168">
        <f>K64</f>
        <v>2018.8190300083822</v>
      </c>
      <c r="K65" s="119"/>
      <c r="L65" s="119"/>
      <c r="M65" s="119"/>
      <c r="N65" s="119"/>
      <c r="O65" s="119"/>
      <c r="P65" s="119"/>
      <c r="Q65" s="119"/>
      <c r="R65" s="119"/>
      <c r="S65" s="119"/>
      <c r="T65" s="119"/>
      <c r="U65" s="119"/>
      <c r="W65" s="97"/>
      <c r="X65" s="97"/>
    </row>
    <row r="66" spans="3:24" x14ac:dyDescent="0.25">
      <c r="J66" s="106"/>
      <c r="K66" s="106"/>
      <c r="L66" s="106"/>
      <c r="M66" s="106"/>
      <c r="N66" s="106"/>
      <c r="O66" s="106"/>
      <c r="P66" s="106"/>
      <c r="Q66" s="106"/>
      <c r="R66" s="106"/>
      <c r="S66" s="106"/>
      <c r="T66" s="106"/>
      <c r="U66" s="106"/>
      <c r="X66" s="97"/>
    </row>
    <row r="67" spans="3:24" x14ac:dyDescent="0.25">
      <c r="E67" s="94" t="s">
        <v>544</v>
      </c>
      <c r="F67" s="94"/>
      <c r="G67" s="94" t="s">
        <v>475</v>
      </c>
      <c r="H67" s="249"/>
      <c r="J67" s="168">
        <f t="shared" ref="J67:S67" si="4">SUM(J64:J65) * thousand</f>
        <v>2018819.0300083822</v>
      </c>
      <c r="K67" s="168">
        <f t="shared" si="4"/>
        <v>2018819.0300083822</v>
      </c>
      <c r="L67" s="168">
        <f t="shared" si="4"/>
        <v>1972194.6404299547</v>
      </c>
      <c r="M67" s="168">
        <f t="shared" si="4"/>
        <v>1966325.0135239123</v>
      </c>
      <c r="N67" s="168">
        <f t="shared" si="4"/>
        <v>2022321.0342434726</v>
      </c>
      <c r="O67" s="168">
        <f t="shared" si="4"/>
        <v>2250731.3682537801</v>
      </c>
      <c r="P67" s="168">
        <f t="shared" si="4"/>
        <v>0</v>
      </c>
      <c r="Q67" s="168">
        <f t="shared" si="4"/>
        <v>2255284.543069155</v>
      </c>
      <c r="R67" s="168">
        <f t="shared" si="4"/>
        <v>1899493.6163464221</v>
      </c>
      <c r="S67" s="168">
        <f t="shared" si="4"/>
        <v>1533428.0555080257</v>
      </c>
      <c r="T67" s="119"/>
      <c r="U67" s="119"/>
      <c r="W67" s="97"/>
      <c r="X67" s="97"/>
    </row>
    <row r="68" spans="3:24" x14ac:dyDescent="0.25">
      <c r="J68" s="106"/>
      <c r="K68" s="106"/>
      <c r="L68" s="106"/>
      <c r="M68" s="106"/>
      <c r="N68" s="106"/>
      <c r="O68" s="106"/>
      <c r="P68" s="106"/>
      <c r="Q68" s="106"/>
      <c r="R68" s="106"/>
      <c r="S68" s="106"/>
      <c r="T68" s="106"/>
      <c r="U68" s="106"/>
    </row>
    <row r="69" spans="3:24" x14ac:dyDescent="0.25">
      <c r="C69" s="93" t="str">
        <f ca="1">INDEX('Version control'!$H$41:$H$64,MATCH($A$1,'Version control'!$F$41:$F$64,0),1)&amp;"-G: Notional asset values, by network level"</f>
        <v>Section 108-G: Notional asset values, by network level</v>
      </c>
      <c r="D69" s="93"/>
      <c r="E69" s="93"/>
      <c r="F69" s="93"/>
      <c r="G69" s="93"/>
      <c r="H69" s="52"/>
      <c r="I69" s="52"/>
      <c r="J69" s="248"/>
      <c r="K69" s="248"/>
      <c r="L69" s="248"/>
      <c r="M69" s="248"/>
      <c r="N69" s="248"/>
      <c r="O69" s="248"/>
      <c r="P69" s="248"/>
      <c r="Q69" s="248"/>
      <c r="R69" s="248"/>
      <c r="S69" s="248"/>
      <c r="T69" s="248"/>
      <c r="U69" s="248"/>
      <c r="V69" s="93"/>
      <c r="W69" s="52"/>
    </row>
    <row r="70" spans="3:24" x14ac:dyDescent="0.25">
      <c r="E70" s="75"/>
      <c r="J70" s="106"/>
      <c r="K70" s="106"/>
      <c r="L70" s="106"/>
      <c r="M70" s="106"/>
      <c r="N70" s="106"/>
      <c r="O70" s="106"/>
      <c r="P70" s="106"/>
      <c r="Q70" s="106"/>
      <c r="R70" s="106"/>
      <c r="S70" s="106"/>
      <c r="T70" s="106"/>
      <c r="U70" s="106"/>
      <c r="X70" s="97"/>
    </row>
    <row r="71" spans="3:24" x14ac:dyDescent="0.25">
      <c r="D71" s="86" t="s">
        <v>546</v>
      </c>
      <c r="J71" s="106"/>
      <c r="K71" s="106"/>
      <c r="L71" s="106"/>
      <c r="M71" s="106"/>
      <c r="N71" s="106"/>
      <c r="O71" s="106"/>
      <c r="P71" s="106"/>
      <c r="Q71" s="106"/>
      <c r="R71" s="106"/>
      <c r="S71" s="106"/>
      <c r="T71" s="106"/>
      <c r="U71" s="106"/>
      <c r="X71" s="97"/>
    </row>
    <row r="72" spans="3:24" x14ac:dyDescent="0.25">
      <c r="D72" s="86"/>
      <c r="J72" s="106"/>
      <c r="K72" s="106"/>
      <c r="L72" s="106"/>
      <c r="M72" s="106"/>
      <c r="N72" s="106"/>
      <c r="O72" s="106"/>
      <c r="P72" s="106"/>
      <c r="Q72" s="106"/>
      <c r="R72" s="106"/>
      <c r="S72" s="106"/>
      <c r="T72" s="106"/>
      <c r="U72" s="106"/>
      <c r="X72" s="97"/>
    </row>
    <row r="73" spans="3:24" x14ac:dyDescent="0.25">
      <c r="E73" s="94" t="s">
        <v>547</v>
      </c>
      <c r="F73" s="94"/>
      <c r="G73" s="94" t="s">
        <v>275</v>
      </c>
      <c r="J73" s="119"/>
      <c r="K73" s="119"/>
      <c r="L73" s="168">
        <f t="shared" ref="L73:S73" si="5">L67 * L55</f>
        <v>280155650.70301205</v>
      </c>
      <c r="M73" s="168">
        <f t="shared" si="5"/>
        <v>173532648.25991571</v>
      </c>
      <c r="N73" s="168">
        <f t="shared" si="5"/>
        <v>567017320.51664102</v>
      </c>
      <c r="O73" s="168">
        <f t="shared" si="5"/>
        <v>241322285.19931966</v>
      </c>
      <c r="P73" s="168">
        <f t="shared" si="5"/>
        <v>0</v>
      </c>
      <c r="Q73" s="168">
        <f t="shared" si="5"/>
        <v>1129068541.9739776</v>
      </c>
      <c r="R73" s="168">
        <f t="shared" si="5"/>
        <v>293741229.00437677</v>
      </c>
      <c r="S73" s="168">
        <f t="shared" si="5"/>
        <v>469659275.59595072</v>
      </c>
      <c r="T73" s="119"/>
      <c r="U73" s="119"/>
      <c r="X73" s="97"/>
    </row>
    <row r="74" spans="3:24" x14ac:dyDescent="0.25">
      <c r="E74" s="94" t="s">
        <v>548</v>
      </c>
      <c r="F74" s="94"/>
      <c r="G74" s="94" t="s">
        <v>275</v>
      </c>
      <c r="J74" s="119"/>
      <c r="K74" s="119"/>
      <c r="L74" s="119"/>
      <c r="M74" s="119"/>
      <c r="N74" s="119"/>
      <c r="O74" s="119"/>
      <c r="P74" s="119"/>
      <c r="Q74" s="119"/>
      <c r="R74" s="119"/>
      <c r="S74" s="119"/>
      <c r="T74" s="167">
        <f>'Service model assets'!H33</f>
        <v>4121883166.4777832</v>
      </c>
      <c r="U74" s="167">
        <f>'Service model assets'!H34</f>
        <v>59884569.555971965</v>
      </c>
      <c r="X74" s="97"/>
    </row>
    <row r="75" spans="3:24" x14ac:dyDescent="0.25">
      <c r="J75" s="106"/>
      <c r="K75" s="106"/>
      <c r="L75" s="106"/>
      <c r="M75" s="106"/>
      <c r="N75" s="106"/>
      <c r="O75" s="106"/>
      <c r="P75" s="106"/>
      <c r="Q75" s="106"/>
      <c r="R75" s="106"/>
      <c r="S75" s="106"/>
      <c r="T75" s="106"/>
      <c r="U75" s="106"/>
      <c r="X75" s="97"/>
    </row>
    <row r="76" spans="3:24" x14ac:dyDescent="0.25">
      <c r="E76" s="94" t="s">
        <v>549</v>
      </c>
      <c r="F76" s="94"/>
      <c r="G76" s="94" t="s">
        <v>275</v>
      </c>
      <c r="I76" t="s">
        <v>152</v>
      </c>
      <c r="J76" s="119"/>
      <c r="K76" s="168">
        <f t="shared" ref="K76:U76" si="6">K73 + K74</f>
        <v>0</v>
      </c>
      <c r="L76" s="168">
        <f t="shared" si="6"/>
        <v>280155650.70301205</v>
      </c>
      <c r="M76" s="168">
        <f t="shared" si="6"/>
        <v>173532648.25991571</v>
      </c>
      <c r="N76" s="168">
        <f t="shared" si="6"/>
        <v>567017320.51664102</v>
      </c>
      <c r="O76" s="168">
        <f t="shared" si="6"/>
        <v>241322285.19931966</v>
      </c>
      <c r="P76" s="168">
        <f t="shared" si="6"/>
        <v>0</v>
      </c>
      <c r="Q76" s="168">
        <f t="shared" si="6"/>
        <v>1129068541.9739776</v>
      </c>
      <c r="R76" s="168">
        <f t="shared" si="6"/>
        <v>293741229.00437677</v>
      </c>
      <c r="S76" s="168">
        <f t="shared" si="6"/>
        <v>469659275.59595072</v>
      </c>
      <c r="T76" s="168">
        <f t="shared" si="6"/>
        <v>4121883166.4777832</v>
      </c>
      <c r="U76" s="168">
        <f t="shared" si="6"/>
        <v>59884569.555971965</v>
      </c>
      <c r="W76" s="3" t="s">
        <v>550</v>
      </c>
      <c r="X76" s="97"/>
    </row>
    <row r="77" spans="3:24" x14ac:dyDescent="0.25">
      <c r="L77" s="97"/>
      <c r="M77" s="97"/>
      <c r="N77" s="97"/>
      <c r="O77" s="97"/>
      <c r="P77" s="97"/>
      <c r="Q77" s="97"/>
      <c r="R77" s="97"/>
      <c r="S77" s="97"/>
      <c r="T77" s="97"/>
      <c r="U77" s="97"/>
      <c r="X77" s="97"/>
    </row>
    <row r="78" spans="3:24" x14ac:dyDescent="0.25">
      <c r="E78" s="94" t="s">
        <v>551</v>
      </c>
      <c r="F78" s="94"/>
      <c r="G78" s="94" t="s">
        <v>165</v>
      </c>
      <c r="J78" s="243"/>
      <c r="K78" s="190">
        <f t="shared" ref="K78:U78" si="7">K76 / SUM($K$76:$U$76)</f>
        <v>0</v>
      </c>
      <c r="L78" s="190">
        <f t="shared" si="7"/>
        <v>3.8187778473764075E-2</v>
      </c>
      <c r="M78" s="190">
        <f t="shared" si="7"/>
        <v>2.3654087694059259E-2</v>
      </c>
      <c r="N78" s="190">
        <f t="shared" si="7"/>
        <v>7.7289648708998779E-2</v>
      </c>
      <c r="O78" s="190">
        <f t="shared" si="7"/>
        <v>3.289443544989705E-2</v>
      </c>
      <c r="P78" s="190">
        <f t="shared" si="7"/>
        <v>0</v>
      </c>
      <c r="Q78" s="190">
        <f t="shared" si="7"/>
        <v>0.15390237267891199</v>
      </c>
      <c r="R78" s="190">
        <f t="shared" si="7"/>
        <v>4.003961709743141E-2</v>
      </c>
      <c r="S78" s="190">
        <f t="shared" si="7"/>
        <v>6.4018856409287658E-2</v>
      </c>
      <c r="T78" s="190">
        <f t="shared" si="7"/>
        <v>0.56185038874355453</v>
      </c>
      <c r="U78" s="190">
        <f t="shared" si="7"/>
        <v>8.1628147440953504E-3</v>
      </c>
      <c r="X78" s="97"/>
    </row>
    <row r="79" spans="3:24" x14ac:dyDescent="0.25">
      <c r="E79" s="75"/>
      <c r="L79" s="97"/>
      <c r="M79" s="97"/>
      <c r="N79" s="97"/>
      <c r="O79" s="97"/>
      <c r="P79" s="97"/>
      <c r="Q79" s="97"/>
      <c r="R79" s="97"/>
      <c r="S79" s="97"/>
      <c r="T79" s="97"/>
      <c r="U79" s="97"/>
    </row>
    <row r="80" spans="3:24" x14ac:dyDescent="0.2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25">
      <c r="E81" s="75"/>
      <c r="L81" s="97"/>
      <c r="M81" s="97"/>
      <c r="N81" s="97"/>
      <c r="O81" s="97"/>
      <c r="P81" s="97"/>
      <c r="Q81" s="97"/>
      <c r="R81" s="97"/>
      <c r="S81" s="97"/>
      <c r="T81" s="97"/>
      <c r="U81" s="97"/>
    </row>
    <row r="82" spans="3:23" x14ac:dyDescent="0.25">
      <c r="D82" s="86" t="s">
        <v>552</v>
      </c>
      <c r="L82" s="97"/>
      <c r="M82" s="97"/>
      <c r="N82" s="97"/>
      <c r="O82" s="97"/>
      <c r="P82" s="97"/>
      <c r="Q82" s="97"/>
      <c r="R82" s="97"/>
      <c r="S82" s="97"/>
      <c r="T82" s="97"/>
      <c r="U82" s="97"/>
    </row>
    <row r="83" spans="3:23" x14ac:dyDescent="0.25">
      <c r="D83" s="86"/>
      <c r="L83" s="97"/>
      <c r="M83" s="97"/>
      <c r="N83" s="97"/>
      <c r="O83" s="97"/>
      <c r="P83" s="97"/>
      <c r="Q83" s="97"/>
      <c r="R83" s="97"/>
      <c r="S83" s="97"/>
      <c r="T83" s="97"/>
      <c r="U83" s="97"/>
    </row>
    <row r="84" spans="3:23" x14ac:dyDescent="0.25">
      <c r="E84" s="94" t="s">
        <v>167</v>
      </c>
      <c r="F84" s="94"/>
      <c r="G84" s="94" t="s">
        <v>165</v>
      </c>
      <c r="H84" s="155">
        <f>'Fixed inputs'!H40</f>
        <v>0.6</v>
      </c>
      <c r="L84" s="97"/>
      <c r="M84" s="97"/>
      <c r="N84" s="97"/>
      <c r="O84" s="97"/>
      <c r="P84" s="97"/>
      <c r="Q84" s="97"/>
      <c r="R84" s="97"/>
      <c r="S84" s="97"/>
      <c r="T84" s="97"/>
      <c r="U84" s="97"/>
    </row>
    <row r="85" spans="3:23" x14ac:dyDescent="0.25">
      <c r="F85" s="94"/>
      <c r="G85" s="94"/>
      <c r="H85" s="155"/>
      <c r="L85" s="97"/>
      <c r="M85" s="97"/>
      <c r="N85" s="97"/>
      <c r="O85" s="97"/>
      <c r="P85" s="97"/>
      <c r="Q85" s="97"/>
      <c r="R85" s="97"/>
      <c r="S85" s="97"/>
      <c r="T85" s="97"/>
      <c r="U85" s="97"/>
    </row>
    <row r="86" spans="3:23" x14ac:dyDescent="0.25">
      <c r="E86" s="94" t="s">
        <v>316</v>
      </c>
      <c r="F86" s="94"/>
      <c r="G86" s="94" t="s">
        <v>313</v>
      </c>
      <c r="H86" s="167">
        <f>'General inputs'!H107</f>
        <v>27161010.484684773</v>
      </c>
      <c r="L86" s="97"/>
      <c r="M86" s="97"/>
      <c r="N86" s="97"/>
      <c r="O86" s="97"/>
      <c r="P86" s="97"/>
      <c r="Q86" s="97"/>
      <c r="R86" s="97"/>
      <c r="S86" s="97"/>
      <c r="T86" s="97"/>
      <c r="U86" s="97"/>
    </row>
    <row r="87" spans="3:23" x14ac:dyDescent="0.25">
      <c r="E87" s="94" t="s">
        <v>317</v>
      </c>
      <c r="F87" s="94"/>
      <c r="G87" s="94" t="s">
        <v>313</v>
      </c>
      <c r="H87" s="167">
        <f>'General inputs'!H108</f>
        <v>129709332.40704063</v>
      </c>
      <c r="L87" s="97"/>
      <c r="M87" s="97"/>
      <c r="N87" s="97"/>
      <c r="O87" s="97"/>
      <c r="P87" s="97"/>
      <c r="Q87" s="97"/>
      <c r="R87" s="97"/>
      <c r="S87" s="97"/>
      <c r="T87" s="97"/>
      <c r="U87" s="97"/>
    </row>
    <row r="88" spans="3:23" x14ac:dyDescent="0.25">
      <c r="E88" s="94" t="s">
        <v>318</v>
      </c>
      <c r="F88" s="94"/>
      <c r="G88" s="94" t="s">
        <v>313</v>
      </c>
      <c r="H88" s="167">
        <f>'General inputs'!H109</f>
        <v>32696334.143571109</v>
      </c>
      <c r="J88" s="97"/>
      <c r="L88" s="97"/>
      <c r="M88" s="97"/>
      <c r="N88" s="97"/>
      <c r="O88" s="97"/>
      <c r="P88" s="97"/>
      <c r="Q88" s="97"/>
      <c r="R88" s="97"/>
      <c r="S88" s="97"/>
      <c r="T88" s="97"/>
      <c r="U88" s="97"/>
    </row>
    <row r="89" spans="3:23" x14ac:dyDescent="0.25">
      <c r="E89" s="94"/>
      <c r="F89" s="94"/>
      <c r="G89" s="94"/>
      <c r="H89" s="167"/>
      <c r="J89" s="97"/>
      <c r="L89" s="97"/>
      <c r="M89" s="97"/>
      <c r="N89" s="97"/>
      <c r="O89" s="97"/>
      <c r="P89" s="97"/>
      <c r="Q89" s="97"/>
      <c r="R89" s="97"/>
      <c r="S89" s="97"/>
      <c r="T89" s="97"/>
      <c r="U89" s="97"/>
    </row>
    <row r="90" spans="3:23" x14ac:dyDescent="0.25">
      <c r="E90" s="94" t="s">
        <v>553</v>
      </c>
      <c r="F90" s="94"/>
      <c r="G90" s="94" t="s">
        <v>313</v>
      </c>
      <c r="H90" s="168">
        <f>H86 + H87 * H84 + H88</f>
        <v>137682944.07248026</v>
      </c>
      <c r="L90" s="97"/>
      <c r="M90" s="97"/>
      <c r="N90" s="97"/>
      <c r="O90" s="97"/>
      <c r="P90" s="97"/>
      <c r="Q90" s="97"/>
      <c r="R90" s="97"/>
      <c r="S90" s="97"/>
      <c r="T90" s="97"/>
      <c r="U90" s="97"/>
    </row>
    <row r="91" spans="3:23" x14ac:dyDescent="0.25">
      <c r="E91" s="75"/>
      <c r="L91" s="97"/>
      <c r="M91" s="97"/>
      <c r="N91" s="97"/>
      <c r="O91" s="97"/>
      <c r="P91" s="97"/>
      <c r="Q91" s="97"/>
      <c r="R91" s="97"/>
      <c r="S91" s="97"/>
      <c r="T91" s="97"/>
      <c r="U91" s="97"/>
    </row>
    <row r="92" spans="3:23" x14ac:dyDescent="0.2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25">
      <c r="E93" s="75"/>
      <c r="H93" s="97"/>
      <c r="L93" s="97"/>
      <c r="M93" s="97"/>
      <c r="N93" s="97"/>
      <c r="O93" s="97"/>
      <c r="P93" s="97"/>
      <c r="Q93" s="97"/>
      <c r="R93" s="97"/>
      <c r="S93" s="97"/>
      <c r="T93" s="97"/>
      <c r="U93" s="97"/>
    </row>
    <row r="94" spans="3:23" x14ac:dyDescent="0.25">
      <c r="D94" s="86" t="s">
        <v>554</v>
      </c>
      <c r="H94" s="97"/>
      <c r="L94" s="97"/>
      <c r="M94" s="97"/>
      <c r="N94" s="97"/>
      <c r="O94" s="97"/>
      <c r="P94" s="97"/>
      <c r="Q94" s="97"/>
      <c r="R94" s="97"/>
      <c r="S94" s="97"/>
      <c r="T94" s="97"/>
      <c r="U94" s="97"/>
    </row>
    <row r="95" spans="3:23" x14ac:dyDescent="0.25">
      <c r="D95" s="86" t="s">
        <v>555</v>
      </c>
      <c r="H95" s="97"/>
      <c r="L95" s="97"/>
      <c r="M95" s="97"/>
      <c r="N95" s="97"/>
      <c r="O95" s="97"/>
      <c r="P95" s="97"/>
      <c r="Q95" s="97"/>
      <c r="R95" s="97"/>
      <c r="S95" s="97"/>
      <c r="T95" s="97"/>
      <c r="U95" s="97"/>
    </row>
    <row r="96" spans="3:23" x14ac:dyDescent="0.25">
      <c r="D96" s="86"/>
      <c r="H96" s="97"/>
      <c r="L96" s="97"/>
      <c r="M96" s="97"/>
      <c r="N96" s="97"/>
      <c r="O96" s="97"/>
      <c r="P96" s="97"/>
      <c r="Q96" s="97"/>
      <c r="R96" s="97"/>
      <c r="S96" s="97"/>
      <c r="T96" s="97"/>
      <c r="U96" s="97"/>
    </row>
    <row r="97" spans="2:23" x14ac:dyDescent="0.25">
      <c r="E97" s="94" t="s">
        <v>556</v>
      </c>
      <c r="F97" s="94"/>
      <c r="G97" s="94" t="s">
        <v>313</v>
      </c>
      <c r="I97" t="s">
        <v>152</v>
      </c>
      <c r="J97" s="119"/>
      <c r="K97" s="168">
        <f t="shared" ref="K97:U97" si="8">K78 * $H$90</f>
        <v>0</v>
      </c>
      <c r="L97" s="168">
        <f t="shared" si="8"/>
        <v>5257805.767855525</v>
      </c>
      <c r="M97" s="168">
        <f t="shared" si="8"/>
        <v>3256764.4330667043</v>
      </c>
      <c r="N97" s="168">
        <f t="shared" si="8"/>
        <v>10641466.380582726</v>
      </c>
      <c r="O97" s="168">
        <f t="shared" si="8"/>
        <v>4529002.7163439877</v>
      </c>
      <c r="P97" s="168">
        <f t="shared" si="8"/>
        <v>0</v>
      </c>
      <c r="Q97" s="168">
        <f t="shared" si="8"/>
        <v>21189731.770172656</v>
      </c>
      <c r="R97" s="168">
        <f t="shared" si="8"/>
        <v>5512772.3615091732</v>
      </c>
      <c r="S97" s="168">
        <f t="shared" si="8"/>
        <v>8814304.6265840977</v>
      </c>
      <c r="T97" s="168">
        <f t="shared" si="8"/>
        <v>77357215.650480106</v>
      </c>
      <c r="U97" s="168">
        <f t="shared" si="8"/>
        <v>1123880.3658852973</v>
      </c>
      <c r="W97" s="3" t="s">
        <v>557</v>
      </c>
    </row>
    <row r="98" spans="2:23" x14ac:dyDescent="0.25">
      <c r="E98" s="94" t="s">
        <v>312</v>
      </c>
      <c r="F98" s="94"/>
      <c r="G98" s="94" t="s">
        <v>313</v>
      </c>
      <c r="H98" s="97"/>
      <c r="I98" s="97"/>
      <c r="J98" s="167">
        <f>'General inputs'!$H$102</f>
        <v>12513699.089146795</v>
      </c>
      <c r="K98" s="119"/>
      <c r="L98" s="119"/>
      <c r="M98" s="119"/>
      <c r="N98" s="119"/>
      <c r="O98" s="119"/>
      <c r="P98" s="119"/>
      <c r="Q98" s="119"/>
      <c r="R98" s="119"/>
      <c r="S98" s="119"/>
      <c r="T98" s="119"/>
      <c r="U98" s="119"/>
    </row>
    <row r="99" spans="2:23" x14ac:dyDescent="0.25">
      <c r="J99" s="106"/>
      <c r="K99" s="106"/>
      <c r="L99" s="106"/>
      <c r="M99" s="106"/>
      <c r="N99" s="106"/>
      <c r="O99" s="106"/>
      <c r="P99" s="106"/>
      <c r="Q99" s="106"/>
      <c r="R99" s="106"/>
      <c r="S99" s="106"/>
      <c r="T99" s="106"/>
      <c r="U99" s="106"/>
    </row>
    <row r="100" spans="2:23" x14ac:dyDescent="0.25">
      <c r="E100" s="94" t="s">
        <v>558</v>
      </c>
      <c r="F100" s="94"/>
      <c r="G100" s="94" t="s">
        <v>559</v>
      </c>
      <c r="I100" t="s">
        <v>152</v>
      </c>
      <c r="J100" s="168">
        <f t="shared" ref="J100:S100" si="9">IF(J$67 = 0, 0, SUM(J97:J98) / J$67)</f>
        <v>6.1985244358900449</v>
      </c>
      <c r="K100" s="168">
        <f t="shared" si="9"/>
        <v>0</v>
      </c>
      <c r="L100" s="168">
        <f t="shared" si="9"/>
        <v>2.6659669690154315</v>
      </c>
      <c r="M100" s="168">
        <f t="shared" si="9"/>
        <v>1.6562696454896617</v>
      </c>
      <c r="N100" s="168">
        <f t="shared" si="9"/>
        <v>5.2620064769111092</v>
      </c>
      <c r="O100" s="168">
        <f t="shared" si="9"/>
        <v>2.0122360136908717</v>
      </c>
      <c r="P100" s="168">
        <f t="shared" si="9"/>
        <v>0</v>
      </c>
      <c r="Q100" s="168">
        <f t="shared" si="9"/>
        <v>9.3955912726365476</v>
      </c>
      <c r="R100" s="168">
        <f t="shared" si="9"/>
        <v>2.9022326340389109</v>
      </c>
      <c r="S100" s="168">
        <f t="shared" si="9"/>
        <v>5.7481044480198404</v>
      </c>
      <c r="T100" s="119"/>
      <c r="U100" s="119"/>
      <c r="W100" s="3" t="s">
        <v>560</v>
      </c>
    </row>
    <row r="101" spans="2:23" x14ac:dyDescent="0.25">
      <c r="J101" s="106"/>
      <c r="K101" s="106"/>
      <c r="L101" s="106"/>
      <c r="M101" s="106"/>
      <c r="N101" s="106"/>
      <c r="O101" s="106"/>
      <c r="P101" s="106"/>
      <c r="Q101" s="106"/>
      <c r="R101" s="106"/>
      <c r="S101" s="106"/>
      <c r="T101" s="106"/>
      <c r="U101" s="106"/>
    </row>
    <row r="102" spans="2:23" x14ac:dyDescent="0.25">
      <c r="B102" s="85" t="s">
        <v>561</v>
      </c>
      <c r="C102" s="85"/>
      <c r="D102" s="85"/>
      <c r="E102" s="85"/>
      <c r="F102" s="85"/>
      <c r="G102" s="85"/>
      <c r="H102" s="85"/>
      <c r="I102" s="85"/>
      <c r="J102" s="247"/>
      <c r="K102" s="247"/>
      <c r="L102" s="247"/>
      <c r="M102" s="247"/>
      <c r="N102" s="247"/>
      <c r="O102" s="247"/>
      <c r="P102" s="247"/>
      <c r="Q102" s="247"/>
      <c r="R102" s="247"/>
      <c r="S102" s="247"/>
      <c r="T102" s="247"/>
      <c r="U102" s="247"/>
      <c r="V102" s="85"/>
      <c r="W102" s="85"/>
    </row>
    <row r="103" spans="2:23" x14ac:dyDescent="0.25">
      <c r="B103" s="86"/>
      <c r="J103" s="106"/>
      <c r="K103" s="106"/>
      <c r="L103" s="106"/>
      <c r="M103" s="106"/>
      <c r="N103" s="106"/>
      <c r="O103" s="106"/>
      <c r="P103" s="106"/>
      <c r="Q103" s="106"/>
      <c r="R103" s="106"/>
      <c r="S103" s="106"/>
      <c r="T103" s="106"/>
      <c r="U103" s="106"/>
    </row>
    <row r="104" spans="2:23" x14ac:dyDescent="0.25">
      <c r="C104" s="93" t="str">
        <f ca="1">INDEX('Version control'!$H$41:$H$64,MATCH($A$1,'Version control'!$F$41:$F$64,0),1)&amp;"-J: Notional asset values by network level"</f>
        <v>Section 108-J: Notional asset values by network level</v>
      </c>
      <c r="D104" s="93"/>
      <c r="E104" s="93"/>
      <c r="F104" s="93"/>
      <c r="G104" s="93"/>
      <c r="H104" s="52"/>
      <c r="I104" s="52"/>
      <c r="J104" s="248"/>
      <c r="K104" s="248"/>
      <c r="L104" s="248"/>
      <c r="M104" s="248"/>
      <c r="N104" s="248"/>
      <c r="O104" s="248"/>
      <c r="P104" s="248"/>
      <c r="Q104" s="248"/>
      <c r="R104" s="248"/>
      <c r="S104" s="248"/>
      <c r="T104" s="248"/>
      <c r="U104" s="248"/>
      <c r="V104" s="93"/>
      <c r="W104" s="52"/>
    </row>
    <row r="105" spans="2:23" x14ac:dyDescent="0.25">
      <c r="B105" s="86"/>
      <c r="J105" s="106"/>
      <c r="K105" s="106"/>
      <c r="L105" s="106"/>
      <c r="M105" s="106"/>
      <c r="N105" s="106"/>
      <c r="O105" s="106"/>
      <c r="P105" s="106"/>
      <c r="Q105" s="106"/>
      <c r="R105" s="106"/>
      <c r="S105" s="106"/>
      <c r="T105" s="106"/>
      <c r="U105" s="106"/>
    </row>
    <row r="106" spans="2:23" x14ac:dyDescent="0.25">
      <c r="B106" s="86"/>
      <c r="D106" s="86" t="s">
        <v>562</v>
      </c>
      <c r="J106" s="106"/>
      <c r="K106" s="106"/>
      <c r="L106" s="106"/>
      <c r="M106" s="106"/>
      <c r="N106" s="106"/>
      <c r="O106" s="106"/>
      <c r="P106" s="106"/>
      <c r="Q106" s="106"/>
      <c r="R106" s="106"/>
      <c r="S106" s="106"/>
      <c r="T106" s="106"/>
      <c r="U106" s="106"/>
    </row>
    <row r="107" spans="2:23" x14ac:dyDescent="0.25">
      <c r="B107" s="86"/>
      <c r="D107" s="86"/>
      <c r="J107" s="106"/>
      <c r="K107" s="106"/>
      <c r="L107" s="106"/>
      <c r="M107" s="106"/>
      <c r="N107" s="106"/>
      <c r="O107" s="106"/>
      <c r="P107" s="106"/>
      <c r="Q107" s="106"/>
      <c r="R107" s="106"/>
      <c r="S107" s="106"/>
      <c r="T107" s="106"/>
      <c r="U107" s="106"/>
    </row>
    <row r="108" spans="2:23" x14ac:dyDescent="0.25">
      <c r="B108" s="86"/>
      <c r="E108" s="94" t="s">
        <v>549</v>
      </c>
      <c r="F108" s="94"/>
      <c r="G108" s="94" t="s">
        <v>275</v>
      </c>
      <c r="J108" s="119"/>
      <c r="K108" s="151">
        <f t="shared" ref="K108:U108" si="10">K76</f>
        <v>0</v>
      </c>
      <c r="L108" s="151">
        <f t="shared" si="10"/>
        <v>280155650.70301205</v>
      </c>
      <c r="M108" s="151">
        <f t="shared" si="10"/>
        <v>173532648.25991571</v>
      </c>
      <c r="N108" s="151">
        <f t="shared" si="10"/>
        <v>567017320.51664102</v>
      </c>
      <c r="O108" s="151">
        <f t="shared" si="10"/>
        <v>241322285.19931966</v>
      </c>
      <c r="P108" s="151">
        <f t="shared" si="10"/>
        <v>0</v>
      </c>
      <c r="Q108" s="151">
        <f t="shared" si="10"/>
        <v>1129068541.9739776</v>
      </c>
      <c r="R108" s="151">
        <f t="shared" si="10"/>
        <v>293741229.00437677</v>
      </c>
      <c r="S108" s="151">
        <f t="shared" si="10"/>
        <v>469659275.59595072</v>
      </c>
      <c r="T108" s="151">
        <f t="shared" si="10"/>
        <v>4121883166.4777832</v>
      </c>
      <c r="U108" s="151">
        <f t="shared" si="10"/>
        <v>59884569.555971965</v>
      </c>
    </row>
    <row r="109" spans="2:23" x14ac:dyDescent="0.25">
      <c r="B109" s="86"/>
    </row>
    <row r="110" spans="2:23" x14ac:dyDescent="0.2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25">
      <c r="B111" s="86"/>
    </row>
    <row r="112" spans="2:23" x14ac:dyDescent="0.25">
      <c r="B112" s="86"/>
      <c r="D112" s="86" t="s">
        <v>563</v>
      </c>
    </row>
    <row r="113" spans="2:24" x14ac:dyDescent="0.25">
      <c r="B113" s="86"/>
      <c r="D113" s="86"/>
    </row>
    <row r="114" spans="2:24" x14ac:dyDescent="0.25">
      <c r="E114" t="s">
        <v>539</v>
      </c>
      <c r="F114" s="240"/>
      <c r="G114" s="94" t="s">
        <v>559</v>
      </c>
      <c r="H114" s="3"/>
      <c r="I114" s="3"/>
      <c r="J114" s="119"/>
      <c r="K114" s="119"/>
      <c r="L114" s="151">
        <f t="shared" ref="L114:S114" si="11">L56</f>
        <v>8.097986878898574</v>
      </c>
      <c r="M114" s="151">
        <f t="shared" si="11"/>
        <v>5.030988760542157</v>
      </c>
      <c r="N114" s="151">
        <f t="shared" si="11"/>
        <v>15.983566151399991</v>
      </c>
      <c r="O114" s="151">
        <f t="shared" si="11"/>
        <v>6.1122515865730254</v>
      </c>
      <c r="P114" s="151">
        <f t="shared" si="11"/>
        <v>0</v>
      </c>
      <c r="Q114" s="151">
        <f t="shared" si="11"/>
        <v>28.539503950944976</v>
      </c>
      <c r="R114" s="151">
        <f t="shared" si="11"/>
        <v>8.8156537808260858</v>
      </c>
      <c r="S114" s="151">
        <f t="shared" si="11"/>
        <v>17.46010919849989</v>
      </c>
      <c r="T114" s="119"/>
      <c r="U114" s="119"/>
    </row>
    <row r="115" spans="2:24" x14ac:dyDescent="0.25">
      <c r="B115" s="86"/>
      <c r="E115" t="s">
        <v>558</v>
      </c>
      <c r="F115" s="94"/>
      <c r="G115" s="94" t="s">
        <v>559</v>
      </c>
      <c r="J115" s="151">
        <f t="shared" ref="J115:S115" si="12">J100</f>
        <v>6.1985244358900449</v>
      </c>
      <c r="K115" s="151">
        <f t="shared" si="12"/>
        <v>0</v>
      </c>
      <c r="L115" s="151">
        <f t="shared" si="12"/>
        <v>2.6659669690154315</v>
      </c>
      <c r="M115" s="151">
        <f t="shared" si="12"/>
        <v>1.6562696454896617</v>
      </c>
      <c r="N115" s="151">
        <f t="shared" si="12"/>
        <v>5.2620064769111092</v>
      </c>
      <c r="O115" s="151">
        <f t="shared" si="12"/>
        <v>2.0122360136908717</v>
      </c>
      <c r="P115" s="151">
        <f t="shared" si="12"/>
        <v>0</v>
      </c>
      <c r="Q115" s="151">
        <f t="shared" si="12"/>
        <v>9.3955912726365476</v>
      </c>
      <c r="R115" s="151">
        <f t="shared" si="12"/>
        <v>2.9022326340389109</v>
      </c>
      <c r="S115" s="151">
        <f t="shared" si="12"/>
        <v>5.7481044480198404</v>
      </c>
      <c r="T115" s="119"/>
      <c r="U115" s="119"/>
    </row>
    <row r="116" spans="2:24" x14ac:dyDescent="0.25">
      <c r="B116" s="86"/>
    </row>
    <row r="117" spans="2:24" x14ac:dyDescent="0.2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25">
      <c r="B118" s="86"/>
    </row>
    <row r="119" spans="2:24" x14ac:dyDescent="0.25">
      <c r="B119" s="86"/>
      <c r="D119" s="86" t="s">
        <v>564</v>
      </c>
    </row>
    <row r="120" spans="2:24" x14ac:dyDescent="0.25">
      <c r="B120" s="86"/>
      <c r="D120" s="86"/>
    </row>
    <row r="121" spans="2:24" x14ac:dyDescent="0.25">
      <c r="B121" s="86"/>
      <c r="C121" s="75"/>
      <c r="E121" t="s">
        <v>523</v>
      </c>
      <c r="F121" s="94"/>
      <c r="G121" s="94" t="s">
        <v>165</v>
      </c>
      <c r="H121" s="250">
        <f>H25</f>
        <v>5.7006904129041573E-2</v>
      </c>
    </row>
    <row r="122" spans="2:24" x14ac:dyDescent="0.25">
      <c r="B122" s="86"/>
      <c r="C122" s="75"/>
      <c r="E122" t="s">
        <v>553</v>
      </c>
      <c r="F122" s="94"/>
      <c r="G122" s="94" t="s">
        <v>313</v>
      </c>
      <c r="H122" s="151">
        <f>H90</f>
        <v>137682944.07248026</v>
      </c>
    </row>
    <row r="123" spans="2:24" x14ac:dyDescent="0.25">
      <c r="E123" t="s">
        <v>549</v>
      </c>
      <c r="F123" s="94"/>
      <c r="G123" s="94" t="s">
        <v>275</v>
      </c>
      <c r="H123" s="151">
        <f>SUM(K76:U76)</f>
        <v>7336264687.2869482</v>
      </c>
      <c r="X123" s="97"/>
    </row>
    <row r="124" spans="2:24" x14ac:dyDescent="0.25">
      <c r="B124" s="86"/>
      <c r="C124" s="75"/>
    </row>
    <row r="125" spans="2:24" x14ac:dyDescent="0.25">
      <c r="B125" s="85" t="s">
        <v>229</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25">
      <c r="E127" t="s">
        <v>230</v>
      </c>
      <c r="G127" s="6" t="s">
        <v>54</v>
      </c>
      <c r="H127" s="251">
        <f t="array" ref="H127">SUM(IF(ISERROR(H23:U123), 1))</f>
        <v>0</v>
      </c>
    </row>
    <row r="129" spans="2:23" x14ac:dyDescent="0.25">
      <c r="E129" t="s">
        <v>565</v>
      </c>
      <c r="G129" s="6" t="s">
        <v>54</v>
      </c>
      <c r="H129" s="251">
        <f>SUM(J129:U129)</f>
        <v>0</v>
      </c>
      <c r="J129" s="252"/>
      <c r="K129" s="252"/>
      <c r="L129" s="252"/>
      <c r="M129" s="252"/>
      <c r="N129" s="251">
        <f t="shared" ref="N129:U129" si="13">IFERROR(IF(OR(AND(N54&gt;0, N48=0), AND(N48&gt;0, N54=0)), 1, 0),1)</f>
        <v>0</v>
      </c>
      <c r="O129" s="251">
        <f t="shared" si="13"/>
        <v>0</v>
      </c>
      <c r="P129" s="251">
        <f t="shared" si="13"/>
        <v>0</v>
      </c>
      <c r="Q129" s="251">
        <f t="shared" si="13"/>
        <v>0</v>
      </c>
      <c r="R129" s="251">
        <f t="shared" si="13"/>
        <v>0</v>
      </c>
      <c r="S129" s="251">
        <f t="shared" si="13"/>
        <v>0</v>
      </c>
      <c r="T129" s="251">
        <f t="shared" si="13"/>
        <v>0</v>
      </c>
      <c r="U129" s="251">
        <f t="shared" si="13"/>
        <v>0</v>
      </c>
    </row>
    <row r="131" spans="2:23" x14ac:dyDescent="0.25">
      <c r="E131" t="s">
        <v>237</v>
      </c>
      <c r="G131" s="6" t="s">
        <v>54</v>
      </c>
      <c r="H131" s="113">
        <f>H127 + H129</f>
        <v>0</v>
      </c>
    </row>
    <row r="133" spans="2:23" x14ac:dyDescent="0.25">
      <c r="B133" s="85" t="s">
        <v>105</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H241 &amp; IF(H241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6" spans="1:27" x14ac:dyDescent="0.25">
      <c r="H6" s="3"/>
      <c r="I6" s="3"/>
      <c r="J6" s="3"/>
      <c r="K6" s="3"/>
      <c r="L6" s="3"/>
      <c r="M6" s="3"/>
      <c r="N6" s="3"/>
      <c r="P6" s="3"/>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566</v>
      </c>
      <c r="E9" s="94"/>
    </row>
    <row r="11" spans="1:27" x14ac:dyDescent="0.25">
      <c r="B11" s="85" t="s">
        <v>567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25">
      <c r="C13" s="93" t="str">
        <f ca="1">INDEX('Version control'!$H$41:$H$64,MATCH($A$1,'Version control'!$F$41:$F$64,0),1)&amp;"-A: Inputs for yardstick and unit rate calculations"</f>
        <v>Section 109-A: Inputs for yardstick and unit rate calculations</v>
      </c>
      <c r="D13" s="93"/>
      <c r="E13" s="93"/>
      <c r="F13" s="93"/>
      <c r="G13" s="93"/>
      <c r="H13" s="93"/>
      <c r="I13" s="93"/>
      <c r="J13" s="253"/>
      <c r="K13" s="253"/>
      <c r="L13" s="253"/>
      <c r="M13" s="253"/>
      <c r="N13" s="253"/>
      <c r="O13" s="253"/>
      <c r="P13" s="253"/>
      <c r="Q13" s="253"/>
      <c r="R13" s="253"/>
      <c r="S13" s="253"/>
      <c r="T13" s="253"/>
      <c r="U13" s="253"/>
      <c r="V13" s="253"/>
      <c r="W13" s="253"/>
      <c r="X13" s="253"/>
      <c r="Y13" s="253"/>
      <c r="Z13" s="93"/>
      <c r="AA13" s="93"/>
    </row>
    <row r="14" spans="1:27" x14ac:dyDescent="0.25">
      <c r="C14" s="75"/>
      <c r="D14" s="75"/>
      <c r="E14" s="75"/>
      <c r="J14" s="97"/>
      <c r="L14" s="97"/>
    </row>
    <row r="15" spans="1:27" x14ac:dyDescent="0.25">
      <c r="D15" s="86" t="s">
        <v>568</v>
      </c>
    </row>
    <row r="17" spans="5:27" x14ac:dyDescent="0.25">
      <c r="E17" s="75" t="s">
        <v>569</v>
      </c>
      <c r="G17" s="94"/>
      <c r="H17" s="3"/>
      <c r="I17" s="3" t="s">
        <v>152</v>
      </c>
      <c r="AA17" t="s">
        <v>570</v>
      </c>
    </row>
    <row r="18" spans="5:27" x14ac:dyDescent="0.25">
      <c r="F18" s="254" t="s">
        <v>187</v>
      </c>
      <c r="G18" s="98" t="s">
        <v>540</v>
      </c>
      <c r="H18" s="117"/>
    </row>
    <row r="19" spans="5:27" x14ac:dyDescent="0.25">
      <c r="F19" s="255" t="s">
        <v>189</v>
      </c>
      <c r="G19" s="94" t="s">
        <v>540</v>
      </c>
      <c r="H19" s="119"/>
    </row>
    <row r="20" spans="5:27" x14ac:dyDescent="0.25">
      <c r="F20" s="255" t="s">
        <v>190</v>
      </c>
      <c r="G20" s="94" t="s">
        <v>540</v>
      </c>
      <c r="H20" s="256">
        <f t="array" ref="H20:H27">TRANSPOSE('Unit costs'!L114:S114)</f>
        <v>8.097986878898574</v>
      </c>
    </row>
    <row r="21" spans="5:27" x14ac:dyDescent="0.25">
      <c r="F21" s="255" t="s">
        <v>191</v>
      </c>
      <c r="G21" s="94" t="s">
        <v>540</v>
      </c>
      <c r="H21" s="256">
        <v>5.030988760542157</v>
      </c>
    </row>
    <row r="22" spans="5:27" x14ac:dyDescent="0.25">
      <c r="F22" s="255" t="s">
        <v>192</v>
      </c>
      <c r="G22" s="94" t="s">
        <v>540</v>
      </c>
      <c r="H22" s="256">
        <v>15.983566151399991</v>
      </c>
    </row>
    <row r="23" spans="5:27" x14ac:dyDescent="0.25">
      <c r="F23" s="255" t="s">
        <v>193</v>
      </c>
      <c r="G23" s="94" t="s">
        <v>540</v>
      </c>
      <c r="H23" s="256">
        <v>6.1122515865730254</v>
      </c>
    </row>
    <row r="24" spans="5:27" x14ac:dyDescent="0.25">
      <c r="F24" s="255" t="s">
        <v>194</v>
      </c>
      <c r="G24" s="94" t="s">
        <v>540</v>
      </c>
      <c r="H24" s="256">
        <v>0</v>
      </c>
    </row>
    <row r="25" spans="5:27" x14ac:dyDescent="0.25">
      <c r="F25" s="255" t="s">
        <v>195</v>
      </c>
      <c r="G25" s="94" t="s">
        <v>540</v>
      </c>
      <c r="H25" s="256">
        <v>28.539503950944976</v>
      </c>
    </row>
    <row r="26" spans="5:27" x14ac:dyDescent="0.25">
      <c r="F26" s="255" t="s">
        <v>196</v>
      </c>
      <c r="G26" s="94" t="s">
        <v>540</v>
      </c>
      <c r="H26" s="256">
        <v>8.8156537808260858</v>
      </c>
    </row>
    <row r="27" spans="5:27" x14ac:dyDescent="0.25">
      <c r="F27" s="257" t="s">
        <v>197</v>
      </c>
      <c r="G27" s="101" t="s">
        <v>540</v>
      </c>
      <c r="H27" s="258">
        <v>17.46010919849989</v>
      </c>
    </row>
    <row r="28" spans="5:27" x14ac:dyDescent="0.25">
      <c r="F28" s="255"/>
      <c r="G28" s="94"/>
      <c r="H28" s="167"/>
    </row>
    <row r="29" spans="5:27" x14ac:dyDescent="0.25">
      <c r="E29" s="75" t="s">
        <v>571</v>
      </c>
      <c r="G29" s="94"/>
      <c r="H29" s="106"/>
    </row>
    <row r="30" spans="5:27" x14ac:dyDescent="0.25">
      <c r="F30" s="254" t="s">
        <v>187</v>
      </c>
      <c r="G30" s="98" t="s">
        <v>559</v>
      </c>
      <c r="H30" s="259">
        <f t="array" ref="H30:H39">TRANSPOSE('Unit costs'!J115:S115)</f>
        <v>6.1985244358900449</v>
      </c>
    </row>
    <row r="31" spans="5:27" x14ac:dyDescent="0.25">
      <c r="F31" s="255" t="s">
        <v>189</v>
      </c>
      <c r="G31" s="94" t="s">
        <v>559</v>
      </c>
      <c r="H31" s="256">
        <v>0</v>
      </c>
    </row>
    <row r="32" spans="5:27" x14ac:dyDescent="0.25">
      <c r="F32" s="255" t="s">
        <v>190</v>
      </c>
      <c r="G32" s="94" t="s">
        <v>559</v>
      </c>
      <c r="H32" s="256">
        <v>2.6659669690154315</v>
      </c>
    </row>
    <row r="33" spans="5:16" x14ac:dyDescent="0.25">
      <c r="F33" s="255" t="s">
        <v>191</v>
      </c>
      <c r="G33" s="94" t="s">
        <v>559</v>
      </c>
      <c r="H33" s="256">
        <v>1.6562696454896617</v>
      </c>
      <c r="J33" s="97"/>
      <c r="K33" s="97"/>
      <c r="L33" s="97"/>
      <c r="M33" s="97"/>
      <c r="N33" s="97"/>
    </row>
    <row r="34" spans="5:16" x14ac:dyDescent="0.25">
      <c r="F34" s="255" t="s">
        <v>192</v>
      </c>
      <c r="G34" s="94" t="s">
        <v>559</v>
      </c>
      <c r="H34" s="256">
        <v>5.2620064769111092</v>
      </c>
      <c r="J34" s="97"/>
      <c r="K34" s="97"/>
      <c r="L34" s="97"/>
      <c r="M34" s="97"/>
      <c r="N34" s="97"/>
    </row>
    <row r="35" spans="5:16" x14ac:dyDescent="0.25">
      <c r="F35" s="255" t="s">
        <v>193</v>
      </c>
      <c r="G35" s="94" t="s">
        <v>559</v>
      </c>
      <c r="H35" s="256">
        <v>2.0122360136908717</v>
      </c>
      <c r="J35" s="97"/>
      <c r="K35" s="97"/>
      <c r="L35" s="97"/>
      <c r="M35" s="97"/>
      <c r="N35" s="97"/>
    </row>
    <row r="36" spans="5:16" x14ac:dyDescent="0.25">
      <c r="F36" s="255" t="s">
        <v>194</v>
      </c>
      <c r="G36" s="94" t="s">
        <v>559</v>
      </c>
      <c r="H36" s="256">
        <v>0</v>
      </c>
      <c r="J36" s="97"/>
      <c r="K36" s="97"/>
      <c r="L36" s="97"/>
      <c r="M36" s="97"/>
      <c r="N36" s="97"/>
    </row>
    <row r="37" spans="5:16" x14ac:dyDescent="0.25">
      <c r="F37" s="255" t="s">
        <v>195</v>
      </c>
      <c r="G37" s="94" t="s">
        <v>559</v>
      </c>
      <c r="H37" s="256">
        <v>9.3955912726365476</v>
      </c>
      <c r="J37" s="97"/>
      <c r="K37" s="97"/>
      <c r="L37" s="97"/>
      <c r="M37" s="97"/>
      <c r="N37" s="97"/>
      <c r="O37" s="97"/>
    </row>
    <row r="38" spans="5:16" x14ac:dyDescent="0.25">
      <c r="F38" s="255" t="s">
        <v>196</v>
      </c>
      <c r="G38" s="94" t="s">
        <v>559</v>
      </c>
      <c r="H38" s="256">
        <v>2.9022326340389109</v>
      </c>
      <c r="J38" s="97"/>
      <c r="K38" s="97"/>
      <c r="L38" s="97"/>
      <c r="M38" s="97"/>
      <c r="N38" s="97"/>
      <c r="O38" s="97"/>
    </row>
    <row r="39" spans="5:16" x14ac:dyDescent="0.25">
      <c r="F39" s="257" t="s">
        <v>197</v>
      </c>
      <c r="G39" s="101" t="s">
        <v>559</v>
      </c>
      <c r="H39" s="258">
        <v>5.7481044480198404</v>
      </c>
      <c r="J39" s="97"/>
      <c r="K39" s="97"/>
      <c r="L39" s="97"/>
      <c r="M39" s="97"/>
      <c r="N39" s="97"/>
      <c r="O39" s="97"/>
    </row>
    <row r="40" spans="5:16" x14ac:dyDescent="0.25">
      <c r="G40" s="94"/>
      <c r="H40" s="106"/>
      <c r="J40" s="97"/>
      <c r="K40" s="97"/>
      <c r="L40" s="97"/>
      <c r="M40" s="97"/>
      <c r="N40" s="97"/>
      <c r="O40" s="97"/>
    </row>
    <row r="41" spans="5:16" x14ac:dyDescent="0.25">
      <c r="E41" s="75" t="s">
        <v>572</v>
      </c>
      <c r="F41" s="75"/>
      <c r="H41" s="173"/>
      <c r="I41" s="3"/>
      <c r="J41" s="97"/>
      <c r="K41" s="97"/>
      <c r="L41" s="97"/>
      <c r="M41" s="97"/>
      <c r="N41" s="97"/>
      <c r="O41" s="97"/>
      <c r="P41" s="3"/>
    </row>
    <row r="42" spans="5:16" x14ac:dyDescent="0.25">
      <c r="E42" s="86" t="s">
        <v>573</v>
      </c>
      <c r="F42" s="86"/>
      <c r="H42" s="173"/>
      <c r="I42" s="3"/>
      <c r="J42" s="97"/>
      <c r="K42" s="97"/>
      <c r="L42" s="97"/>
      <c r="M42" s="97"/>
      <c r="N42" s="97"/>
      <c r="O42" s="97"/>
      <c r="P42" s="3"/>
    </row>
    <row r="43" spans="5:16" x14ac:dyDescent="0.25">
      <c r="F43" s="95" t="s">
        <v>187</v>
      </c>
      <c r="G43" s="95" t="s">
        <v>281</v>
      </c>
      <c r="H43" s="170">
        <f t="array" ref="H43:H52">TRANSPOSE('Load &amp; loss characteristics'!J29:S29)</f>
        <v>1</v>
      </c>
      <c r="I43" s="3"/>
      <c r="J43" s="97"/>
      <c r="K43" s="97"/>
      <c r="L43" s="97"/>
      <c r="M43" s="97"/>
      <c r="N43" s="97"/>
      <c r="O43" s="97"/>
    </row>
    <row r="44" spans="5:16" x14ac:dyDescent="0.25">
      <c r="F44" t="s">
        <v>189</v>
      </c>
      <c r="G44" t="s">
        <v>281</v>
      </c>
      <c r="H44" s="167">
        <v>1</v>
      </c>
      <c r="I44" s="3"/>
      <c r="J44" s="97"/>
      <c r="K44" s="97"/>
      <c r="L44" s="97"/>
      <c r="M44" s="97"/>
      <c r="N44" s="97"/>
      <c r="O44" s="97"/>
    </row>
    <row r="45" spans="5:16" x14ac:dyDescent="0.25">
      <c r="F45" t="s">
        <v>190</v>
      </c>
      <c r="G45" t="s">
        <v>281</v>
      </c>
      <c r="H45" s="167">
        <v>1.0049999999999999</v>
      </c>
      <c r="I45" s="3"/>
      <c r="J45" s="97"/>
      <c r="K45" s="97"/>
      <c r="L45" s="97"/>
      <c r="M45" s="97"/>
      <c r="N45" s="97"/>
      <c r="O45" s="97"/>
    </row>
    <row r="46" spans="5:16" x14ac:dyDescent="0.25">
      <c r="F46" t="s">
        <v>191</v>
      </c>
      <c r="G46" t="s">
        <v>281</v>
      </c>
      <c r="H46" s="167">
        <v>1.008</v>
      </c>
      <c r="J46" s="97"/>
      <c r="K46" s="97"/>
      <c r="L46" s="97"/>
      <c r="M46" s="97"/>
      <c r="N46" s="97"/>
      <c r="O46" s="97"/>
    </row>
    <row r="47" spans="5:16" x14ac:dyDescent="0.25">
      <c r="F47" t="s">
        <v>192</v>
      </c>
      <c r="G47" t="s">
        <v>281</v>
      </c>
      <c r="H47" s="167">
        <v>1.01</v>
      </c>
      <c r="I47" s="3"/>
      <c r="J47" s="97"/>
      <c r="K47" s="97"/>
      <c r="L47" s="97"/>
      <c r="M47" s="97"/>
      <c r="N47" s="97"/>
      <c r="O47" s="97"/>
    </row>
    <row r="48" spans="5:16" x14ac:dyDescent="0.25">
      <c r="F48" t="s">
        <v>193</v>
      </c>
      <c r="G48" t="s">
        <v>281</v>
      </c>
      <c r="H48" s="167">
        <v>1.0149999999999999</v>
      </c>
      <c r="I48" s="3"/>
      <c r="J48" s="97"/>
      <c r="K48" s="97"/>
      <c r="L48" s="97"/>
      <c r="M48" s="97"/>
      <c r="N48" s="97"/>
      <c r="O48" s="97"/>
    </row>
    <row r="49" spans="4:25" x14ac:dyDescent="0.25">
      <c r="F49" t="s">
        <v>194</v>
      </c>
      <c r="G49" t="s">
        <v>281</v>
      </c>
      <c r="H49" s="167">
        <v>1.0149999999999999</v>
      </c>
      <c r="I49" s="3"/>
      <c r="J49" s="97"/>
      <c r="K49" s="97"/>
      <c r="L49" s="97"/>
      <c r="M49" s="97"/>
      <c r="N49" s="97"/>
      <c r="O49" s="97"/>
    </row>
    <row r="50" spans="4:25" x14ac:dyDescent="0.25">
      <c r="F50" t="s">
        <v>195</v>
      </c>
      <c r="G50" t="s">
        <v>281</v>
      </c>
      <c r="H50" s="167">
        <v>1.024</v>
      </c>
      <c r="J50" s="97"/>
      <c r="K50" s="97"/>
      <c r="L50" s="97"/>
      <c r="M50" s="97"/>
      <c r="N50" s="97"/>
      <c r="O50" s="97"/>
    </row>
    <row r="51" spans="4:25" x14ac:dyDescent="0.25">
      <c r="F51" t="s">
        <v>196</v>
      </c>
      <c r="G51" t="s">
        <v>281</v>
      </c>
      <c r="H51" s="167">
        <v>1.04</v>
      </c>
      <c r="I51" s="3"/>
      <c r="J51" s="97"/>
      <c r="K51" s="97"/>
      <c r="L51" s="97"/>
      <c r="M51" s="97"/>
      <c r="N51" s="97"/>
      <c r="O51" s="97"/>
    </row>
    <row r="52" spans="4:25" x14ac:dyDescent="0.25">
      <c r="F52" s="96" t="s">
        <v>197</v>
      </c>
      <c r="G52" s="96" t="s">
        <v>281</v>
      </c>
      <c r="H52" s="171">
        <v>1.1020000000000001</v>
      </c>
      <c r="I52" s="3"/>
      <c r="J52" s="97"/>
      <c r="K52" s="97"/>
      <c r="L52" s="97"/>
      <c r="M52" s="97"/>
      <c r="N52" s="97"/>
      <c r="O52" s="97"/>
    </row>
    <row r="53" spans="4:25" x14ac:dyDescent="0.25">
      <c r="G53" s="94"/>
      <c r="H53" s="3"/>
      <c r="I53" s="3"/>
      <c r="J53" s="97"/>
      <c r="K53" s="97"/>
      <c r="L53" s="97"/>
      <c r="M53" s="97"/>
      <c r="N53" s="97"/>
      <c r="O53" s="97"/>
    </row>
    <row r="54" spans="4:25" x14ac:dyDescent="0.25">
      <c r="E54" s="75" t="s">
        <v>364</v>
      </c>
      <c r="F54" s="75"/>
      <c r="J54" s="97"/>
      <c r="L54" s="97"/>
    </row>
    <row r="55" spans="4:25" x14ac:dyDescent="0.25">
      <c r="D55" s="75"/>
      <c r="E55" s="75"/>
      <c r="F55" s="254" t="s">
        <v>187</v>
      </c>
      <c r="G55" s="95" t="s">
        <v>281</v>
      </c>
      <c r="H55" s="95"/>
      <c r="I55" s="95"/>
      <c r="J55" s="259">
        <f t="array" ref="J55:Y64">TRANSPOSE('Load &amp; loss characteristics'!J145:S160)</f>
        <v>1.1020000000000001</v>
      </c>
      <c r="K55" s="259">
        <v>1.1020000000000001</v>
      </c>
      <c r="L55" s="259">
        <v>1.1020000000000001</v>
      </c>
      <c r="M55" s="259">
        <v>1.1020000000000001</v>
      </c>
      <c r="N55" s="259">
        <v>1.1020000000000001</v>
      </c>
      <c r="O55" s="259">
        <v>1.04</v>
      </c>
      <c r="P55" s="259">
        <v>1.024</v>
      </c>
      <c r="Q55" s="259">
        <v>1.1020000000000001</v>
      </c>
      <c r="R55" s="259">
        <v>-1.1020000000000001</v>
      </c>
      <c r="S55" s="259">
        <v>-1.04</v>
      </c>
      <c r="T55" s="259">
        <v>-1.1020000000000001</v>
      </c>
      <c r="U55" s="259">
        <v>-1.1020000000000001</v>
      </c>
      <c r="V55" s="259">
        <v>-1.04</v>
      </c>
      <c r="W55" s="259">
        <v>-1.04</v>
      </c>
      <c r="X55" s="259">
        <v>-1.024</v>
      </c>
      <c r="Y55" s="259">
        <v>-1.024</v>
      </c>
    </row>
    <row r="56" spans="4:25" x14ac:dyDescent="0.25">
      <c r="D56" s="75"/>
      <c r="E56" s="75"/>
      <c r="F56" s="255" t="s">
        <v>189</v>
      </c>
      <c r="G56" t="s">
        <v>281</v>
      </c>
      <c r="J56" s="256">
        <v>1.1020000000000001</v>
      </c>
      <c r="K56" s="256">
        <v>1.1020000000000001</v>
      </c>
      <c r="L56" s="256">
        <v>1.1020000000000001</v>
      </c>
      <c r="M56" s="256">
        <v>1.1020000000000001</v>
      </c>
      <c r="N56" s="256">
        <v>1.1020000000000001</v>
      </c>
      <c r="O56" s="256">
        <v>1.04</v>
      </c>
      <c r="P56" s="256">
        <v>1.024</v>
      </c>
      <c r="Q56" s="256">
        <v>1.1020000000000001</v>
      </c>
      <c r="R56" s="256">
        <v>-1.1020000000000001</v>
      </c>
      <c r="S56" s="256">
        <v>-1.04</v>
      </c>
      <c r="T56" s="256">
        <v>-1.1020000000000001</v>
      </c>
      <c r="U56" s="256">
        <v>-1.1020000000000001</v>
      </c>
      <c r="V56" s="256">
        <v>-1.04</v>
      </c>
      <c r="W56" s="256">
        <v>-1.04</v>
      </c>
      <c r="X56" s="256">
        <v>-1.024</v>
      </c>
      <c r="Y56" s="256">
        <v>-1.024</v>
      </c>
    </row>
    <row r="57" spans="4:25" x14ac:dyDescent="0.25">
      <c r="D57" s="75"/>
      <c r="E57" s="75"/>
      <c r="F57" s="255" t="s">
        <v>190</v>
      </c>
      <c r="G57" t="s">
        <v>281</v>
      </c>
      <c r="J57" s="256">
        <v>1.1020000000000001</v>
      </c>
      <c r="K57" s="256">
        <v>1.1020000000000001</v>
      </c>
      <c r="L57" s="256">
        <v>1.1020000000000001</v>
      </c>
      <c r="M57" s="256">
        <v>1.1020000000000001</v>
      </c>
      <c r="N57" s="256">
        <v>1.1020000000000001</v>
      </c>
      <c r="O57" s="256">
        <v>1.04</v>
      </c>
      <c r="P57" s="256">
        <v>1.024</v>
      </c>
      <c r="Q57" s="256">
        <v>1.1020000000000001</v>
      </c>
      <c r="R57" s="256">
        <v>-1.1020000000000001</v>
      </c>
      <c r="S57" s="256">
        <v>-1.04</v>
      </c>
      <c r="T57" s="256">
        <v>-1.1020000000000001</v>
      </c>
      <c r="U57" s="256">
        <v>-1.1020000000000001</v>
      </c>
      <c r="V57" s="256">
        <v>-1.04</v>
      </c>
      <c r="W57" s="256">
        <v>-1.04</v>
      </c>
      <c r="X57" s="256">
        <v>-1.024</v>
      </c>
      <c r="Y57" s="256">
        <v>-1.024</v>
      </c>
    </row>
    <row r="58" spans="4:25" x14ac:dyDescent="0.25">
      <c r="D58" s="75"/>
      <c r="E58" s="75"/>
      <c r="F58" s="255" t="s">
        <v>191</v>
      </c>
      <c r="G58" t="s">
        <v>281</v>
      </c>
      <c r="J58" s="256">
        <v>1.1020000000000001</v>
      </c>
      <c r="K58" s="256">
        <v>1.1020000000000001</v>
      </c>
      <c r="L58" s="256">
        <v>1.1020000000000001</v>
      </c>
      <c r="M58" s="256">
        <v>1.1020000000000001</v>
      </c>
      <c r="N58" s="256">
        <v>1.1020000000000001</v>
      </c>
      <c r="O58" s="256">
        <v>1.04</v>
      </c>
      <c r="P58" s="256">
        <v>1.024</v>
      </c>
      <c r="Q58" s="256">
        <v>1.1020000000000001</v>
      </c>
      <c r="R58" s="256">
        <v>-1.1020000000000001</v>
      </c>
      <c r="S58" s="256">
        <v>-1.04</v>
      </c>
      <c r="T58" s="256">
        <v>-1.1020000000000001</v>
      </c>
      <c r="U58" s="256">
        <v>-1.1020000000000001</v>
      </c>
      <c r="V58" s="256">
        <v>-1.04</v>
      </c>
      <c r="W58" s="256">
        <v>-1.04</v>
      </c>
      <c r="X58" s="256">
        <v>-1.024</v>
      </c>
      <c r="Y58" s="256">
        <v>-1.024</v>
      </c>
    </row>
    <row r="59" spans="4:25" x14ac:dyDescent="0.25">
      <c r="D59" s="75"/>
      <c r="E59" s="75"/>
      <c r="F59" s="255" t="s">
        <v>192</v>
      </c>
      <c r="G59" t="s">
        <v>281</v>
      </c>
      <c r="J59" s="256">
        <v>1.1020000000000001</v>
      </c>
      <c r="K59" s="256">
        <v>1.1020000000000001</v>
      </c>
      <c r="L59" s="256">
        <v>1.1020000000000001</v>
      </c>
      <c r="M59" s="256">
        <v>1.1020000000000001</v>
      </c>
      <c r="N59" s="256">
        <v>1.1020000000000001</v>
      </c>
      <c r="O59" s="256">
        <v>1.04</v>
      </c>
      <c r="P59" s="256">
        <v>1.024</v>
      </c>
      <c r="Q59" s="256">
        <v>1.1020000000000001</v>
      </c>
      <c r="R59" s="256">
        <v>-1.1020000000000001</v>
      </c>
      <c r="S59" s="256">
        <v>-1.04</v>
      </c>
      <c r="T59" s="256">
        <v>-1.1020000000000001</v>
      </c>
      <c r="U59" s="256">
        <v>-1.1020000000000001</v>
      </c>
      <c r="V59" s="256">
        <v>-1.04</v>
      </c>
      <c r="W59" s="256">
        <v>-1.04</v>
      </c>
      <c r="X59" s="256">
        <v>-1.024</v>
      </c>
      <c r="Y59" s="256">
        <v>-1.024</v>
      </c>
    </row>
    <row r="60" spans="4:25" x14ac:dyDescent="0.25">
      <c r="D60" s="75"/>
      <c r="E60" s="75"/>
      <c r="F60" s="255" t="s">
        <v>193</v>
      </c>
      <c r="G60" t="s">
        <v>281</v>
      </c>
      <c r="J60" s="256">
        <v>1.1020000000000001</v>
      </c>
      <c r="K60" s="256">
        <v>1.1020000000000001</v>
      </c>
      <c r="L60" s="256">
        <v>1.1020000000000001</v>
      </c>
      <c r="M60" s="256">
        <v>1.1020000000000001</v>
      </c>
      <c r="N60" s="256">
        <v>1.1020000000000001</v>
      </c>
      <c r="O60" s="256">
        <v>1.04</v>
      </c>
      <c r="P60" s="256">
        <v>1.024</v>
      </c>
      <c r="Q60" s="256">
        <v>1.1020000000000001</v>
      </c>
      <c r="R60" s="256">
        <v>-1.1020000000000001</v>
      </c>
      <c r="S60" s="256">
        <v>-1.04</v>
      </c>
      <c r="T60" s="256">
        <v>-1.1020000000000001</v>
      </c>
      <c r="U60" s="256">
        <v>-1.1020000000000001</v>
      </c>
      <c r="V60" s="256">
        <v>-1.04</v>
      </c>
      <c r="W60" s="256">
        <v>-1.04</v>
      </c>
      <c r="X60" s="256">
        <v>-1.024</v>
      </c>
      <c r="Y60" s="256">
        <v>-1.024</v>
      </c>
    </row>
    <row r="61" spans="4:25" x14ac:dyDescent="0.25">
      <c r="D61" s="75"/>
      <c r="E61" s="75"/>
      <c r="F61" s="255" t="s">
        <v>194</v>
      </c>
      <c r="G61" t="s">
        <v>281</v>
      </c>
      <c r="J61" s="256">
        <v>0</v>
      </c>
      <c r="K61" s="256">
        <v>0</v>
      </c>
      <c r="L61" s="256">
        <v>0</v>
      </c>
      <c r="M61" s="256">
        <v>0</v>
      </c>
      <c r="N61" s="256">
        <v>0</v>
      </c>
      <c r="O61" s="256">
        <v>0</v>
      </c>
      <c r="P61" s="256">
        <v>0</v>
      </c>
      <c r="Q61" s="256">
        <v>0</v>
      </c>
      <c r="R61" s="256">
        <v>0</v>
      </c>
      <c r="S61" s="256">
        <v>0</v>
      </c>
      <c r="T61" s="256">
        <v>0</v>
      </c>
      <c r="U61" s="256">
        <v>0</v>
      </c>
      <c r="V61" s="256">
        <v>0</v>
      </c>
      <c r="W61" s="256">
        <v>0</v>
      </c>
      <c r="X61" s="256">
        <v>0</v>
      </c>
      <c r="Y61" s="256">
        <v>0</v>
      </c>
    </row>
    <row r="62" spans="4:25" x14ac:dyDescent="0.25">
      <c r="D62" s="75"/>
      <c r="E62" s="75"/>
      <c r="F62" s="255" t="s">
        <v>195</v>
      </c>
      <c r="G62" t="s">
        <v>281</v>
      </c>
      <c r="J62" s="256">
        <v>1.1020000000000001</v>
      </c>
      <c r="K62" s="256">
        <v>1.1020000000000001</v>
      </c>
      <c r="L62" s="256">
        <v>1.1020000000000001</v>
      </c>
      <c r="M62" s="256">
        <v>1.1020000000000001</v>
      </c>
      <c r="N62" s="256">
        <v>1.1020000000000001</v>
      </c>
      <c r="O62" s="256">
        <v>1.04</v>
      </c>
      <c r="P62" s="256">
        <v>1.024</v>
      </c>
      <c r="Q62" s="256">
        <v>1.1020000000000001</v>
      </c>
      <c r="R62" s="256">
        <v>-1.1020000000000001</v>
      </c>
      <c r="S62" s="256">
        <v>-1.04</v>
      </c>
      <c r="T62" s="256">
        <v>-1.1020000000000001</v>
      </c>
      <c r="U62" s="256">
        <v>-1.1020000000000001</v>
      </c>
      <c r="V62" s="256">
        <v>-1.04</v>
      </c>
      <c r="W62" s="256">
        <v>-1.04</v>
      </c>
      <c r="X62" s="256">
        <v>0</v>
      </c>
      <c r="Y62" s="256">
        <v>0</v>
      </c>
    </row>
    <row r="63" spans="4:25" x14ac:dyDescent="0.25">
      <c r="D63" s="75"/>
      <c r="E63" s="75"/>
      <c r="F63" s="255" t="s">
        <v>196</v>
      </c>
      <c r="G63" t="s">
        <v>281</v>
      </c>
      <c r="J63" s="256">
        <v>1.1020000000000001</v>
      </c>
      <c r="K63" s="256">
        <v>1.1020000000000001</v>
      </c>
      <c r="L63" s="256">
        <v>1.1020000000000001</v>
      </c>
      <c r="M63" s="256">
        <v>1.1020000000000001</v>
      </c>
      <c r="N63" s="256">
        <v>1.1020000000000001</v>
      </c>
      <c r="O63" s="256">
        <v>1.04</v>
      </c>
      <c r="P63" s="256">
        <v>0</v>
      </c>
      <c r="Q63" s="256">
        <v>1.1020000000000001</v>
      </c>
      <c r="R63" s="256">
        <v>-1.1020000000000001</v>
      </c>
      <c r="S63" s="256">
        <v>0</v>
      </c>
      <c r="T63" s="256">
        <v>-1.1020000000000001</v>
      </c>
      <c r="U63" s="256">
        <v>-1.1020000000000001</v>
      </c>
      <c r="V63" s="256">
        <v>0</v>
      </c>
      <c r="W63" s="256">
        <v>0</v>
      </c>
      <c r="X63" s="256">
        <v>0</v>
      </c>
      <c r="Y63" s="256">
        <v>0</v>
      </c>
    </row>
    <row r="64" spans="4:25" x14ac:dyDescent="0.25">
      <c r="D64" s="75"/>
      <c r="E64" s="75"/>
      <c r="F64" s="257" t="s">
        <v>197</v>
      </c>
      <c r="G64" s="96" t="s">
        <v>281</v>
      </c>
      <c r="H64" s="96"/>
      <c r="I64" s="96"/>
      <c r="J64" s="258">
        <v>1.1020000000000001</v>
      </c>
      <c r="K64" s="258">
        <v>1.1020000000000001</v>
      </c>
      <c r="L64" s="258">
        <v>1.1020000000000001</v>
      </c>
      <c r="M64" s="258">
        <v>1.1020000000000001</v>
      </c>
      <c r="N64" s="258">
        <v>1.1020000000000001</v>
      </c>
      <c r="O64" s="258">
        <v>0</v>
      </c>
      <c r="P64" s="258">
        <v>0</v>
      </c>
      <c r="Q64" s="258">
        <v>1.1020000000000001</v>
      </c>
      <c r="R64" s="258">
        <v>0</v>
      </c>
      <c r="S64" s="258">
        <v>0</v>
      </c>
      <c r="T64" s="258">
        <v>0</v>
      </c>
      <c r="U64" s="258">
        <v>0</v>
      </c>
      <c r="V64" s="258">
        <v>0</v>
      </c>
      <c r="W64" s="258">
        <v>0</v>
      </c>
      <c r="X64" s="258">
        <v>0</v>
      </c>
      <c r="Y64" s="258">
        <v>0</v>
      </c>
    </row>
    <row r="65" spans="3:25" x14ac:dyDescent="0.25">
      <c r="D65" s="75"/>
      <c r="E65" s="75"/>
      <c r="J65" s="260"/>
      <c r="K65" s="260"/>
      <c r="L65" s="260"/>
      <c r="M65" s="260"/>
      <c r="N65" s="260"/>
      <c r="O65" s="260"/>
      <c r="P65" s="260"/>
      <c r="Q65" s="260"/>
      <c r="R65" s="260"/>
      <c r="S65" s="260"/>
      <c r="T65" s="260"/>
      <c r="U65" s="260"/>
      <c r="V65" s="260"/>
      <c r="W65" s="260"/>
      <c r="X65" s="260"/>
      <c r="Y65" s="260"/>
    </row>
    <row r="66" spans="3:25" x14ac:dyDescent="0.25">
      <c r="E66" s="75" t="s">
        <v>371</v>
      </c>
      <c r="J66" s="260"/>
      <c r="K66" s="260"/>
      <c r="L66" s="260"/>
      <c r="M66" s="260"/>
      <c r="N66" s="260"/>
      <c r="O66" s="260"/>
      <c r="P66" s="260"/>
      <c r="Q66" s="260"/>
      <c r="R66" s="260"/>
      <c r="S66" s="260"/>
      <c r="T66" s="260"/>
      <c r="U66" s="260"/>
      <c r="V66" s="260"/>
      <c r="W66" s="260"/>
      <c r="X66" s="260"/>
      <c r="Y66" s="260"/>
    </row>
    <row r="67" spans="3:25" x14ac:dyDescent="0.25">
      <c r="D67" s="75"/>
      <c r="E67" s="75"/>
      <c r="F67" s="254" t="s">
        <v>187</v>
      </c>
      <c r="G67" s="98" t="s">
        <v>165</v>
      </c>
      <c r="H67" s="95"/>
      <c r="I67" s="95"/>
      <c r="J67" s="261"/>
      <c r="K67" s="261"/>
      <c r="L67" s="261"/>
      <c r="M67" s="261"/>
      <c r="N67" s="261"/>
      <c r="O67" s="261"/>
      <c r="P67" s="261"/>
      <c r="Q67" s="261"/>
      <c r="R67" s="261"/>
      <c r="S67" s="261"/>
      <c r="T67" s="261"/>
      <c r="U67" s="261"/>
      <c r="V67" s="261"/>
      <c r="W67" s="261"/>
      <c r="X67" s="261"/>
      <c r="Y67" s="261"/>
    </row>
    <row r="68" spans="3:25" x14ac:dyDescent="0.25">
      <c r="D68" s="75"/>
      <c r="E68" s="75"/>
      <c r="F68" s="255" t="s">
        <v>189</v>
      </c>
      <c r="G68" s="94" t="s">
        <v>165</v>
      </c>
      <c r="J68" s="262"/>
      <c r="K68" s="262"/>
      <c r="L68" s="262"/>
      <c r="M68" s="262"/>
      <c r="N68" s="262"/>
      <c r="O68" s="262"/>
      <c r="P68" s="262"/>
      <c r="Q68" s="262"/>
      <c r="R68" s="262"/>
      <c r="S68" s="262"/>
      <c r="T68" s="262"/>
      <c r="U68" s="262"/>
      <c r="V68" s="262"/>
      <c r="W68" s="262"/>
      <c r="X68" s="262"/>
      <c r="Y68" s="262"/>
    </row>
    <row r="69" spans="3:25" x14ac:dyDescent="0.25">
      <c r="D69" s="75"/>
      <c r="E69" s="75"/>
      <c r="F69" s="255" t="s">
        <v>190</v>
      </c>
      <c r="G69" s="94" t="s">
        <v>165</v>
      </c>
      <c r="J69" s="256">
        <f t="array" ref="J69:Y76">TRANSPOSE('Customer contributions'!L51:S66)</f>
        <v>0</v>
      </c>
      <c r="K69" s="256">
        <v>0</v>
      </c>
      <c r="L69" s="256">
        <v>0</v>
      </c>
      <c r="M69" s="256">
        <v>0</v>
      </c>
      <c r="N69" s="256">
        <v>0</v>
      </c>
      <c r="O69" s="256">
        <v>0</v>
      </c>
      <c r="P69" s="256">
        <v>0</v>
      </c>
      <c r="Q69" s="256">
        <v>0</v>
      </c>
      <c r="R69" s="256">
        <v>0</v>
      </c>
      <c r="S69" s="256">
        <v>0</v>
      </c>
      <c r="T69" s="256">
        <v>0</v>
      </c>
      <c r="U69" s="256">
        <v>0</v>
      </c>
      <c r="V69" s="256">
        <v>0</v>
      </c>
      <c r="W69" s="256">
        <v>0</v>
      </c>
      <c r="X69" s="256">
        <v>0</v>
      </c>
      <c r="Y69" s="256">
        <v>0</v>
      </c>
    </row>
    <row r="70" spans="3:25" x14ac:dyDescent="0.25">
      <c r="D70" s="75"/>
      <c r="E70" s="75"/>
      <c r="F70" s="255" t="s">
        <v>191</v>
      </c>
      <c r="G70" s="94" t="s">
        <v>165</v>
      </c>
      <c r="J70" s="256">
        <v>0</v>
      </c>
      <c r="K70" s="256">
        <v>0</v>
      </c>
      <c r="L70" s="256">
        <v>0</v>
      </c>
      <c r="M70" s="256">
        <v>0</v>
      </c>
      <c r="N70" s="256">
        <v>0</v>
      </c>
      <c r="O70" s="256">
        <v>0</v>
      </c>
      <c r="P70" s="256">
        <v>0</v>
      </c>
      <c r="Q70" s="256">
        <v>0</v>
      </c>
      <c r="R70" s="256">
        <v>0</v>
      </c>
      <c r="S70" s="256">
        <v>0</v>
      </c>
      <c r="T70" s="256">
        <v>0</v>
      </c>
      <c r="U70" s="256">
        <v>0</v>
      </c>
      <c r="V70" s="256">
        <v>0</v>
      </c>
      <c r="W70" s="256">
        <v>0</v>
      </c>
      <c r="X70" s="256">
        <v>0</v>
      </c>
      <c r="Y70" s="256">
        <v>0</v>
      </c>
    </row>
    <row r="71" spans="3:25" x14ac:dyDescent="0.25">
      <c r="D71" s="75"/>
      <c r="E71" s="75"/>
      <c r="F71" s="255" t="s">
        <v>192</v>
      </c>
      <c r="G71" s="94" t="s">
        <v>165</v>
      </c>
      <c r="J71" s="256">
        <v>0</v>
      </c>
      <c r="K71" s="256">
        <v>0</v>
      </c>
      <c r="L71" s="256">
        <v>0</v>
      </c>
      <c r="M71" s="256">
        <v>0</v>
      </c>
      <c r="N71" s="256">
        <v>0</v>
      </c>
      <c r="O71" s="256">
        <v>0</v>
      </c>
      <c r="P71" s="256">
        <v>0</v>
      </c>
      <c r="Q71" s="256">
        <v>0</v>
      </c>
      <c r="R71" s="256">
        <v>0</v>
      </c>
      <c r="S71" s="256">
        <v>0</v>
      </c>
      <c r="T71" s="256">
        <v>0</v>
      </c>
      <c r="U71" s="256">
        <v>0</v>
      </c>
      <c r="V71" s="256">
        <v>0</v>
      </c>
      <c r="W71" s="256">
        <v>0</v>
      </c>
      <c r="X71" s="256">
        <v>0</v>
      </c>
      <c r="Y71" s="256">
        <v>0</v>
      </c>
    </row>
    <row r="72" spans="3:25" x14ac:dyDescent="0.25">
      <c r="D72" s="75"/>
      <c r="E72" s="75"/>
      <c r="F72" s="255" t="s">
        <v>193</v>
      </c>
      <c r="G72" s="94" t="s">
        <v>165</v>
      </c>
      <c r="J72" s="256">
        <v>0</v>
      </c>
      <c r="K72" s="256">
        <v>0</v>
      </c>
      <c r="L72" s="256">
        <v>0</v>
      </c>
      <c r="M72" s="256">
        <v>0</v>
      </c>
      <c r="N72" s="256">
        <v>0</v>
      </c>
      <c r="O72" s="256">
        <v>0</v>
      </c>
      <c r="P72" s="256">
        <v>0</v>
      </c>
      <c r="Q72" s="256">
        <v>0</v>
      </c>
      <c r="R72" s="256">
        <v>0</v>
      </c>
      <c r="S72" s="256">
        <v>0</v>
      </c>
      <c r="T72" s="256">
        <v>0</v>
      </c>
      <c r="U72" s="256">
        <v>0</v>
      </c>
      <c r="V72" s="256">
        <v>0</v>
      </c>
      <c r="W72" s="256">
        <v>0</v>
      </c>
      <c r="X72" s="256">
        <v>0</v>
      </c>
      <c r="Y72" s="256">
        <v>0</v>
      </c>
    </row>
    <row r="73" spans="3:25" x14ac:dyDescent="0.25">
      <c r="D73" s="75"/>
      <c r="E73" s="75"/>
      <c r="F73" s="255" t="s">
        <v>194</v>
      </c>
      <c r="G73" s="94" t="s">
        <v>165</v>
      </c>
      <c r="J73" s="256">
        <v>0</v>
      </c>
      <c r="K73" s="256">
        <v>0</v>
      </c>
      <c r="L73" s="256">
        <v>0</v>
      </c>
      <c r="M73" s="256">
        <v>0</v>
      </c>
      <c r="N73" s="256">
        <v>0</v>
      </c>
      <c r="O73" s="256">
        <v>0</v>
      </c>
      <c r="P73" s="256">
        <v>0</v>
      </c>
      <c r="Q73" s="256">
        <v>0</v>
      </c>
      <c r="R73" s="256">
        <v>0</v>
      </c>
      <c r="S73" s="256">
        <v>0</v>
      </c>
      <c r="T73" s="256">
        <v>0</v>
      </c>
      <c r="U73" s="256">
        <v>0</v>
      </c>
      <c r="V73" s="256">
        <v>0</v>
      </c>
      <c r="W73" s="256">
        <v>0</v>
      </c>
      <c r="X73" s="256">
        <v>0</v>
      </c>
      <c r="Y73" s="256">
        <v>0</v>
      </c>
    </row>
    <row r="74" spans="3:25" x14ac:dyDescent="0.25">
      <c r="D74" s="75"/>
      <c r="E74" s="75"/>
      <c r="F74" s="255" t="s">
        <v>195</v>
      </c>
      <c r="G74" s="94" t="s">
        <v>165</v>
      </c>
      <c r="J74" s="256">
        <v>0</v>
      </c>
      <c r="K74" s="256">
        <v>0</v>
      </c>
      <c r="L74" s="256">
        <v>0</v>
      </c>
      <c r="M74" s="256">
        <v>0</v>
      </c>
      <c r="N74" s="256">
        <v>0</v>
      </c>
      <c r="O74" s="256">
        <v>0</v>
      </c>
      <c r="P74" s="256">
        <v>0</v>
      </c>
      <c r="Q74" s="256">
        <v>0</v>
      </c>
      <c r="R74" s="256">
        <v>0</v>
      </c>
      <c r="S74" s="256">
        <v>0</v>
      </c>
      <c r="T74" s="256">
        <v>0</v>
      </c>
      <c r="U74" s="256">
        <v>0</v>
      </c>
      <c r="V74" s="256">
        <v>0</v>
      </c>
      <c r="W74" s="256">
        <v>0</v>
      </c>
      <c r="X74" s="256">
        <v>0</v>
      </c>
      <c r="Y74" s="256">
        <v>0</v>
      </c>
    </row>
    <row r="75" spans="3:25" x14ac:dyDescent="0.25">
      <c r="D75" s="75"/>
      <c r="E75" s="75"/>
      <c r="F75" s="255" t="s">
        <v>196</v>
      </c>
      <c r="G75" s="94" t="s">
        <v>165</v>
      </c>
      <c r="J75" s="256">
        <v>0</v>
      </c>
      <c r="K75" s="256">
        <v>0</v>
      </c>
      <c r="L75" s="256">
        <v>0</v>
      </c>
      <c r="M75" s="256">
        <v>0</v>
      </c>
      <c r="N75" s="256">
        <v>0</v>
      </c>
      <c r="O75" s="256">
        <v>0</v>
      </c>
      <c r="P75" s="256">
        <v>0</v>
      </c>
      <c r="Q75" s="256">
        <v>0</v>
      </c>
      <c r="R75" s="256">
        <v>0</v>
      </c>
      <c r="S75" s="256">
        <v>0</v>
      </c>
      <c r="T75" s="256">
        <v>0</v>
      </c>
      <c r="U75" s="256">
        <v>0</v>
      </c>
      <c r="V75" s="256">
        <v>0</v>
      </c>
      <c r="W75" s="256">
        <v>0</v>
      </c>
      <c r="X75" s="256">
        <v>0</v>
      </c>
      <c r="Y75" s="256">
        <v>0</v>
      </c>
    </row>
    <row r="76" spans="3:25" x14ac:dyDescent="0.25">
      <c r="D76" s="75"/>
      <c r="E76" s="75"/>
      <c r="F76" s="257" t="s">
        <v>197</v>
      </c>
      <c r="G76" s="101" t="s">
        <v>165</v>
      </c>
      <c r="H76" s="96"/>
      <c r="I76" s="96"/>
      <c r="J76" s="258">
        <v>0</v>
      </c>
      <c r="K76" s="258">
        <v>0</v>
      </c>
      <c r="L76" s="258">
        <v>0</v>
      </c>
      <c r="M76" s="258">
        <v>0</v>
      </c>
      <c r="N76" s="258">
        <v>0</v>
      </c>
      <c r="O76" s="258">
        <v>0</v>
      </c>
      <c r="P76" s="258">
        <v>0</v>
      </c>
      <c r="Q76" s="258">
        <v>0</v>
      </c>
      <c r="R76" s="258">
        <v>0</v>
      </c>
      <c r="S76" s="258">
        <v>0</v>
      </c>
      <c r="T76" s="258">
        <v>0</v>
      </c>
      <c r="U76" s="258">
        <v>0</v>
      </c>
      <c r="V76" s="258">
        <v>0</v>
      </c>
      <c r="W76" s="258">
        <v>0</v>
      </c>
      <c r="X76" s="258">
        <v>0</v>
      </c>
      <c r="Y76" s="258">
        <v>0</v>
      </c>
    </row>
    <row r="77" spans="3:25" x14ac:dyDescent="0.25">
      <c r="C77" s="75"/>
      <c r="D77" s="75"/>
      <c r="J77" s="260"/>
      <c r="K77" s="260"/>
      <c r="L77" s="260"/>
      <c r="M77" s="260"/>
      <c r="N77" s="260"/>
      <c r="O77" s="260"/>
      <c r="P77" s="260"/>
      <c r="Q77" s="260"/>
      <c r="R77" s="260"/>
      <c r="S77" s="260"/>
      <c r="T77" s="260"/>
      <c r="U77" s="260"/>
      <c r="V77" s="260"/>
      <c r="W77" s="260"/>
      <c r="X77" s="260"/>
      <c r="Y77" s="260"/>
    </row>
    <row r="78" spans="3:25" x14ac:dyDescent="0.25">
      <c r="E78" s="94" t="s">
        <v>427</v>
      </c>
      <c r="F78" s="94"/>
      <c r="G78" s="94" t="s">
        <v>281</v>
      </c>
      <c r="J78" s="256">
        <f>'Pseudo-load coefficients'!J267</f>
        <v>1.9374026925139718</v>
      </c>
      <c r="K78" s="256">
        <f>'Pseudo-load coefficients'!K267</f>
        <v>1.9374026925139718</v>
      </c>
      <c r="L78" s="256">
        <f>'Pseudo-load coefficients'!L267</f>
        <v>1.8455316610240311</v>
      </c>
      <c r="M78" s="256">
        <f>'Pseudo-load coefficients'!M267</f>
        <v>1.8455316610240311</v>
      </c>
      <c r="N78" s="256">
        <f>'Pseudo-load coefficients'!N267</f>
        <v>1.5155867839453283</v>
      </c>
      <c r="O78" s="256">
        <f>'Pseudo-load coefficients'!O267</f>
        <v>1.2843068028221891</v>
      </c>
      <c r="P78" s="256">
        <f>'Pseudo-load coefficients'!P267</f>
        <v>1.2100067341575076</v>
      </c>
      <c r="Q78" s="256">
        <f>'Pseudo-load coefficients'!Q267</f>
        <v>2.0349805925328903</v>
      </c>
      <c r="R78" s="256">
        <f>'Pseudo-load coefficients'!R267</f>
        <v>1</v>
      </c>
      <c r="S78" s="256">
        <f>'Pseudo-load coefficients'!S267</f>
        <v>1</v>
      </c>
      <c r="T78" s="256">
        <f>'Pseudo-load coefficients'!T267</f>
        <v>1</v>
      </c>
      <c r="U78" s="256">
        <f>'Pseudo-load coefficients'!U267</f>
        <v>1</v>
      </c>
      <c r="V78" s="256">
        <f>'Pseudo-load coefficients'!V267</f>
        <v>1</v>
      </c>
      <c r="W78" s="256">
        <f>'Pseudo-load coefficients'!W267</f>
        <v>1</v>
      </c>
      <c r="X78" s="256">
        <f>'Pseudo-load coefficients'!X267</f>
        <v>1</v>
      </c>
      <c r="Y78" s="256">
        <f>'Pseudo-load coefficients'!Y267</f>
        <v>1</v>
      </c>
    </row>
    <row r="79" spans="3:25" x14ac:dyDescent="0.25">
      <c r="D79" s="75"/>
      <c r="J79" s="260"/>
      <c r="K79" s="260"/>
      <c r="L79" s="260"/>
      <c r="M79" s="260"/>
      <c r="N79" s="260"/>
      <c r="O79" s="260"/>
      <c r="P79" s="260"/>
      <c r="Q79" s="260"/>
      <c r="R79" s="260"/>
      <c r="S79" s="260"/>
      <c r="T79" s="260"/>
      <c r="U79" s="260"/>
      <c r="V79" s="260"/>
      <c r="W79" s="260"/>
      <c r="X79" s="260"/>
      <c r="Y79" s="260"/>
    </row>
    <row r="80" spans="3:25" x14ac:dyDescent="0.25">
      <c r="E80" s="75" t="s">
        <v>462</v>
      </c>
      <c r="J80" s="260"/>
      <c r="K80" s="260"/>
      <c r="L80" s="260"/>
      <c r="M80" s="260"/>
      <c r="N80" s="260"/>
      <c r="O80" s="260"/>
      <c r="P80" s="260"/>
      <c r="Q80" s="260"/>
      <c r="R80" s="260"/>
      <c r="S80" s="260"/>
      <c r="T80" s="260"/>
      <c r="U80" s="260"/>
      <c r="V80" s="260"/>
      <c r="W80" s="260"/>
      <c r="X80" s="260"/>
      <c r="Y80" s="260"/>
    </row>
    <row r="81" spans="5:25" x14ac:dyDescent="0.25">
      <c r="E81" s="75"/>
      <c r="F81" s="254" t="s">
        <v>187</v>
      </c>
      <c r="G81" s="98" t="s">
        <v>281</v>
      </c>
      <c r="H81" s="95"/>
      <c r="I81" s="95"/>
      <c r="J81" s="263">
        <f>'Pseudo-load coefficients'!J272</f>
        <v>12.417193122317768</v>
      </c>
      <c r="K81" s="263">
        <f>'Pseudo-load coefficients'!K272</f>
        <v>12.417193122317768</v>
      </c>
      <c r="L81" s="263">
        <f>'Pseudo-load coefficients'!L272</f>
        <v>14.166648164202092</v>
      </c>
      <c r="M81" s="263">
        <f>'Pseudo-load coefficients'!M272</f>
        <v>14.166648164202092</v>
      </c>
      <c r="N81" s="263">
        <f>'Pseudo-load coefficients'!N272</f>
        <v>11.44967060192257</v>
      </c>
      <c r="O81" s="263">
        <f>'Pseudo-load coefficients'!O272</f>
        <v>10.038652003661383</v>
      </c>
      <c r="P81" s="263">
        <f>'Pseudo-load coefficients'!P272</f>
        <v>9.5386179368391453</v>
      </c>
      <c r="Q81" s="263">
        <f>'Pseudo-load coefficients'!Q272</f>
        <v>30.319049919599514</v>
      </c>
      <c r="R81" s="263">
        <f>'Pseudo-load coefficients'!R272</f>
        <v>8.5463292888190203</v>
      </c>
      <c r="S81" s="263">
        <f>'Pseudo-load coefficients'!S272</f>
        <v>8.5463292888190203</v>
      </c>
      <c r="T81" s="263">
        <f>'Pseudo-load coefficients'!T272</f>
        <v>8.5463292888190203</v>
      </c>
      <c r="U81" s="263">
        <f>'Pseudo-load coefficients'!U272</f>
        <v>8.5463292888190203</v>
      </c>
      <c r="V81" s="263">
        <f>'Pseudo-load coefficients'!V272</f>
        <v>8.5463292888190203</v>
      </c>
      <c r="W81" s="263">
        <f>'Pseudo-load coefficients'!W272</f>
        <v>8.5463292888190203</v>
      </c>
      <c r="X81" s="263">
        <f>'Pseudo-load coefficients'!X272</f>
        <v>8.5463292888190203</v>
      </c>
      <c r="Y81" s="263">
        <f>'Pseudo-load coefficients'!Y272</f>
        <v>8.5463292888190203</v>
      </c>
    </row>
    <row r="82" spans="5:25" x14ac:dyDescent="0.25">
      <c r="E82" s="75"/>
      <c r="F82" s="255" t="s">
        <v>189</v>
      </c>
      <c r="G82" s="94" t="s">
        <v>281</v>
      </c>
      <c r="J82" s="256">
        <f>'Pseudo-load coefficients'!J272</f>
        <v>12.417193122317768</v>
      </c>
      <c r="K82" s="256">
        <f>'Pseudo-load coefficients'!K272</f>
        <v>12.417193122317768</v>
      </c>
      <c r="L82" s="256">
        <f>'Pseudo-load coefficients'!L272</f>
        <v>14.166648164202092</v>
      </c>
      <c r="M82" s="256">
        <f>'Pseudo-load coefficients'!M272</f>
        <v>14.166648164202092</v>
      </c>
      <c r="N82" s="256">
        <f>'Pseudo-load coefficients'!N272</f>
        <v>11.44967060192257</v>
      </c>
      <c r="O82" s="256">
        <f>'Pseudo-load coefficients'!O272</f>
        <v>10.038652003661383</v>
      </c>
      <c r="P82" s="256">
        <f>'Pseudo-load coefficients'!P272</f>
        <v>9.5386179368391453</v>
      </c>
      <c r="Q82" s="256">
        <f>'Pseudo-load coefficients'!Q272</f>
        <v>30.319049919599514</v>
      </c>
      <c r="R82" s="256">
        <f>'Pseudo-load coefficients'!R272</f>
        <v>8.5463292888190203</v>
      </c>
      <c r="S82" s="256">
        <f>'Pseudo-load coefficients'!S272</f>
        <v>8.5463292888190203</v>
      </c>
      <c r="T82" s="256">
        <f>'Pseudo-load coefficients'!T272</f>
        <v>8.5463292888190203</v>
      </c>
      <c r="U82" s="256">
        <f>'Pseudo-load coefficients'!U272</f>
        <v>8.5463292888190203</v>
      </c>
      <c r="V82" s="256">
        <f>'Pseudo-load coefficients'!V272</f>
        <v>8.5463292888190203</v>
      </c>
      <c r="W82" s="256">
        <f>'Pseudo-load coefficients'!W272</f>
        <v>8.5463292888190203</v>
      </c>
      <c r="X82" s="256">
        <f>'Pseudo-load coefficients'!X272</f>
        <v>8.5463292888190203</v>
      </c>
      <c r="Y82" s="256">
        <f>'Pseudo-load coefficients'!Y272</f>
        <v>8.5463292888190203</v>
      </c>
    </row>
    <row r="83" spans="5:25" x14ac:dyDescent="0.25">
      <c r="E83" s="75"/>
      <c r="F83" s="255" t="s">
        <v>190</v>
      </c>
      <c r="G83" s="94" t="s">
        <v>281</v>
      </c>
      <c r="J83" s="256">
        <f>'Pseudo-load coefficients'!J273</f>
        <v>9.1672432521410023</v>
      </c>
      <c r="K83" s="256">
        <f>'Pseudo-load coefficients'!K273</f>
        <v>9.1672432521410023</v>
      </c>
      <c r="L83" s="256">
        <f>'Pseudo-load coefficients'!L273</f>
        <v>10.45881371977053</v>
      </c>
      <c r="M83" s="256">
        <f>'Pseudo-load coefficients'!M273</f>
        <v>10.45881371977053</v>
      </c>
      <c r="N83" s="256">
        <f>'Pseudo-load coefficients'!N273</f>
        <v>8.4529502384931821</v>
      </c>
      <c r="O83" s="256">
        <f>'Pseudo-load coefficients'!O273</f>
        <v>7.4112373009447925</v>
      </c>
      <c r="P83" s="256">
        <f>'Pseudo-load coefficients'!P273</f>
        <v>7.0420770664407524</v>
      </c>
      <c r="Q83" s="256">
        <f>'Pseudo-load coefficients'!Q273</f>
        <v>23.505896174630998</v>
      </c>
      <c r="R83" s="256">
        <f>'Pseudo-load coefficients'!R273</f>
        <v>6.309499959591288</v>
      </c>
      <c r="S83" s="256">
        <f>'Pseudo-load coefficients'!S273</f>
        <v>6.309499959591288</v>
      </c>
      <c r="T83" s="256">
        <f>'Pseudo-load coefficients'!T273</f>
        <v>6.309499959591288</v>
      </c>
      <c r="U83" s="256">
        <f>'Pseudo-load coefficients'!U273</f>
        <v>6.309499959591288</v>
      </c>
      <c r="V83" s="256">
        <f>'Pseudo-load coefficients'!V273</f>
        <v>6.309499959591288</v>
      </c>
      <c r="W83" s="256">
        <f>'Pseudo-load coefficients'!W273</f>
        <v>6.309499959591288</v>
      </c>
      <c r="X83" s="256">
        <f>'Pseudo-load coefficients'!X273</f>
        <v>6.309499959591288</v>
      </c>
      <c r="Y83" s="256">
        <f>'Pseudo-load coefficients'!Y273</f>
        <v>6.309499959591288</v>
      </c>
    </row>
    <row r="84" spans="5:25" x14ac:dyDescent="0.25">
      <c r="E84" s="75"/>
      <c r="F84" s="255" t="s">
        <v>191</v>
      </c>
      <c r="G84" s="94" t="s">
        <v>281</v>
      </c>
      <c r="J84" s="256">
        <f>'Pseudo-load coefficients'!J274</f>
        <v>9.1672432521410023</v>
      </c>
      <c r="K84" s="256">
        <f>'Pseudo-load coefficients'!K274</f>
        <v>9.1672432521410023</v>
      </c>
      <c r="L84" s="256">
        <f>'Pseudo-load coefficients'!L274</f>
        <v>10.45881371977053</v>
      </c>
      <c r="M84" s="256">
        <f>'Pseudo-load coefficients'!M274</f>
        <v>10.45881371977053</v>
      </c>
      <c r="N84" s="256">
        <f>'Pseudo-load coefficients'!N274</f>
        <v>8.4529502384931821</v>
      </c>
      <c r="O84" s="256">
        <f>'Pseudo-load coefficients'!O274</f>
        <v>7.4112373009447925</v>
      </c>
      <c r="P84" s="256">
        <f>'Pseudo-load coefficients'!P274</f>
        <v>7.0420770664407524</v>
      </c>
      <c r="Q84" s="256">
        <f>'Pseudo-load coefficients'!Q274</f>
        <v>23.505896174630998</v>
      </c>
      <c r="R84" s="256">
        <f>'Pseudo-load coefficients'!R274</f>
        <v>6.309499959591288</v>
      </c>
      <c r="S84" s="256">
        <f>'Pseudo-load coefficients'!S274</f>
        <v>6.309499959591288</v>
      </c>
      <c r="T84" s="256">
        <f>'Pseudo-load coefficients'!T274</f>
        <v>6.309499959591288</v>
      </c>
      <c r="U84" s="256">
        <f>'Pseudo-load coefficients'!U274</f>
        <v>6.309499959591288</v>
      </c>
      <c r="V84" s="256">
        <f>'Pseudo-load coefficients'!V274</f>
        <v>6.309499959591288</v>
      </c>
      <c r="W84" s="256">
        <f>'Pseudo-load coefficients'!W274</f>
        <v>6.309499959591288</v>
      </c>
      <c r="X84" s="256">
        <f>'Pseudo-load coefficients'!X274</f>
        <v>6.309499959591288</v>
      </c>
      <c r="Y84" s="256">
        <f>'Pseudo-load coefficients'!Y274</f>
        <v>6.309499959591288</v>
      </c>
    </row>
    <row r="85" spans="5:25" x14ac:dyDescent="0.25">
      <c r="E85" s="75"/>
      <c r="F85" s="255" t="s">
        <v>192</v>
      </c>
      <c r="G85" s="94" t="s">
        <v>281</v>
      </c>
      <c r="J85" s="256">
        <f>'Pseudo-load coefficients'!J275</f>
        <v>8.4993454023219943</v>
      </c>
      <c r="K85" s="256">
        <f>'Pseudo-load coefficients'!K275</f>
        <v>8.4993454023219943</v>
      </c>
      <c r="L85" s="256">
        <f>'Pseudo-load coefficients'!L275</f>
        <v>9.6968159192364567</v>
      </c>
      <c r="M85" s="256">
        <f>'Pseudo-load coefficients'!M275</f>
        <v>9.6968159192364567</v>
      </c>
      <c r="N85" s="256">
        <f>'Pseudo-load coefficients'!N275</f>
        <v>7.8370936354082668</v>
      </c>
      <c r="O85" s="256">
        <f>'Pseudo-load coefficients'!O275</f>
        <v>6.8712767782823869</v>
      </c>
      <c r="P85" s="256">
        <f>'Pseudo-load coefficients'!P275</f>
        <v>6.5290124513137284</v>
      </c>
      <c r="Q85" s="256">
        <f>'Pseudo-load coefficients'!Q275</f>
        <v>20.788359057429449</v>
      </c>
      <c r="R85" s="256">
        <f>'Pseudo-load coefficients'!R275</f>
        <v>5.8498087153930998</v>
      </c>
      <c r="S85" s="256">
        <f>'Pseudo-load coefficients'!S275</f>
        <v>5.8498087153930998</v>
      </c>
      <c r="T85" s="256">
        <f>'Pseudo-load coefficients'!T275</f>
        <v>5.8498087153930998</v>
      </c>
      <c r="U85" s="256">
        <f>'Pseudo-load coefficients'!U275</f>
        <v>5.8498087153930998</v>
      </c>
      <c r="V85" s="256">
        <f>'Pseudo-load coefficients'!V275</f>
        <v>5.8498087153930998</v>
      </c>
      <c r="W85" s="256">
        <f>'Pseudo-load coefficients'!W275</f>
        <v>5.8498087153930998</v>
      </c>
      <c r="X85" s="256">
        <f>'Pseudo-load coefficients'!X275</f>
        <v>5.8498087153930998</v>
      </c>
      <c r="Y85" s="256">
        <f>'Pseudo-load coefficients'!Y275</f>
        <v>5.8498087153930998</v>
      </c>
    </row>
    <row r="86" spans="5:25" x14ac:dyDescent="0.25">
      <c r="E86" s="75"/>
      <c r="F86" s="255" t="s">
        <v>193</v>
      </c>
      <c r="G86" s="94" t="s">
        <v>281</v>
      </c>
      <c r="J86" s="256">
        <f>'Pseudo-load coefficients'!J276</f>
        <v>8.4993454023219943</v>
      </c>
      <c r="K86" s="256">
        <f>'Pseudo-load coefficients'!K276</f>
        <v>8.4993454023219943</v>
      </c>
      <c r="L86" s="256">
        <f>'Pseudo-load coefficients'!L276</f>
        <v>9.6968159192364567</v>
      </c>
      <c r="M86" s="256">
        <f>'Pseudo-load coefficients'!M276</f>
        <v>9.6968159192364567</v>
      </c>
      <c r="N86" s="256">
        <f>'Pseudo-load coefficients'!N276</f>
        <v>7.8370936354082668</v>
      </c>
      <c r="O86" s="256">
        <f>'Pseudo-load coefficients'!O276</f>
        <v>6.8712767782823869</v>
      </c>
      <c r="P86" s="256">
        <f>'Pseudo-load coefficients'!P276</f>
        <v>6.5290124513137284</v>
      </c>
      <c r="Q86" s="256">
        <f>'Pseudo-load coefficients'!Q276</f>
        <v>20.788359057429449</v>
      </c>
      <c r="R86" s="256">
        <f>'Pseudo-load coefficients'!R276</f>
        <v>5.8498087153930998</v>
      </c>
      <c r="S86" s="256">
        <f>'Pseudo-load coefficients'!S276</f>
        <v>5.8498087153930998</v>
      </c>
      <c r="T86" s="256">
        <f>'Pseudo-load coefficients'!T276</f>
        <v>5.8498087153930998</v>
      </c>
      <c r="U86" s="256">
        <f>'Pseudo-load coefficients'!U276</f>
        <v>5.8498087153930998</v>
      </c>
      <c r="V86" s="256">
        <f>'Pseudo-load coefficients'!V276</f>
        <v>5.8498087153930998</v>
      </c>
      <c r="W86" s="256">
        <f>'Pseudo-load coefficients'!W276</f>
        <v>5.8498087153930998</v>
      </c>
      <c r="X86" s="256">
        <f>'Pseudo-load coefficients'!X276</f>
        <v>5.8498087153930998</v>
      </c>
      <c r="Y86" s="256">
        <f>'Pseudo-load coefficients'!Y276</f>
        <v>5.8498087153930998</v>
      </c>
    </row>
    <row r="87" spans="5:25" x14ac:dyDescent="0.25">
      <c r="E87" s="75"/>
      <c r="F87" s="255" t="s">
        <v>194</v>
      </c>
      <c r="G87" s="94" t="s">
        <v>281</v>
      </c>
      <c r="J87" s="256">
        <f>'Pseudo-load coefficients'!J277</f>
        <v>0</v>
      </c>
      <c r="K87" s="256">
        <f>'Pseudo-load coefficients'!K277</f>
        <v>0</v>
      </c>
      <c r="L87" s="256">
        <f>'Pseudo-load coefficients'!L277</f>
        <v>0</v>
      </c>
      <c r="M87" s="256">
        <f>'Pseudo-load coefficients'!M277</f>
        <v>0</v>
      </c>
      <c r="N87" s="256">
        <f>'Pseudo-load coefficients'!N277</f>
        <v>0</v>
      </c>
      <c r="O87" s="256">
        <f>'Pseudo-load coefficients'!O277</f>
        <v>0</v>
      </c>
      <c r="P87" s="256">
        <f>'Pseudo-load coefficients'!P277</f>
        <v>0</v>
      </c>
      <c r="Q87" s="256">
        <f>'Pseudo-load coefficients'!Q277</f>
        <v>0</v>
      </c>
      <c r="R87" s="256">
        <f>'Pseudo-load coefficients'!R277</f>
        <v>0</v>
      </c>
      <c r="S87" s="256">
        <f>'Pseudo-load coefficients'!S277</f>
        <v>0</v>
      </c>
      <c r="T87" s="256">
        <f>'Pseudo-load coefficients'!T277</f>
        <v>0</v>
      </c>
      <c r="U87" s="256">
        <f>'Pseudo-load coefficients'!U277</f>
        <v>0</v>
      </c>
      <c r="V87" s="256">
        <f>'Pseudo-load coefficients'!V277</f>
        <v>0</v>
      </c>
      <c r="W87" s="256">
        <f>'Pseudo-load coefficients'!W277</f>
        <v>0</v>
      </c>
      <c r="X87" s="256">
        <f>'Pseudo-load coefficients'!X277</f>
        <v>0</v>
      </c>
      <c r="Y87" s="256">
        <f>'Pseudo-load coefficients'!Y277</f>
        <v>0</v>
      </c>
    </row>
    <row r="88" spans="5:25" x14ac:dyDescent="0.25">
      <c r="E88" s="75"/>
      <c r="F88" s="255" t="s">
        <v>195</v>
      </c>
      <c r="G88" s="94" t="s">
        <v>281</v>
      </c>
      <c r="J88" s="256">
        <f>'Pseudo-load coefficients'!J278</f>
        <v>8.4993454023219943</v>
      </c>
      <c r="K88" s="256">
        <f>'Pseudo-load coefficients'!K278</f>
        <v>8.4993454023219943</v>
      </c>
      <c r="L88" s="256">
        <f>'Pseudo-load coefficients'!L278</f>
        <v>9.6968159192364567</v>
      </c>
      <c r="M88" s="256">
        <f>'Pseudo-load coefficients'!M278</f>
        <v>9.6968159192364567</v>
      </c>
      <c r="N88" s="256">
        <f>'Pseudo-load coefficients'!N278</f>
        <v>7.8370936354082668</v>
      </c>
      <c r="O88" s="256">
        <f>'Pseudo-load coefficients'!O278</f>
        <v>6.8712767782823869</v>
      </c>
      <c r="P88" s="256">
        <f>'Pseudo-load coefficients'!P278</f>
        <v>6.5290124513137284</v>
      </c>
      <c r="Q88" s="256">
        <f>'Pseudo-load coefficients'!Q278</f>
        <v>20.788359057429449</v>
      </c>
      <c r="R88" s="256">
        <f>'Pseudo-load coefficients'!R278</f>
        <v>5.8498087153930998</v>
      </c>
      <c r="S88" s="256">
        <f>'Pseudo-load coefficients'!S278</f>
        <v>5.8498087153930998</v>
      </c>
      <c r="T88" s="256">
        <f>'Pseudo-load coefficients'!T278</f>
        <v>5.8498087153930998</v>
      </c>
      <c r="U88" s="256">
        <f>'Pseudo-load coefficients'!U278</f>
        <v>5.8498087153930998</v>
      </c>
      <c r="V88" s="256">
        <f>'Pseudo-load coefficients'!V278</f>
        <v>5.8498087153930998</v>
      </c>
      <c r="W88" s="256">
        <f>'Pseudo-load coefficients'!W278</f>
        <v>5.8498087153930998</v>
      </c>
      <c r="X88" s="256">
        <f>'Pseudo-load coefficients'!X278</f>
        <v>5.8498087153930998</v>
      </c>
      <c r="Y88" s="256">
        <f>'Pseudo-load coefficients'!Y278</f>
        <v>5.8498087153930998</v>
      </c>
    </row>
    <row r="89" spans="5:25" x14ac:dyDescent="0.25">
      <c r="E89" s="75"/>
      <c r="F89" s="255" t="s">
        <v>196</v>
      </c>
      <c r="G89" s="94" t="s">
        <v>281</v>
      </c>
      <c r="J89" s="256">
        <f>'Pseudo-load coefficients'!J279</f>
        <v>8.4993454023219943</v>
      </c>
      <c r="K89" s="256">
        <f>'Pseudo-load coefficients'!K279</f>
        <v>8.4993454023219943</v>
      </c>
      <c r="L89" s="256">
        <f>'Pseudo-load coefficients'!L279</f>
        <v>9.6968159192364567</v>
      </c>
      <c r="M89" s="256">
        <f>'Pseudo-load coefficients'!M279</f>
        <v>9.6968159192364567</v>
      </c>
      <c r="N89" s="256">
        <f>'Pseudo-load coefficients'!N279</f>
        <v>7.8370936354082668</v>
      </c>
      <c r="O89" s="256">
        <f>'Pseudo-load coefficients'!O279</f>
        <v>6.8712767782823869</v>
      </c>
      <c r="P89" s="256">
        <f>'Pseudo-load coefficients'!P279</f>
        <v>6.5290124513137284</v>
      </c>
      <c r="Q89" s="256">
        <f>'Pseudo-load coefficients'!Q279</f>
        <v>20.788359057429449</v>
      </c>
      <c r="R89" s="256">
        <f>'Pseudo-load coefficients'!R279</f>
        <v>5.8498087153930998</v>
      </c>
      <c r="S89" s="256">
        <f>'Pseudo-load coefficients'!S279</f>
        <v>5.8498087153930998</v>
      </c>
      <c r="T89" s="256">
        <f>'Pseudo-load coefficients'!T279</f>
        <v>5.8498087153930998</v>
      </c>
      <c r="U89" s="256">
        <f>'Pseudo-load coefficients'!U279</f>
        <v>5.8498087153930998</v>
      </c>
      <c r="V89" s="256">
        <f>'Pseudo-load coefficients'!V279</f>
        <v>5.8498087153930998</v>
      </c>
      <c r="W89" s="256">
        <f>'Pseudo-load coefficients'!W279</f>
        <v>5.8498087153930998</v>
      </c>
      <c r="X89" s="256">
        <f>'Pseudo-load coefficients'!X279</f>
        <v>5.8498087153930998</v>
      </c>
      <c r="Y89" s="256">
        <f>'Pseudo-load coefficients'!Y279</f>
        <v>5.8498087153930998</v>
      </c>
    </row>
    <row r="90" spans="5:25" x14ac:dyDescent="0.25">
      <c r="E90" s="75"/>
      <c r="F90" s="257" t="s">
        <v>197</v>
      </c>
      <c r="G90" s="101" t="s">
        <v>281</v>
      </c>
      <c r="H90" s="96"/>
      <c r="I90" s="96"/>
      <c r="J90" s="258">
        <f>'Pseudo-load coefficients'!J280</f>
        <v>8.4993454023219943</v>
      </c>
      <c r="K90" s="258">
        <f>'Pseudo-load coefficients'!K280</f>
        <v>8.4993454023219943</v>
      </c>
      <c r="L90" s="258">
        <f>'Pseudo-load coefficients'!L280</f>
        <v>9.6968159192364567</v>
      </c>
      <c r="M90" s="258">
        <f>'Pseudo-load coefficients'!M280</f>
        <v>9.6968159192364567</v>
      </c>
      <c r="N90" s="258">
        <f>'Pseudo-load coefficients'!N280</f>
        <v>7.8370936354082668</v>
      </c>
      <c r="O90" s="258">
        <f>'Pseudo-load coefficients'!O280</f>
        <v>6.8712767782823869</v>
      </c>
      <c r="P90" s="258">
        <f>'Pseudo-load coefficients'!P280</f>
        <v>6.5290124513137284</v>
      </c>
      <c r="Q90" s="258">
        <f>'Pseudo-load coefficients'!Q280</f>
        <v>20.788359057429449</v>
      </c>
      <c r="R90" s="258">
        <f>'Pseudo-load coefficients'!R280</f>
        <v>5.8498087153930998</v>
      </c>
      <c r="S90" s="258">
        <f>'Pseudo-load coefficients'!S280</f>
        <v>5.8498087153930998</v>
      </c>
      <c r="T90" s="258">
        <f>'Pseudo-load coefficients'!T280</f>
        <v>5.8498087153930998</v>
      </c>
      <c r="U90" s="258">
        <f>'Pseudo-load coefficients'!U280</f>
        <v>5.8498087153930998</v>
      </c>
      <c r="V90" s="258">
        <f>'Pseudo-load coefficients'!V280</f>
        <v>5.8498087153930998</v>
      </c>
      <c r="W90" s="258">
        <f>'Pseudo-load coefficients'!W280</f>
        <v>5.8498087153930998</v>
      </c>
      <c r="X90" s="258">
        <f>'Pseudo-load coefficients'!X280</f>
        <v>5.8498087153930998</v>
      </c>
      <c r="Y90" s="258">
        <f>'Pseudo-load coefficients'!Y280</f>
        <v>5.8498087153930998</v>
      </c>
    </row>
    <row r="91" spans="5:25" x14ac:dyDescent="0.25">
      <c r="E91" s="75"/>
      <c r="J91" s="260"/>
      <c r="K91" s="260"/>
      <c r="L91" s="260"/>
      <c r="M91" s="260"/>
      <c r="N91" s="260"/>
      <c r="O91" s="260"/>
      <c r="P91" s="260"/>
      <c r="Q91" s="260"/>
      <c r="R91" s="260"/>
      <c r="S91" s="260"/>
      <c r="T91" s="260"/>
      <c r="U91" s="260"/>
      <c r="V91" s="260"/>
      <c r="W91" s="260"/>
      <c r="X91" s="260"/>
      <c r="Y91" s="260"/>
    </row>
    <row r="92" spans="5:25" x14ac:dyDescent="0.25">
      <c r="E92" s="75" t="s">
        <v>465</v>
      </c>
      <c r="J92" s="260"/>
      <c r="K92" s="260"/>
      <c r="L92" s="260"/>
      <c r="M92" s="260"/>
      <c r="N92" s="260"/>
      <c r="O92" s="260"/>
      <c r="P92" s="260"/>
      <c r="Q92" s="260"/>
      <c r="R92" s="260"/>
      <c r="S92" s="260"/>
      <c r="T92" s="260"/>
      <c r="U92" s="260"/>
      <c r="V92" s="260"/>
      <c r="W92" s="260"/>
      <c r="X92" s="260"/>
      <c r="Y92" s="260"/>
    </row>
    <row r="93" spans="5:25" x14ac:dyDescent="0.25">
      <c r="E93" s="75"/>
      <c r="F93" s="254" t="s">
        <v>187</v>
      </c>
      <c r="G93" s="98" t="s">
        <v>281</v>
      </c>
      <c r="H93" s="95"/>
      <c r="I93" s="95"/>
      <c r="J93" s="263">
        <f>'Pseudo-load coefficients'!J283</f>
        <v>0.36009369269812741</v>
      </c>
      <c r="K93" s="263">
        <f>'Pseudo-load coefficients'!K283</f>
        <v>0.36009369269812741</v>
      </c>
      <c r="L93" s="263">
        <f>'Pseudo-load coefficients'!L283</f>
        <v>0.41082719744721802</v>
      </c>
      <c r="M93" s="263">
        <f>'Pseudo-load coefficients'!M283</f>
        <v>0.41082719744721802</v>
      </c>
      <c r="N93" s="263">
        <f>'Pseudo-load coefficients'!N283</f>
        <v>0.33203592201632015</v>
      </c>
      <c r="O93" s="263">
        <f>'Pseudo-load coefficients'!O283</f>
        <v>0.29111694036656344</v>
      </c>
      <c r="P93" s="263">
        <f>'Pseudo-load coefficients'!P283</f>
        <v>0.27661615006531121</v>
      </c>
      <c r="Q93" s="263">
        <f>'Pseudo-load coefficients'!Q283</f>
        <v>0.3911686398456668</v>
      </c>
      <c r="R93" s="263">
        <f>'Pseudo-load coefficients'!R283</f>
        <v>0.24784017147110024</v>
      </c>
      <c r="S93" s="263">
        <f>'Pseudo-load coefficients'!S283</f>
        <v>0.24784017147110024</v>
      </c>
      <c r="T93" s="263">
        <f>'Pseudo-load coefficients'!T283</f>
        <v>0.24784017147110024</v>
      </c>
      <c r="U93" s="263">
        <f>'Pseudo-load coefficients'!U283</f>
        <v>0.24784017147110024</v>
      </c>
      <c r="V93" s="263">
        <f>'Pseudo-load coefficients'!V283</f>
        <v>0.24784017147110024</v>
      </c>
      <c r="W93" s="263">
        <f>'Pseudo-load coefficients'!W283</f>
        <v>0.24784017147110024</v>
      </c>
      <c r="X93" s="263">
        <f>'Pseudo-load coefficients'!X283</f>
        <v>0.24784017147110024</v>
      </c>
      <c r="Y93" s="263">
        <f>'Pseudo-load coefficients'!Y283</f>
        <v>0.24784017147110024</v>
      </c>
    </row>
    <row r="94" spans="5:25" x14ac:dyDescent="0.25">
      <c r="E94" s="75"/>
      <c r="F94" s="255" t="s">
        <v>189</v>
      </c>
      <c r="G94" s="94" t="s">
        <v>281</v>
      </c>
      <c r="J94" s="256">
        <f>'Pseudo-load coefficients'!J283</f>
        <v>0.36009369269812741</v>
      </c>
      <c r="K94" s="256">
        <f>'Pseudo-load coefficients'!K283</f>
        <v>0.36009369269812741</v>
      </c>
      <c r="L94" s="256">
        <f>'Pseudo-load coefficients'!L283</f>
        <v>0.41082719744721802</v>
      </c>
      <c r="M94" s="256">
        <f>'Pseudo-load coefficients'!M283</f>
        <v>0.41082719744721802</v>
      </c>
      <c r="N94" s="256">
        <f>'Pseudo-load coefficients'!N283</f>
        <v>0.33203592201632015</v>
      </c>
      <c r="O94" s="256">
        <f>'Pseudo-load coefficients'!O283</f>
        <v>0.29111694036656344</v>
      </c>
      <c r="P94" s="256">
        <f>'Pseudo-load coefficients'!P283</f>
        <v>0.27661615006531121</v>
      </c>
      <c r="Q94" s="256">
        <f>'Pseudo-load coefficients'!Q283</f>
        <v>0.3911686398456668</v>
      </c>
      <c r="R94" s="256">
        <f>'Pseudo-load coefficients'!R283</f>
        <v>0.24784017147110024</v>
      </c>
      <c r="S94" s="256">
        <f>'Pseudo-load coefficients'!S283</f>
        <v>0.24784017147110024</v>
      </c>
      <c r="T94" s="256">
        <f>'Pseudo-load coefficients'!T283</f>
        <v>0.24784017147110024</v>
      </c>
      <c r="U94" s="256">
        <f>'Pseudo-load coefficients'!U283</f>
        <v>0.24784017147110024</v>
      </c>
      <c r="V94" s="256">
        <f>'Pseudo-load coefficients'!V283</f>
        <v>0.24784017147110024</v>
      </c>
      <c r="W94" s="256">
        <f>'Pseudo-load coefficients'!W283</f>
        <v>0.24784017147110024</v>
      </c>
      <c r="X94" s="256">
        <f>'Pseudo-load coefficients'!X283</f>
        <v>0.24784017147110024</v>
      </c>
      <c r="Y94" s="256">
        <f>'Pseudo-load coefficients'!Y283</f>
        <v>0.24784017147110024</v>
      </c>
    </row>
    <row r="95" spans="5:25" x14ac:dyDescent="0.25">
      <c r="E95" s="75"/>
      <c r="F95" s="255" t="s">
        <v>190</v>
      </c>
      <c r="G95" s="94" t="s">
        <v>281</v>
      </c>
      <c r="J95" s="256">
        <f>'Pseudo-load coefficients'!J284</f>
        <v>1.2063695409531574</v>
      </c>
      <c r="K95" s="256">
        <f>'Pseudo-load coefficients'!K284</f>
        <v>1.2063695409531574</v>
      </c>
      <c r="L95" s="256">
        <f>'Pseudo-load coefficients'!L284</f>
        <v>1.3763346252525179</v>
      </c>
      <c r="M95" s="256">
        <f>'Pseudo-load coefficients'!M284</f>
        <v>1.3763346252525179</v>
      </c>
      <c r="N95" s="256">
        <f>'Pseudo-load coefficients'!N284</f>
        <v>1.1123716714432459</v>
      </c>
      <c r="O95" s="256">
        <f>'Pseudo-load coefficients'!O284</f>
        <v>0.97528675685000454</v>
      </c>
      <c r="P95" s="256">
        <f>'Pseudo-load coefficients'!P284</f>
        <v>0.92670686752146636</v>
      </c>
      <c r="Q95" s="256">
        <f>'Pseudo-load coefficients'!Q284</f>
        <v>0.83285482483164919</v>
      </c>
      <c r="R95" s="256">
        <f>'Pseudo-load coefficients'!R284</f>
        <v>0.83030289047019967</v>
      </c>
      <c r="S95" s="256">
        <f>'Pseudo-load coefficients'!S284</f>
        <v>0.83030289047019967</v>
      </c>
      <c r="T95" s="256">
        <f>'Pseudo-load coefficients'!T284</f>
        <v>0.83030289047019967</v>
      </c>
      <c r="U95" s="256">
        <f>'Pseudo-load coefficients'!U284</f>
        <v>0.83030289047019967</v>
      </c>
      <c r="V95" s="256">
        <f>'Pseudo-load coefficients'!V284</f>
        <v>0.83030289047019967</v>
      </c>
      <c r="W95" s="256">
        <f>'Pseudo-load coefficients'!W284</f>
        <v>0.83030289047019967</v>
      </c>
      <c r="X95" s="256">
        <f>'Pseudo-load coefficients'!X284</f>
        <v>0.83030289047019967</v>
      </c>
      <c r="Y95" s="256">
        <f>'Pseudo-load coefficients'!Y284</f>
        <v>0.83030289047019967</v>
      </c>
    </row>
    <row r="96" spans="5:25" x14ac:dyDescent="0.25">
      <c r="E96" s="75"/>
      <c r="F96" s="255" t="s">
        <v>191</v>
      </c>
      <c r="G96" s="94" t="s">
        <v>281</v>
      </c>
      <c r="J96" s="256">
        <f>'Pseudo-load coefficients'!J285</f>
        <v>1.2063695409531574</v>
      </c>
      <c r="K96" s="256">
        <f>'Pseudo-load coefficients'!K285</f>
        <v>1.2063695409531574</v>
      </c>
      <c r="L96" s="256">
        <f>'Pseudo-load coefficients'!L285</f>
        <v>1.3763346252525179</v>
      </c>
      <c r="M96" s="256">
        <f>'Pseudo-load coefficients'!M285</f>
        <v>1.3763346252525179</v>
      </c>
      <c r="N96" s="256">
        <f>'Pseudo-load coefficients'!N285</f>
        <v>1.1123716714432459</v>
      </c>
      <c r="O96" s="256">
        <f>'Pseudo-load coefficients'!O285</f>
        <v>0.97528675685000454</v>
      </c>
      <c r="P96" s="256">
        <f>'Pseudo-load coefficients'!P285</f>
        <v>0.92670686752146636</v>
      </c>
      <c r="Q96" s="256">
        <f>'Pseudo-load coefficients'!Q285</f>
        <v>0.83285482483164919</v>
      </c>
      <c r="R96" s="256">
        <f>'Pseudo-load coefficients'!R285</f>
        <v>0.83030289047019967</v>
      </c>
      <c r="S96" s="256">
        <f>'Pseudo-load coefficients'!S285</f>
        <v>0.83030289047019967</v>
      </c>
      <c r="T96" s="256">
        <f>'Pseudo-load coefficients'!T285</f>
        <v>0.83030289047019967</v>
      </c>
      <c r="U96" s="256">
        <f>'Pseudo-load coefficients'!U285</f>
        <v>0.83030289047019967</v>
      </c>
      <c r="V96" s="256">
        <f>'Pseudo-load coefficients'!V285</f>
        <v>0.83030289047019967</v>
      </c>
      <c r="W96" s="256">
        <f>'Pseudo-load coefficients'!W285</f>
        <v>0.83030289047019967</v>
      </c>
      <c r="X96" s="256">
        <f>'Pseudo-load coefficients'!X285</f>
        <v>0.83030289047019967</v>
      </c>
      <c r="Y96" s="256">
        <f>'Pseudo-load coefficients'!Y285</f>
        <v>0.83030289047019967</v>
      </c>
    </row>
    <row r="97" spans="3:25" x14ac:dyDescent="0.25">
      <c r="E97" s="75"/>
      <c r="F97" s="255" t="s">
        <v>192</v>
      </c>
      <c r="G97" s="94" t="s">
        <v>281</v>
      </c>
      <c r="J97" s="256">
        <f>'Pseudo-load coefficients'!J286</f>
        <v>1.4496434110917948</v>
      </c>
      <c r="K97" s="256">
        <f>'Pseudo-load coefficients'!K286</f>
        <v>1.4496434110917948</v>
      </c>
      <c r="L97" s="256">
        <f>'Pseudo-load coefficients'!L286</f>
        <v>1.6538832863588351</v>
      </c>
      <c r="M97" s="256">
        <f>'Pseudo-load coefficients'!M286</f>
        <v>1.6538832863588351</v>
      </c>
      <c r="N97" s="256">
        <f>'Pseudo-load coefficients'!N286</f>
        <v>1.3366901346985203</v>
      </c>
      <c r="O97" s="256">
        <f>'Pseudo-load coefficients'!O286</f>
        <v>1.1719609729831466</v>
      </c>
      <c r="P97" s="256">
        <f>'Pseudo-load coefficients'!P286</f>
        <v>1.1135845683359917</v>
      </c>
      <c r="Q97" s="256">
        <f>'Pseudo-load coefficients'!Q286</f>
        <v>1.0878443951845305</v>
      </c>
      <c r="R97" s="256">
        <f>'Pseudo-load coefficients'!R286</f>
        <v>0.99773997396319691</v>
      </c>
      <c r="S97" s="256">
        <f>'Pseudo-load coefficients'!S286</f>
        <v>0.99773997396319691</v>
      </c>
      <c r="T97" s="256">
        <f>'Pseudo-load coefficients'!T286</f>
        <v>0.99773997396319691</v>
      </c>
      <c r="U97" s="256">
        <f>'Pseudo-load coefficients'!U286</f>
        <v>0.99773997396319691</v>
      </c>
      <c r="V97" s="256">
        <f>'Pseudo-load coefficients'!V286</f>
        <v>0.99773997396319691</v>
      </c>
      <c r="W97" s="256">
        <f>'Pseudo-load coefficients'!W286</f>
        <v>0.99773997396319691</v>
      </c>
      <c r="X97" s="256">
        <f>'Pseudo-load coefficients'!X286</f>
        <v>0.99773997396319691</v>
      </c>
      <c r="Y97" s="256">
        <f>'Pseudo-load coefficients'!Y286</f>
        <v>0.99773997396319691</v>
      </c>
    </row>
    <row r="98" spans="3:25" x14ac:dyDescent="0.25">
      <c r="E98" s="75"/>
      <c r="F98" s="255" t="s">
        <v>193</v>
      </c>
      <c r="G98" s="94" t="s">
        <v>281</v>
      </c>
      <c r="J98" s="256">
        <f>'Pseudo-load coefficients'!J287</f>
        <v>1.4496434110917948</v>
      </c>
      <c r="K98" s="256">
        <f>'Pseudo-load coefficients'!K287</f>
        <v>1.4496434110917948</v>
      </c>
      <c r="L98" s="256">
        <f>'Pseudo-load coefficients'!L287</f>
        <v>1.6538832863588351</v>
      </c>
      <c r="M98" s="256">
        <f>'Pseudo-load coefficients'!M287</f>
        <v>1.6538832863588351</v>
      </c>
      <c r="N98" s="256">
        <f>'Pseudo-load coefficients'!N287</f>
        <v>1.3366901346985203</v>
      </c>
      <c r="O98" s="256">
        <f>'Pseudo-load coefficients'!O287</f>
        <v>1.1719609729831466</v>
      </c>
      <c r="P98" s="256">
        <f>'Pseudo-load coefficients'!P287</f>
        <v>1.1135845683359917</v>
      </c>
      <c r="Q98" s="256">
        <f>'Pseudo-load coefficients'!Q287</f>
        <v>1.0878443951845305</v>
      </c>
      <c r="R98" s="256">
        <f>'Pseudo-load coefficients'!R287</f>
        <v>0.99773997396319691</v>
      </c>
      <c r="S98" s="256">
        <f>'Pseudo-load coefficients'!S287</f>
        <v>0.99773997396319691</v>
      </c>
      <c r="T98" s="256">
        <f>'Pseudo-load coefficients'!T287</f>
        <v>0.99773997396319691</v>
      </c>
      <c r="U98" s="256">
        <f>'Pseudo-load coefficients'!U287</f>
        <v>0.99773997396319691</v>
      </c>
      <c r="V98" s="256">
        <f>'Pseudo-load coefficients'!V287</f>
        <v>0.99773997396319691</v>
      </c>
      <c r="W98" s="256">
        <f>'Pseudo-load coefficients'!W287</f>
        <v>0.99773997396319691</v>
      </c>
      <c r="X98" s="256">
        <f>'Pseudo-load coefficients'!X287</f>
        <v>0.99773997396319691</v>
      </c>
      <c r="Y98" s="256">
        <f>'Pseudo-load coefficients'!Y287</f>
        <v>0.99773997396319691</v>
      </c>
    </row>
    <row r="99" spans="3:25" x14ac:dyDescent="0.25">
      <c r="E99" s="75"/>
      <c r="F99" s="255" t="s">
        <v>194</v>
      </c>
      <c r="G99" s="94" t="s">
        <v>281</v>
      </c>
      <c r="J99" s="256">
        <f>'Pseudo-load coefficients'!J288</f>
        <v>0</v>
      </c>
      <c r="K99" s="256">
        <f>'Pseudo-load coefficients'!K288</f>
        <v>0</v>
      </c>
      <c r="L99" s="256">
        <f>'Pseudo-load coefficients'!L288</f>
        <v>0</v>
      </c>
      <c r="M99" s="256">
        <f>'Pseudo-load coefficients'!M288</f>
        <v>0</v>
      </c>
      <c r="N99" s="256">
        <f>'Pseudo-load coefficients'!N288</f>
        <v>0</v>
      </c>
      <c r="O99" s="256">
        <f>'Pseudo-load coefficients'!O288</f>
        <v>0</v>
      </c>
      <c r="P99" s="256">
        <f>'Pseudo-load coefficients'!P288</f>
        <v>0</v>
      </c>
      <c r="Q99" s="256">
        <f>'Pseudo-load coefficients'!Q288</f>
        <v>0</v>
      </c>
      <c r="R99" s="256">
        <f>'Pseudo-load coefficients'!R288</f>
        <v>0</v>
      </c>
      <c r="S99" s="256">
        <f>'Pseudo-load coefficients'!S288</f>
        <v>0</v>
      </c>
      <c r="T99" s="256">
        <f>'Pseudo-load coefficients'!T288</f>
        <v>0</v>
      </c>
      <c r="U99" s="256">
        <f>'Pseudo-load coefficients'!U288</f>
        <v>0</v>
      </c>
      <c r="V99" s="256">
        <f>'Pseudo-load coefficients'!V288</f>
        <v>0</v>
      </c>
      <c r="W99" s="256">
        <f>'Pseudo-load coefficients'!W288</f>
        <v>0</v>
      </c>
      <c r="X99" s="256">
        <f>'Pseudo-load coefficients'!X288</f>
        <v>0</v>
      </c>
      <c r="Y99" s="256">
        <f>'Pseudo-load coefficients'!Y288</f>
        <v>0</v>
      </c>
    </row>
    <row r="100" spans="3:25" x14ac:dyDescent="0.25">
      <c r="E100" s="75"/>
      <c r="F100" s="255" t="s">
        <v>195</v>
      </c>
      <c r="G100" s="94" t="s">
        <v>281</v>
      </c>
      <c r="J100" s="256">
        <f>'Pseudo-load coefficients'!J289</f>
        <v>1.4496434110917948</v>
      </c>
      <c r="K100" s="256">
        <f>'Pseudo-load coefficients'!K289</f>
        <v>1.4496434110917948</v>
      </c>
      <c r="L100" s="256">
        <f>'Pseudo-load coefficients'!L289</f>
        <v>1.6538832863588351</v>
      </c>
      <c r="M100" s="256">
        <f>'Pseudo-load coefficients'!M289</f>
        <v>1.6538832863588351</v>
      </c>
      <c r="N100" s="256">
        <f>'Pseudo-load coefficients'!N289</f>
        <v>1.3366901346985203</v>
      </c>
      <c r="O100" s="256">
        <f>'Pseudo-load coefficients'!O289</f>
        <v>1.1719609729831466</v>
      </c>
      <c r="P100" s="256">
        <f>'Pseudo-load coefficients'!P289</f>
        <v>1.1135845683359917</v>
      </c>
      <c r="Q100" s="256">
        <f>'Pseudo-load coefficients'!Q289</f>
        <v>1.0878443951845305</v>
      </c>
      <c r="R100" s="256">
        <f>'Pseudo-load coefficients'!R289</f>
        <v>0.99773997396319691</v>
      </c>
      <c r="S100" s="256">
        <f>'Pseudo-load coefficients'!S289</f>
        <v>0.99773997396319691</v>
      </c>
      <c r="T100" s="256">
        <f>'Pseudo-load coefficients'!T289</f>
        <v>0.99773997396319691</v>
      </c>
      <c r="U100" s="256">
        <f>'Pseudo-load coefficients'!U289</f>
        <v>0.99773997396319691</v>
      </c>
      <c r="V100" s="256">
        <f>'Pseudo-load coefficients'!V289</f>
        <v>0.99773997396319691</v>
      </c>
      <c r="W100" s="256">
        <f>'Pseudo-load coefficients'!W289</f>
        <v>0.99773997396319691</v>
      </c>
      <c r="X100" s="256">
        <f>'Pseudo-load coefficients'!X289</f>
        <v>0.99773997396319691</v>
      </c>
      <c r="Y100" s="256">
        <f>'Pseudo-load coefficients'!Y289</f>
        <v>0.99773997396319691</v>
      </c>
    </row>
    <row r="101" spans="3:25" x14ac:dyDescent="0.25">
      <c r="E101" s="75"/>
      <c r="F101" s="255" t="s">
        <v>196</v>
      </c>
      <c r="G101" s="94" t="s">
        <v>281</v>
      </c>
      <c r="J101" s="256">
        <f>'Pseudo-load coefficients'!J290</f>
        <v>1.4496434110917948</v>
      </c>
      <c r="K101" s="256">
        <f>'Pseudo-load coefficients'!K290</f>
        <v>1.4496434110917948</v>
      </c>
      <c r="L101" s="256">
        <f>'Pseudo-load coefficients'!L290</f>
        <v>1.6538832863588351</v>
      </c>
      <c r="M101" s="256">
        <f>'Pseudo-load coefficients'!M290</f>
        <v>1.6538832863588351</v>
      </c>
      <c r="N101" s="256">
        <f>'Pseudo-load coefficients'!N290</f>
        <v>1.3366901346985203</v>
      </c>
      <c r="O101" s="256">
        <f>'Pseudo-load coefficients'!O290</f>
        <v>1.1719609729831466</v>
      </c>
      <c r="P101" s="256">
        <f>'Pseudo-load coefficients'!P290</f>
        <v>1.1135845683359917</v>
      </c>
      <c r="Q101" s="256">
        <f>'Pseudo-load coefficients'!Q290</f>
        <v>1.0878443951845305</v>
      </c>
      <c r="R101" s="256">
        <f>'Pseudo-load coefficients'!R290</f>
        <v>0.99773997396319691</v>
      </c>
      <c r="S101" s="256">
        <f>'Pseudo-load coefficients'!S290</f>
        <v>0.99773997396319691</v>
      </c>
      <c r="T101" s="256">
        <f>'Pseudo-load coefficients'!T290</f>
        <v>0.99773997396319691</v>
      </c>
      <c r="U101" s="256">
        <f>'Pseudo-load coefficients'!U290</f>
        <v>0.99773997396319691</v>
      </c>
      <c r="V101" s="256">
        <f>'Pseudo-load coefficients'!V290</f>
        <v>0.99773997396319691</v>
      </c>
      <c r="W101" s="256">
        <f>'Pseudo-load coefficients'!W290</f>
        <v>0.99773997396319691</v>
      </c>
      <c r="X101" s="256">
        <f>'Pseudo-load coefficients'!X290</f>
        <v>0.99773997396319691</v>
      </c>
      <c r="Y101" s="256">
        <f>'Pseudo-load coefficients'!Y290</f>
        <v>0.99773997396319691</v>
      </c>
    </row>
    <row r="102" spans="3:25" x14ac:dyDescent="0.25">
      <c r="E102" s="75"/>
      <c r="F102" s="257" t="s">
        <v>197</v>
      </c>
      <c r="G102" s="101" t="s">
        <v>281</v>
      </c>
      <c r="H102" s="96"/>
      <c r="I102" s="96"/>
      <c r="J102" s="258">
        <f>'Pseudo-load coefficients'!J291</f>
        <v>1.4496434110917948</v>
      </c>
      <c r="K102" s="258">
        <f>'Pseudo-load coefficients'!K291</f>
        <v>1.4496434110917948</v>
      </c>
      <c r="L102" s="258">
        <f>'Pseudo-load coefficients'!L291</f>
        <v>1.6538832863588351</v>
      </c>
      <c r="M102" s="258">
        <f>'Pseudo-load coefficients'!M291</f>
        <v>1.6538832863588351</v>
      </c>
      <c r="N102" s="258">
        <f>'Pseudo-load coefficients'!N291</f>
        <v>1.3366901346985203</v>
      </c>
      <c r="O102" s="258">
        <f>'Pseudo-load coefficients'!O291</f>
        <v>1.1719609729831466</v>
      </c>
      <c r="P102" s="258">
        <f>'Pseudo-load coefficients'!P291</f>
        <v>1.1135845683359917</v>
      </c>
      <c r="Q102" s="258">
        <f>'Pseudo-load coefficients'!Q291</f>
        <v>1.0878443951845305</v>
      </c>
      <c r="R102" s="258">
        <f>'Pseudo-load coefficients'!R291</f>
        <v>0.99773997396319691</v>
      </c>
      <c r="S102" s="258">
        <f>'Pseudo-load coefficients'!S291</f>
        <v>0.99773997396319691</v>
      </c>
      <c r="T102" s="258">
        <f>'Pseudo-load coefficients'!T291</f>
        <v>0.99773997396319691</v>
      </c>
      <c r="U102" s="258">
        <f>'Pseudo-load coefficients'!U291</f>
        <v>0.99773997396319691</v>
      </c>
      <c r="V102" s="258">
        <f>'Pseudo-load coefficients'!V291</f>
        <v>0.99773997396319691</v>
      </c>
      <c r="W102" s="258">
        <f>'Pseudo-load coefficients'!W291</f>
        <v>0.99773997396319691</v>
      </c>
      <c r="X102" s="258">
        <f>'Pseudo-load coefficients'!X291</f>
        <v>0.99773997396319691</v>
      </c>
      <c r="Y102" s="258">
        <f>'Pseudo-load coefficients'!Y291</f>
        <v>0.99773997396319691</v>
      </c>
    </row>
    <row r="103" spans="3:25" x14ac:dyDescent="0.25">
      <c r="E103" s="75"/>
      <c r="J103" s="260"/>
      <c r="K103" s="260"/>
      <c r="L103" s="260"/>
      <c r="M103" s="260"/>
      <c r="N103" s="260"/>
      <c r="O103" s="260"/>
      <c r="P103" s="260"/>
      <c r="Q103" s="260"/>
      <c r="R103" s="260"/>
      <c r="S103" s="260"/>
      <c r="T103" s="260"/>
      <c r="U103" s="260"/>
      <c r="V103" s="260"/>
      <c r="W103" s="260"/>
      <c r="X103" s="260"/>
      <c r="Y103" s="260"/>
    </row>
    <row r="104" spans="3:25" x14ac:dyDescent="0.25">
      <c r="E104" s="75" t="s">
        <v>468</v>
      </c>
      <c r="J104" s="260"/>
      <c r="K104" s="260"/>
      <c r="L104" s="260"/>
      <c r="M104" s="260"/>
      <c r="N104" s="260"/>
      <c r="O104" s="260"/>
      <c r="P104" s="260"/>
      <c r="Q104" s="260"/>
      <c r="R104" s="260"/>
      <c r="S104" s="260"/>
      <c r="T104" s="260"/>
      <c r="U104" s="260"/>
      <c r="V104" s="260"/>
      <c r="W104" s="260"/>
      <c r="X104" s="260"/>
      <c r="Y104" s="260"/>
    </row>
    <row r="105" spans="3:25" x14ac:dyDescent="0.25">
      <c r="C105" s="75"/>
      <c r="E105" s="75"/>
      <c r="F105" s="254" t="s">
        <v>187</v>
      </c>
      <c r="G105" s="98" t="s">
        <v>281</v>
      </c>
      <c r="H105" s="95"/>
      <c r="I105" s="95"/>
      <c r="J105" s="263">
        <f>'Pseudo-load coefficients'!J294</f>
        <v>7.7888444833267234E-2</v>
      </c>
      <c r="K105" s="263">
        <f>'Pseudo-load coefficients'!K294</f>
        <v>7.7888444833267234E-2</v>
      </c>
      <c r="L105" s="263">
        <f>'Pseudo-load coefficients'!L294</f>
        <v>8.8862127144222064E-2</v>
      </c>
      <c r="M105" s="263">
        <f>'Pseudo-load coefficients'!M294</f>
        <v>8.8862127144222064E-2</v>
      </c>
      <c r="N105" s="263">
        <f>'Pseudo-load coefficients'!N294</f>
        <v>7.1819535079475888E-2</v>
      </c>
      <c r="O105" s="263">
        <f>'Pseudo-load coefficients'!O294</f>
        <v>6.2968738996434348E-2</v>
      </c>
      <c r="P105" s="263">
        <f>'Pseudo-load coefficients'!P294</f>
        <v>5.9832210841900151E-2</v>
      </c>
      <c r="Q105" s="263">
        <f>'Pseudo-load coefficients'!Q294</f>
        <v>6.5272935701885901E-2</v>
      </c>
      <c r="R105" s="263">
        <f>'Pseudo-load coefficients'!R294</f>
        <v>5.3607952359435114E-2</v>
      </c>
      <c r="S105" s="263">
        <f>'Pseudo-load coefficients'!S294</f>
        <v>5.3607952359435114E-2</v>
      </c>
      <c r="T105" s="263">
        <f>'Pseudo-load coefficients'!T294</f>
        <v>5.3607952359435114E-2</v>
      </c>
      <c r="U105" s="263">
        <f>'Pseudo-load coefficients'!U294</f>
        <v>5.3607952359435114E-2</v>
      </c>
      <c r="V105" s="263">
        <f>'Pseudo-load coefficients'!V294</f>
        <v>5.3607952359435114E-2</v>
      </c>
      <c r="W105" s="263">
        <f>'Pseudo-load coefficients'!W294</f>
        <v>5.3607952359435114E-2</v>
      </c>
      <c r="X105" s="263">
        <f>'Pseudo-load coefficients'!X294</f>
        <v>5.3607952359435114E-2</v>
      </c>
      <c r="Y105" s="263">
        <f>'Pseudo-load coefficients'!Y294</f>
        <v>5.3607952359435114E-2</v>
      </c>
    </row>
    <row r="106" spans="3:25" x14ac:dyDescent="0.25">
      <c r="C106" s="75"/>
      <c r="E106" s="75"/>
      <c r="F106" s="255" t="s">
        <v>189</v>
      </c>
      <c r="G106" s="94" t="s">
        <v>281</v>
      </c>
      <c r="J106" s="256">
        <f>'Pseudo-load coefficients'!J294</f>
        <v>7.7888444833267234E-2</v>
      </c>
      <c r="K106" s="256">
        <f>'Pseudo-load coefficients'!K294</f>
        <v>7.7888444833267234E-2</v>
      </c>
      <c r="L106" s="256">
        <f>'Pseudo-load coefficients'!L294</f>
        <v>8.8862127144222064E-2</v>
      </c>
      <c r="M106" s="256">
        <f>'Pseudo-load coefficients'!M294</f>
        <v>8.8862127144222064E-2</v>
      </c>
      <c r="N106" s="256">
        <f>'Pseudo-load coefficients'!N294</f>
        <v>7.1819535079475888E-2</v>
      </c>
      <c r="O106" s="256">
        <f>'Pseudo-load coefficients'!O294</f>
        <v>6.2968738996434348E-2</v>
      </c>
      <c r="P106" s="256">
        <f>'Pseudo-load coefficients'!P294</f>
        <v>5.9832210841900151E-2</v>
      </c>
      <c r="Q106" s="256">
        <f>'Pseudo-load coefficients'!Q294</f>
        <v>6.5272935701885901E-2</v>
      </c>
      <c r="R106" s="256">
        <f>'Pseudo-load coefficients'!R294</f>
        <v>5.3607952359435114E-2</v>
      </c>
      <c r="S106" s="256">
        <f>'Pseudo-load coefficients'!S294</f>
        <v>5.3607952359435114E-2</v>
      </c>
      <c r="T106" s="256">
        <f>'Pseudo-load coefficients'!T294</f>
        <v>5.3607952359435114E-2</v>
      </c>
      <c r="U106" s="256">
        <f>'Pseudo-load coefficients'!U294</f>
        <v>5.3607952359435114E-2</v>
      </c>
      <c r="V106" s="256">
        <f>'Pseudo-load coefficients'!V294</f>
        <v>5.3607952359435114E-2</v>
      </c>
      <c r="W106" s="256">
        <f>'Pseudo-load coefficients'!W294</f>
        <v>5.3607952359435114E-2</v>
      </c>
      <c r="X106" s="256">
        <f>'Pseudo-load coefficients'!X294</f>
        <v>5.3607952359435114E-2</v>
      </c>
      <c r="Y106" s="256">
        <f>'Pseudo-load coefficients'!Y294</f>
        <v>5.3607952359435114E-2</v>
      </c>
    </row>
    <row r="107" spans="3:25" x14ac:dyDescent="0.25">
      <c r="C107" s="75"/>
      <c r="E107" s="75"/>
      <c r="F107" s="255" t="s">
        <v>190</v>
      </c>
      <c r="G107" s="94" t="s">
        <v>281</v>
      </c>
      <c r="J107" s="256">
        <f>'Pseudo-load coefficients'!J295</f>
        <v>0.2051133262009843</v>
      </c>
      <c r="K107" s="256">
        <f>'Pseudo-load coefficients'!K295</f>
        <v>0.2051133262009843</v>
      </c>
      <c r="L107" s="256">
        <f>'Pseudo-load coefficients'!L295</f>
        <v>0.23401168826600116</v>
      </c>
      <c r="M107" s="256">
        <f>'Pseudo-load coefficients'!M295</f>
        <v>0.23401168826600116</v>
      </c>
      <c r="N107" s="256">
        <f>'Pseudo-load coefficients'!N295</f>
        <v>0.18913131155582782</v>
      </c>
      <c r="O107" s="256">
        <f>'Pseudo-load coefficients'!O295</f>
        <v>0.16582340974824283</v>
      </c>
      <c r="P107" s="256">
        <f>'Pseudo-load coefficients'!P295</f>
        <v>0.15756360017216609</v>
      </c>
      <c r="Q107" s="256">
        <f>'Pseudo-load coefficients'!Q295</f>
        <v>0.17189133742979096</v>
      </c>
      <c r="R107" s="256">
        <f>'Pseudo-load coefficients'!R295</f>
        <v>0.14117248640418639</v>
      </c>
      <c r="S107" s="256">
        <f>'Pseudo-load coefficients'!S295</f>
        <v>0.14117248640418639</v>
      </c>
      <c r="T107" s="256">
        <f>'Pseudo-load coefficients'!T295</f>
        <v>0.14117248640418639</v>
      </c>
      <c r="U107" s="256">
        <f>'Pseudo-load coefficients'!U295</f>
        <v>0.14117248640418639</v>
      </c>
      <c r="V107" s="256">
        <f>'Pseudo-load coefficients'!V295</f>
        <v>0.14117248640418639</v>
      </c>
      <c r="W107" s="256">
        <f>'Pseudo-load coefficients'!W295</f>
        <v>0.14117248640418639</v>
      </c>
      <c r="X107" s="256">
        <f>'Pseudo-load coefficients'!X295</f>
        <v>0.14117248640418639</v>
      </c>
      <c r="Y107" s="256">
        <f>'Pseudo-load coefficients'!Y295</f>
        <v>0.14117248640418639</v>
      </c>
    </row>
    <row r="108" spans="3:25" x14ac:dyDescent="0.25">
      <c r="C108" s="75"/>
      <c r="E108" s="75"/>
      <c r="F108" s="255" t="s">
        <v>191</v>
      </c>
      <c r="G108" s="94" t="s">
        <v>281</v>
      </c>
      <c r="J108" s="256">
        <f>'Pseudo-load coefficients'!J296</f>
        <v>0.2051133262009843</v>
      </c>
      <c r="K108" s="256">
        <f>'Pseudo-load coefficients'!K296</f>
        <v>0.2051133262009843</v>
      </c>
      <c r="L108" s="256">
        <f>'Pseudo-load coefficients'!L296</f>
        <v>0.23401168826600116</v>
      </c>
      <c r="M108" s="256">
        <f>'Pseudo-load coefficients'!M296</f>
        <v>0.23401168826600116</v>
      </c>
      <c r="N108" s="256">
        <f>'Pseudo-load coefficients'!N296</f>
        <v>0.18913131155582782</v>
      </c>
      <c r="O108" s="256">
        <f>'Pseudo-load coefficients'!O296</f>
        <v>0.16582340974824283</v>
      </c>
      <c r="P108" s="256">
        <f>'Pseudo-load coefficients'!P296</f>
        <v>0.15756360017216609</v>
      </c>
      <c r="Q108" s="256">
        <f>'Pseudo-load coefficients'!Q296</f>
        <v>0.17189133742979096</v>
      </c>
      <c r="R108" s="256">
        <f>'Pseudo-load coefficients'!R296</f>
        <v>0.14117248640418639</v>
      </c>
      <c r="S108" s="256">
        <f>'Pseudo-load coefficients'!S296</f>
        <v>0.14117248640418639</v>
      </c>
      <c r="T108" s="256">
        <f>'Pseudo-load coefficients'!T296</f>
        <v>0.14117248640418639</v>
      </c>
      <c r="U108" s="256">
        <f>'Pseudo-load coefficients'!U296</f>
        <v>0.14117248640418639</v>
      </c>
      <c r="V108" s="256">
        <f>'Pseudo-load coefficients'!V296</f>
        <v>0.14117248640418639</v>
      </c>
      <c r="W108" s="256">
        <f>'Pseudo-load coefficients'!W296</f>
        <v>0.14117248640418639</v>
      </c>
      <c r="X108" s="256">
        <f>'Pseudo-load coefficients'!X296</f>
        <v>0.14117248640418639</v>
      </c>
      <c r="Y108" s="256">
        <f>'Pseudo-load coefficients'!Y296</f>
        <v>0.14117248640418639</v>
      </c>
    </row>
    <row r="109" spans="3:25" x14ac:dyDescent="0.25">
      <c r="C109" s="75"/>
      <c r="E109" s="75"/>
      <c r="F109" s="255" t="s">
        <v>192</v>
      </c>
      <c r="G109" s="94" t="s">
        <v>281</v>
      </c>
      <c r="J109" s="256">
        <f>'Pseudo-load coefficients'!J297</f>
        <v>0.19403472155835408</v>
      </c>
      <c r="K109" s="256">
        <f>'Pseudo-load coefficients'!K297</f>
        <v>0.19403472155835408</v>
      </c>
      <c r="L109" s="256">
        <f>'Pseudo-load coefficients'!L297</f>
        <v>0.22137222195695636</v>
      </c>
      <c r="M109" s="256">
        <f>'Pseudo-load coefficients'!M297</f>
        <v>0.22137222195695636</v>
      </c>
      <c r="N109" s="256">
        <f>'Pseudo-load coefficients'!N297</f>
        <v>0.17891592933236369</v>
      </c>
      <c r="O109" s="256">
        <f>'Pseudo-load coefficients'!O297</f>
        <v>0.15686693660669013</v>
      </c>
      <c r="P109" s="256">
        <f>'Pseudo-load coefficients'!P297</f>
        <v>0.14905325681852927</v>
      </c>
      <c r="Q109" s="256">
        <f>'Pseudo-load coefficients'!Q297</f>
        <v>0.16260712267812916</v>
      </c>
      <c r="R109" s="256">
        <f>'Pseudo-load coefficients'!R297</f>
        <v>0.13354746177874319</v>
      </c>
      <c r="S109" s="256">
        <f>'Pseudo-load coefficients'!S297</f>
        <v>0.13354746177874319</v>
      </c>
      <c r="T109" s="256">
        <f>'Pseudo-load coefficients'!T297</f>
        <v>0.13354746177874319</v>
      </c>
      <c r="U109" s="256">
        <f>'Pseudo-load coefficients'!U297</f>
        <v>0.13354746177874319</v>
      </c>
      <c r="V109" s="256">
        <f>'Pseudo-load coefficients'!V297</f>
        <v>0.13354746177874319</v>
      </c>
      <c r="W109" s="256">
        <f>'Pseudo-load coefficients'!W297</f>
        <v>0.13354746177874319</v>
      </c>
      <c r="X109" s="256">
        <f>'Pseudo-load coefficients'!X297</f>
        <v>0.13354746177874319</v>
      </c>
      <c r="Y109" s="256">
        <f>'Pseudo-load coefficients'!Y297</f>
        <v>0.13354746177874319</v>
      </c>
    </row>
    <row r="110" spans="3:25" x14ac:dyDescent="0.25">
      <c r="C110" s="75"/>
      <c r="E110" s="75"/>
      <c r="F110" s="255" t="s">
        <v>193</v>
      </c>
      <c r="G110" s="94" t="s">
        <v>281</v>
      </c>
      <c r="J110" s="256">
        <f>'Pseudo-load coefficients'!J298</f>
        <v>0.19403472155835408</v>
      </c>
      <c r="K110" s="256">
        <f>'Pseudo-load coefficients'!K298</f>
        <v>0.19403472155835408</v>
      </c>
      <c r="L110" s="256">
        <f>'Pseudo-load coefficients'!L298</f>
        <v>0.22137222195695636</v>
      </c>
      <c r="M110" s="256">
        <f>'Pseudo-load coefficients'!M298</f>
        <v>0.22137222195695636</v>
      </c>
      <c r="N110" s="256">
        <f>'Pseudo-load coefficients'!N298</f>
        <v>0.17891592933236369</v>
      </c>
      <c r="O110" s="256">
        <f>'Pseudo-load coefficients'!O298</f>
        <v>0.15686693660669013</v>
      </c>
      <c r="P110" s="256">
        <f>'Pseudo-load coefficients'!P298</f>
        <v>0.14905325681852927</v>
      </c>
      <c r="Q110" s="256">
        <f>'Pseudo-load coefficients'!Q298</f>
        <v>0.16260712267812916</v>
      </c>
      <c r="R110" s="256">
        <f>'Pseudo-load coefficients'!R298</f>
        <v>0.13354746177874319</v>
      </c>
      <c r="S110" s="256">
        <f>'Pseudo-load coefficients'!S298</f>
        <v>0.13354746177874319</v>
      </c>
      <c r="T110" s="256">
        <f>'Pseudo-load coefficients'!T298</f>
        <v>0.13354746177874319</v>
      </c>
      <c r="U110" s="256">
        <f>'Pseudo-load coefficients'!U298</f>
        <v>0.13354746177874319</v>
      </c>
      <c r="V110" s="256">
        <f>'Pseudo-load coefficients'!V298</f>
        <v>0.13354746177874319</v>
      </c>
      <c r="W110" s="256">
        <f>'Pseudo-load coefficients'!W298</f>
        <v>0.13354746177874319</v>
      </c>
      <c r="X110" s="256">
        <f>'Pseudo-load coefficients'!X298</f>
        <v>0.13354746177874319</v>
      </c>
      <c r="Y110" s="256">
        <f>'Pseudo-load coefficients'!Y298</f>
        <v>0.13354746177874319</v>
      </c>
    </row>
    <row r="111" spans="3:25" x14ac:dyDescent="0.25">
      <c r="C111" s="75"/>
      <c r="E111" s="75"/>
      <c r="F111" s="255" t="s">
        <v>194</v>
      </c>
      <c r="G111" s="94" t="s">
        <v>281</v>
      </c>
      <c r="J111" s="256">
        <f>'Pseudo-load coefficients'!J299</f>
        <v>0</v>
      </c>
      <c r="K111" s="256">
        <f>'Pseudo-load coefficients'!K299</f>
        <v>0</v>
      </c>
      <c r="L111" s="256">
        <f>'Pseudo-load coefficients'!L299</f>
        <v>0</v>
      </c>
      <c r="M111" s="256">
        <f>'Pseudo-load coefficients'!M299</f>
        <v>0</v>
      </c>
      <c r="N111" s="256">
        <f>'Pseudo-load coefficients'!N299</f>
        <v>0</v>
      </c>
      <c r="O111" s="256">
        <f>'Pseudo-load coefficients'!O299</f>
        <v>0</v>
      </c>
      <c r="P111" s="256">
        <f>'Pseudo-load coefficients'!P299</f>
        <v>0</v>
      </c>
      <c r="Q111" s="256">
        <f>'Pseudo-load coefficients'!Q299</f>
        <v>0</v>
      </c>
      <c r="R111" s="256">
        <f>'Pseudo-load coefficients'!R299</f>
        <v>0</v>
      </c>
      <c r="S111" s="256">
        <f>'Pseudo-load coefficients'!S299</f>
        <v>0</v>
      </c>
      <c r="T111" s="256">
        <f>'Pseudo-load coefficients'!T299</f>
        <v>0</v>
      </c>
      <c r="U111" s="256">
        <f>'Pseudo-load coefficients'!U299</f>
        <v>0</v>
      </c>
      <c r="V111" s="256">
        <f>'Pseudo-load coefficients'!V299</f>
        <v>0</v>
      </c>
      <c r="W111" s="256">
        <f>'Pseudo-load coefficients'!W299</f>
        <v>0</v>
      </c>
      <c r="X111" s="256">
        <f>'Pseudo-load coefficients'!X299</f>
        <v>0</v>
      </c>
      <c r="Y111" s="256">
        <f>'Pseudo-load coefficients'!Y299</f>
        <v>0</v>
      </c>
    </row>
    <row r="112" spans="3:25" x14ac:dyDescent="0.25">
      <c r="C112" s="75"/>
      <c r="E112" s="75"/>
      <c r="F112" s="255" t="s">
        <v>195</v>
      </c>
      <c r="G112" s="94" t="s">
        <v>281</v>
      </c>
      <c r="J112" s="256">
        <f>'Pseudo-load coefficients'!J300</f>
        <v>0.19403472155835408</v>
      </c>
      <c r="K112" s="256">
        <f>'Pseudo-load coefficients'!K300</f>
        <v>0.19403472155835408</v>
      </c>
      <c r="L112" s="256">
        <f>'Pseudo-load coefficients'!L300</f>
        <v>0.22137222195695636</v>
      </c>
      <c r="M112" s="256">
        <f>'Pseudo-load coefficients'!M300</f>
        <v>0.22137222195695636</v>
      </c>
      <c r="N112" s="256">
        <f>'Pseudo-load coefficients'!N300</f>
        <v>0.17891592933236369</v>
      </c>
      <c r="O112" s="256">
        <f>'Pseudo-load coefficients'!O300</f>
        <v>0.15686693660669013</v>
      </c>
      <c r="P112" s="256">
        <f>'Pseudo-load coefficients'!P300</f>
        <v>0.14905325681852927</v>
      </c>
      <c r="Q112" s="256">
        <f>'Pseudo-load coefficients'!Q300</f>
        <v>0.16260712267812916</v>
      </c>
      <c r="R112" s="256">
        <f>'Pseudo-load coefficients'!R300</f>
        <v>0.13354746177874319</v>
      </c>
      <c r="S112" s="256">
        <f>'Pseudo-load coefficients'!S300</f>
        <v>0.13354746177874319</v>
      </c>
      <c r="T112" s="256">
        <f>'Pseudo-load coefficients'!T300</f>
        <v>0.13354746177874319</v>
      </c>
      <c r="U112" s="256">
        <f>'Pseudo-load coefficients'!U300</f>
        <v>0.13354746177874319</v>
      </c>
      <c r="V112" s="256">
        <f>'Pseudo-load coefficients'!V300</f>
        <v>0.13354746177874319</v>
      </c>
      <c r="W112" s="256">
        <f>'Pseudo-load coefficients'!W300</f>
        <v>0.13354746177874319</v>
      </c>
      <c r="X112" s="256">
        <f>'Pseudo-load coefficients'!X300</f>
        <v>0.13354746177874319</v>
      </c>
      <c r="Y112" s="256">
        <f>'Pseudo-load coefficients'!Y300</f>
        <v>0.13354746177874319</v>
      </c>
    </row>
    <row r="113" spans="2:27" x14ac:dyDescent="0.25">
      <c r="C113" s="75"/>
      <c r="E113" s="75"/>
      <c r="F113" s="255" t="s">
        <v>196</v>
      </c>
      <c r="G113" s="94" t="s">
        <v>281</v>
      </c>
      <c r="J113" s="256">
        <f>'Pseudo-load coefficients'!J301</f>
        <v>0.19403472155835408</v>
      </c>
      <c r="K113" s="256">
        <f>'Pseudo-load coefficients'!K301</f>
        <v>0.19403472155835408</v>
      </c>
      <c r="L113" s="256">
        <f>'Pseudo-load coefficients'!L301</f>
        <v>0.22137222195695636</v>
      </c>
      <c r="M113" s="256">
        <f>'Pseudo-load coefficients'!M301</f>
        <v>0.22137222195695636</v>
      </c>
      <c r="N113" s="256">
        <f>'Pseudo-load coefficients'!N301</f>
        <v>0.17891592933236369</v>
      </c>
      <c r="O113" s="256">
        <f>'Pseudo-load coefficients'!O301</f>
        <v>0.15686693660669013</v>
      </c>
      <c r="P113" s="256">
        <f>'Pseudo-load coefficients'!P301</f>
        <v>0.14905325681852927</v>
      </c>
      <c r="Q113" s="256">
        <f>'Pseudo-load coefficients'!Q301</f>
        <v>0.16260712267812916</v>
      </c>
      <c r="R113" s="256">
        <f>'Pseudo-load coefficients'!R301</f>
        <v>0.13354746177874319</v>
      </c>
      <c r="S113" s="256">
        <f>'Pseudo-load coefficients'!S301</f>
        <v>0.13354746177874319</v>
      </c>
      <c r="T113" s="256">
        <f>'Pseudo-load coefficients'!T301</f>
        <v>0.13354746177874319</v>
      </c>
      <c r="U113" s="256">
        <f>'Pseudo-load coefficients'!U301</f>
        <v>0.13354746177874319</v>
      </c>
      <c r="V113" s="256">
        <f>'Pseudo-load coefficients'!V301</f>
        <v>0.13354746177874319</v>
      </c>
      <c r="W113" s="256">
        <f>'Pseudo-load coefficients'!W301</f>
        <v>0.13354746177874319</v>
      </c>
      <c r="X113" s="256">
        <f>'Pseudo-load coefficients'!X301</f>
        <v>0.13354746177874319</v>
      </c>
      <c r="Y113" s="256">
        <f>'Pseudo-load coefficients'!Y301</f>
        <v>0.13354746177874319</v>
      </c>
    </row>
    <row r="114" spans="2:27" x14ac:dyDescent="0.25">
      <c r="C114" s="75"/>
      <c r="E114" s="75"/>
      <c r="F114" s="257" t="s">
        <v>197</v>
      </c>
      <c r="G114" s="101" t="s">
        <v>281</v>
      </c>
      <c r="H114" s="96"/>
      <c r="I114" s="96"/>
      <c r="J114" s="258">
        <f>'Pseudo-load coefficients'!J302</f>
        <v>0.19403472155835408</v>
      </c>
      <c r="K114" s="258">
        <f>'Pseudo-load coefficients'!K302</f>
        <v>0.19403472155835408</v>
      </c>
      <c r="L114" s="258">
        <f>'Pseudo-load coefficients'!L302</f>
        <v>0.22137222195695636</v>
      </c>
      <c r="M114" s="258">
        <f>'Pseudo-load coefficients'!M302</f>
        <v>0.22137222195695636</v>
      </c>
      <c r="N114" s="258">
        <f>'Pseudo-load coefficients'!N302</f>
        <v>0.17891592933236369</v>
      </c>
      <c r="O114" s="258">
        <f>'Pseudo-load coefficients'!O302</f>
        <v>0.15686693660669013</v>
      </c>
      <c r="P114" s="258">
        <f>'Pseudo-load coefficients'!P302</f>
        <v>0.14905325681852927</v>
      </c>
      <c r="Q114" s="258">
        <f>'Pseudo-load coefficients'!Q302</f>
        <v>0.16260712267812916</v>
      </c>
      <c r="R114" s="258">
        <f>'Pseudo-load coefficients'!R302</f>
        <v>0.13354746177874319</v>
      </c>
      <c r="S114" s="258">
        <f>'Pseudo-load coefficients'!S302</f>
        <v>0.13354746177874319</v>
      </c>
      <c r="T114" s="258">
        <f>'Pseudo-load coefficients'!T302</f>
        <v>0.13354746177874319</v>
      </c>
      <c r="U114" s="258">
        <f>'Pseudo-load coefficients'!U302</f>
        <v>0.13354746177874319</v>
      </c>
      <c r="V114" s="258">
        <f>'Pseudo-load coefficients'!V302</f>
        <v>0.13354746177874319</v>
      </c>
      <c r="W114" s="258">
        <f>'Pseudo-load coefficients'!W302</f>
        <v>0.13354746177874319</v>
      </c>
      <c r="X114" s="258">
        <f>'Pseudo-load coefficients'!X302</f>
        <v>0.13354746177874319</v>
      </c>
      <c r="Y114" s="258">
        <f>'Pseudo-load coefficients'!Y302</f>
        <v>0.13354746177874319</v>
      </c>
    </row>
    <row r="115" spans="2:27" x14ac:dyDescent="0.25">
      <c r="C115" s="75"/>
      <c r="D115" s="75"/>
      <c r="E115" s="75"/>
      <c r="J115" s="260"/>
      <c r="K115" s="260"/>
      <c r="L115" s="260"/>
      <c r="M115" s="260"/>
      <c r="N115" s="260"/>
      <c r="O115" s="260"/>
      <c r="P115" s="260"/>
      <c r="Q115" s="260"/>
      <c r="R115" s="260"/>
      <c r="S115" s="260"/>
      <c r="T115" s="260"/>
      <c r="U115" s="260"/>
      <c r="V115" s="260"/>
      <c r="W115" s="260"/>
      <c r="X115" s="260"/>
      <c r="Y115" s="260"/>
    </row>
    <row r="116" spans="2:27" x14ac:dyDescent="0.25">
      <c r="B116" s="85" t="s">
        <v>574</v>
      </c>
      <c r="C116" s="85"/>
      <c r="D116" s="85"/>
      <c r="E116" s="85"/>
      <c r="F116" s="85"/>
      <c r="G116" s="85"/>
      <c r="H116" s="85"/>
      <c r="I116" s="85"/>
      <c r="J116" s="247"/>
      <c r="K116" s="247"/>
      <c r="L116" s="247"/>
      <c r="M116" s="247"/>
      <c r="N116" s="247"/>
      <c r="O116" s="247"/>
      <c r="P116" s="247"/>
      <c r="Q116" s="247"/>
      <c r="R116" s="247"/>
      <c r="S116" s="247"/>
      <c r="T116" s="247"/>
      <c r="U116" s="247"/>
      <c r="V116" s="247"/>
      <c r="W116" s="247"/>
      <c r="X116" s="247"/>
      <c r="Y116" s="247"/>
      <c r="Z116" s="85"/>
      <c r="AA116" s="85"/>
    </row>
    <row r="117" spans="2:27" x14ac:dyDescent="0.25">
      <c r="J117" s="106"/>
      <c r="K117" s="106"/>
      <c r="L117" s="106"/>
      <c r="M117" s="106"/>
      <c r="N117" s="106"/>
      <c r="O117" s="106"/>
      <c r="P117" s="106"/>
      <c r="Q117" s="106"/>
      <c r="R117" s="106"/>
      <c r="S117" s="106"/>
      <c r="T117" s="106"/>
      <c r="U117" s="106"/>
      <c r="V117" s="106"/>
      <c r="W117" s="106"/>
      <c r="X117" s="106"/>
      <c r="Y117" s="106"/>
    </row>
    <row r="118" spans="2:27" x14ac:dyDescent="0.25">
      <c r="C118" s="93" t="str">
        <f ca="1">INDEX('Version control'!$H$41:$H$64,MATCH($A$1,'Version control'!$F$41:$F$64,0),1)&amp;"-B: Yardstick charges"</f>
        <v>Section 109-B: Yardstick charges</v>
      </c>
      <c r="D118" s="93"/>
      <c r="E118" s="93"/>
      <c r="F118" s="93"/>
      <c r="G118" s="93"/>
      <c r="H118" s="93"/>
      <c r="I118" s="93"/>
      <c r="J118" s="264"/>
      <c r="K118" s="264"/>
      <c r="L118" s="264"/>
      <c r="M118" s="264"/>
      <c r="N118" s="264"/>
      <c r="O118" s="264"/>
      <c r="P118" s="264"/>
      <c r="Q118" s="264"/>
      <c r="R118" s="264"/>
      <c r="S118" s="264"/>
      <c r="T118" s="264"/>
      <c r="U118" s="264"/>
      <c r="V118" s="264"/>
      <c r="W118" s="264"/>
      <c r="X118" s="264"/>
      <c r="Y118" s="264"/>
      <c r="Z118" s="93"/>
      <c r="AA118" s="93"/>
    </row>
    <row r="119" spans="2:27" x14ac:dyDescent="0.2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25">
      <c r="D120" s="86" t="s">
        <v>575</v>
      </c>
      <c r="E120" s="75"/>
      <c r="F120" s="75"/>
      <c r="J120" s="260"/>
      <c r="K120" s="260"/>
      <c r="L120" s="260"/>
      <c r="M120" s="260"/>
      <c r="N120" s="260"/>
      <c r="O120" s="260"/>
      <c r="P120" s="260"/>
      <c r="Q120" s="260"/>
      <c r="R120" s="260"/>
      <c r="S120" s="260"/>
      <c r="T120" s="260"/>
      <c r="U120" s="260"/>
      <c r="V120" s="260"/>
      <c r="W120" s="260"/>
      <c r="X120" s="260"/>
      <c r="Y120" s="260"/>
    </row>
    <row r="121" spans="2:27" x14ac:dyDescent="0.25">
      <c r="D121" s="75"/>
      <c r="E121" s="75"/>
      <c r="F121" s="75"/>
      <c r="I121" s="3" t="s">
        <v>152</v>
      </c>
      <c r="J121" s="260"/>
      <c r="K121" s="260"/>
      <c r="L121" s="260"/>
      <c r="M121" s="260"/>
      <c r="N121" s="260"/>
      <c r="O121" s="260"/>
      <c r="P121" s="260"/>
      <c r="Q121" s="260"/>
      <c r="R121" s="260"/>
      <c r="S121" s="260"/>
      <c r="T121" s="260"/>
      <c r="U121" s="260"/>
      <c r="V121" s="260"/>
      <c r="W121" s="260"/>
      <c r="X121" s="260"/>
      <c r="Y121" s="260"/>
      <c r="AA121" t="s">
        <v>570</v>
      </c>
    </row>
    <row r="122" spans="2:27" x14ac:dyDescent="0.25">
      <c r="E122" s="75" t="s">
        <v>576</v>
      </c>
      <c r="J122" s="106"/>
      <c r="K122" s="106"/>
      <c r="L122" s="106"/>
      <c r="M122" s="106"/>
      <c r="N122" s="106"/>
      <c r="O122" s="106"/>
      <c r="P122" s="106"/>
      <c r="Q122" s="106"/>
      <c r="R122" s="106"/>
      <c r="S122" s="106"/>
      <c r="T122" s="106"/>
      <c r="U122" s="106"/>
      <c r="V122" s="106"/>
      <c r="W122" s="106"/>
      <c r="X122" s="106"/>
      <c r="Y122" s="106"/>
    </row>
    <row r="123" spans="2:27" x14ac:dyDescent="0.25">
      <c r="E123" s="75"/>
      <c r="F123" s="254" t="s">
        <v>187</v>
      </c>
      <c r="G123" s="95" t="s">
        <v>267</v>
      </c>
      <c r="H123" s="265"/>
      <c r="I123" s="265"/>
      <c r="J123" s="266">
        <f t="shared" ref="J123:Y123" si="0">hundred * $H18 * J55 / $H43 * J$78 * (1 - J67) / hours_in_year</f>
        <v>0</v>
      </c>
      <c r="K123" s="266">
        <f t="shared" si="0"/>
        <v>0</v>
      </c>
      <c r="L123" s="266">
        <f t="shared" si="0"/>
        <v>0</v>
      </c>
      <c r="M123" s="266">
        <f t="shared" si="0"/>
        <v>0</v>
      </c>
      <c r="N123" s="266">
        <f t="shared" si="0"/>
        <v>0</v>
      </c>
      <c r="O123" s="266">
        <f t="shared" si="0"/>
        <v>0</v>
      </c>
      <c r="P123" s="266">
        <f t="shared" si="0"/>
        <v>0</v>
      </c>
      <c r="Q123" s="266">
        <f t="shared" si="0"/>
        <v>0</v>
      </c>
      <c r="R123" s="266">
        <f t="shared" si="0"/>
        <v>0</v>
      </c>
      <c r="S123" s="266">
        <f t="shared" si="0"/>
        <v>0</v>
      </c>
      <c r="T123" s="266">
        <f t="shared" si="0"/>
        <v>0</v>
      </c>
      <c r="U123" s="266">
        <f t="shared" si="0"/>
        <v>0</v>
      </c>
      <c r="V123" s="266">
        <f t="shared" si="0"/>
        <v>0</v>
      </c>
      <c r="W123" s="266">
        <f t="shared" si="0"/>
        <v>0</v>
      </c>
      <c r="X123" s="266">
        <f t="shared" si="0"/>
        <v>0</v>
      </c>
      <c r="Y123" s="266">
        <f t="shared" si="0"/>
        <v>0</v>
      </c>
      <c r="Z123" s="267"/>
      <c r="AA123" s="267"/>
    </row>
    <row r="124" spans="2:27" x14ac:dyDescent="0.25">
      <c r="E124" s="75"/>
      <c r="F124" s="255" t="s">
        <v>189</v>
      </c>
      <c r="G124" t="s">
        <v>267</v>
      </c>
      <c r="H124" s="267"/>
      <c r="I124" s="267"/>
      <c r="J124" s="268">
        <f t="shared" ref="J124:Y124" si="1">hundred * $H19 * J56 / $H44 * J$78 * (1 - J68) / hours_in_year</f>
        <v>0</v>
      </c>
      <c r="K124" s="268">
        <f t="shared" si="1"/>
        <v>0</v>
      </c>
      <c r="L124" s="268">
        <f t="shared" si="1"/>
        <v>0</v>
      </c>
      <c r="M124" s="268">
        <f t="shared" si="1"/>
        <v>0</v>
      </c>
      <c r="N124" s="268">
        <f t="shared" si="1"/>
        <v>0</v>
      </c>
      <c r="O124" s="268">
        <f t="shared" si="1"/>
        <v>0</v>
      </c>
      <c r="P124" s="268">
        <f t="shared" si="1"/>
        <v>0</v>
      </c>
      <c r="Q124" s="268">
        <f t="shared" si="1"/>
        <v>0</v>
      </c>
      <c r="R124" s="268">
        <f t="shared" si="1"/>
        <v>0</v>
      </c>
      <c r="S124" s="268">
        <f t="shared" si="1"/>
        <v>0</v>
      </c>
      <c r="T124" s="268">
        <f t="shared" si="1"/>
        <v>0</v>
      </c>
      <c r="U124" s="268">
        <f t="shared" si="1"/>
        <v>0</v>
      </c>
      <c r="V124" s="268">
        <f t="shared" si="1"/>
        <v>0</v>
      </c>
      <c r="W124" s="268">
        <f t="shared" si="1"/>
        <v>0</v>
      </c>
      <c r="X124" s="268">
        <f t="shared" si="1"/>
        <v>0</v>
      </c>
      <c r="Y124" s="268">
        <f t="shared" si="1"/>
        <v>0</v>
      </c>
      <c r="Z124" s="267"/>
      <c r="AA124" s="267"/>
    </row>
    <row r="125" spans="2:27" x14ac:dyDescent="0.25">
      <c r="E125" s="75"/>
      <c r="F125" s="255" t="s">
        <v>190</v>
      </c>
      <c r="G125" t="s">
        <v>267</v>
      </c>
      <c r="H125" s="267"/>
      <c r="I125" s="267"/>
      <c r="J125" s="268">
        <f t="shared" ref="J125:Y125" si="2">hundred * $H20 * J57 / $H45 * J$78 * (1 - J69) / hours_in_year</f>
        <v>0.19638503674094424</v>
      </c>
      <c r="K125" s="268">
        <f t="shared" si="2"/>
        <v>0.19638503674094424</v>
      </c>
      <c r="L125" s="268">
        <f t="shared" si="2"/>
        <v>0.18707251954238027</v>
      </c>
      <c r="M125" s="268">
        <f t="shared" si="2"/>
        <v>0.18707251954238027</v>
      </c>
      <c r="N125" s="268">
        <f t="shared" si="2"/>
        <v>0.15362762083445713</v>
      </c>
      <c r="O125" s="268">
        <f t="shared" si="2"/>
        <v>0.12285957908225582</v>
      </c>
      <c r="P125" s="268">
        <f t="shared" si="2"/>
        <v>0.11397107503969295</v>
      </c>
      <c r="Q125" s="268">
        <f t="shared" si="2"/>
        <v>0.20627603129481978</v>
      </c>
      <c r="R125" s="268">
        <f t="shared" si="2"/>
        <v>-0.10136510984513766</v>
      </c>
      <c r="S125" s="268">
        <f t="shared" si="2"/>
        <v>-9.5662172630619949E-2</v>
      </c>
      <c r="T125" s="268">
        <f t="shared" si="2"/>
        <v>-0.10136510984513766</v>
      </c>
      <c r="U125" s="268">
        <f t="shared" si="2"/>
        <v>-0.10136510984513766</v>
      </c>
      <c r="V125" s="268">
        <f t="shared" si="2"/>
        <v>-9.5662172630619949E-2</v>
      </c>
      <c r="W125" s="268">
        <f t="shared" si="2"/>
        <v>-9.5662172630619949E-2</v>
      </c>
      <c r="X125" s="268">
        <f t="shared" si="2"/>
        <v>-9.4190446897841174E-2</v>
      </c>
      <c r="Y125" s="268">
        <f t="shared" si="2"/>
        <v>-9.4190446897841174E-2</v>
      </c>
      <c r="Z125" s="267"/>
      <c r="AA125" s="267"/>
    </row>
    <row r="126" spans="2:27" x14ac:dyDescent="0.25">
      <c r="E126" s="75"/>
      <c r="F126" s="255" t="s">
        <v>191</v>
      </c>
      <c r="G126" t="s">
        <v>267</v>
      </c>
      <c r="H126" s="267"/>
      <c r="I126" s="267"/>
      <c r="J126" s="268">
        <f t="shared" ref="J126:Y126" si="3">hundred * $H21 * J58 / $H46 * J$78 * (1 - J70) / hours_in_year</f>
        <v>0.12164386268404656</v>
      </c>
      <c r="K126" s="268">
        <f t="shared" si="3"/>
        <v>0.12164386268404656</v>
      </c>
      <c r="L126" s="268">
        <f t="shared" si="3"/>
        <v>0.11587554865083818</v>
      </c>
      <c r="M126" s="268">
        <f t="shared" si="3"/>
        <v>0.11587554865083818</v>
      </c>
      <c r="N126" s="268">
        <f t="shared" si="3"/>
        <v>9.5159272434360856E-2</v>
      </c>
      <c r="O126" s="268">
        <f t="shared" si="3"/>
        <v>7.6101081911938692E-2</v>
      </c>
      <c r="P126" s="268">
        <f t="shared" si="3"/>
        <v>7.0595408042058327E-2</v>
      </c>
      <c r="Q126" s="268">
        <f t="shared" si="3"/>
        <v>0.12777049434238125</v>
      </c>
      <c r="R126" s="268">
        <f t="shared" si="3"/>
        <v>-6.2787082496619032E-2</v>
      </c>
      <c r="S126" s="268">
        <f t="shared" si="3"/>
        <v>-5.9254596911509777E-2</v>
      </c>
      <c r="T126" s="268">
        <f t="shared" si="3"/>
        <v>-6.2787082496619032E-2</v>
      </c>
      <c r="U126" s="268">
        <f t="shared" si="3"/>
        <v>-6.2787082496619032E-2</v>
      </c>
      <c r="V126" s="268">
        <f t="shared" si="3"/>
        <v>-5.9254596911509777E-2</v>
      </c>
      <c r="W126" s="268">
        <f t="shared" si="3"/>
        <v>-5.9254596911509777E-2</v>
      </c>
      <c r="X126" s="268">
        <f t="shared" si="3"/>
        <v>-5.8342987728255788E-2</v>
      </c>
      <c r="Y126" s="268">
        <f t="shared" si="3"/>
        <v>-5.8342987728255788E-2</v>
      </c>
      <c r="Z126" s="267"/>
      <c r="AA126" s="267"/>
    </row>
    <row r="127" spans="2:27" x14ac:dyDescent="0.25">
      <c r="E127" s="75"/>
      <c r="F127" s="255" t="s">
        <v>192</v>
      </c>
      <c r="G127" t="s">
        <v>267</v>
      </c>
      <c r="H127" s="267"/>
      <c r="I127" s="267"/>
      <c r="J127" s="268">
        <f t="shared" ref="J127:Y127" si="4">hundred * $H22 * J59 / $H47 * J$78 * (1 - J71) / hours_in_year</f>
        <v>0.38570005103827792</v>
      </c>
      <c r="K127" s="268">
        <f t="shared" si="4"/>
        <v>0.38570005103827792</v>
      </c>
      <c r="L127" s="268">
        <f t="shared" si="4"/>
        <v>0.36741027490060285</v>
      </c>
      <c r="M127" s="268">
        <f t="shared" si="4"/>
        <v>0.36741027490060285</v>
      </c>
      <c r="N127" s="268">
        <f t="shared" si="4"/>
        <v>0.30172452127756966</v>
      </c>
      <c r="O127" s="268">
        <f t="shared" si="4"/>
        <v>0.24129611251938995</v>
      </c>
      <c r="P127" s="268">
        <f t="shared" si="4"/>
        <v>0.22383909787222625</v>
      </c>
      <c r="Q127" s="268">
        <f t="shared" si="4"/>
        <v>0.40512595622718245</v>
      </c>
      <c r="R127" s="268">
        <f t="shared" si="4"/>
        <v>-0.19908099257248058</v>
      </c>
      <c r="S127" s="268">
        <f t="shared" si="4"/>
        <v>-0.18788042856205062</v>
      </c>
      <c r="T127" s="268">
        <f t="shared" si="4"/>
        <v>-0.19908099257248058</v>
      </c>
      <c r="U127" s="268">
        <f t="shared" si="4"/>
        <v>-0.19908099257248058</v>
      </c>
      <c r="V127" s="268">
        <f t="shared" si="4"/>
        <v>-0.18788042856205062</v>
      </c>
      <c r="W127" s="268">
        <f t="shared" si="4"/>
        <v>-0.18788042856205062</v>
      </c>
      <c r="X127" s="268">
        <f t="shared" si="4"/>
        <v>-0.18498996043032676</v>
      </c>
      <c r="Y127" s="268">
        <f t="shared" si="4"/>
        <v>-0.18498996043032676</v>
      </c>
      <c r="Z127" s="267"/>
      <c r="AA127" s="267"/>
    </row>
    <row r="128" spans="2:27" x14ac:dyDescent="0.25">
      <c r="E128" s="75"/>
      <c r="F128" s="255" t="s">
        <v>193</v>
      </c>
      <c r="G128" t="s">
        <v>267</v>
      </c>
      <c r="H128" s="267"/>
      <c r="I128" s="267"/>
      <c r="J128" s="268">
        <f t="shared" ref="J128:Y128" si="5">hundred * $H23 * J60 / $H48 * J$78 * (1 - J72) / hours_in_year</f>
        <v>0.14676840244085987</v>
      </c>
      <c r="K128" s="268">
        <f t="shared" si="5"/>
        <v>0.14676840244085987</v>
      </c>
      <c r="L128" s="268">
        <f t="shared" si="5"/>
        <v>0.13980869056760134</v>
      </c>
      <c r="M128" s="268">
        <f t="shared" si="5"/>
        <v>0.13980869056760134</v>
      </c>
      <c r="N128" s="268">
        <f t="shared" si="5"/>
        <v>0.11481363781501626</v>
      </c>
      <c r="O128" s="268">
        <f t="shared" si="5"/>
        <v>9.1819134724838769E-2</v>
      </c>
      <c r="P128" s="268">
        <f t="shared" si="5"/>
        <v>8.5176309181378765E-2</v>
      </c>
      <c r="Q128" s="268">
        <f t="shared" si="5"/>
        <v>0.15416043949884869</v>
      </c>
      <c r="R128" s="268">
        <f t="shared" si="5"/>
        <v>-7.5755238189750496E-2</v>
      </c>
      <c r="S128" s="268">
        <f t="shared" si="5"/>
        <v>-7.1493146748947828E-2</v>
      </c>
      <c r="T128" s="268">
        <f t="shared" si="5"/>
        <v>-7.5755238189750496E-2</v>
      </c>
      <c r="U128" s="268">
        <f t="shared" si="5"/>
        <v>-7.5755238189750496E-2</v>
      </c>
      <c r="V128" s="268">
        <f t="shared" si="5"/>
        <v>-7.1493146748947828E-2</v>
      </c>
      <c r="W128" s="268">
        <f t="shared" si="5"/>
        <v>-7.1493146748947828E-2</v>
      </c>
      <c r="X128" s="268">
        <f t="shared" si="5"/>
        <v>-7.0393252183579419E-2</v>
      </c>
      <c r="Y128" s="268">
        <f t="shared" si="5"/>
        <v>-7.0393252183579419E-2</v>
      </c>
      <c r="Z128" s="267"/>
      <c r="AA128" s="267"/>
    </row>
    <row r="129" spans="4:27" x14ac:dyDescent="0.25">
      <c r="E129" s="75"/>
      <c r="F129" s="255" t="s">
        <v>194</v>
      </c>
      <c r="G129" t="s">
        <v>267</v>
      </c>
      <c r="H129" s="267"/>
      <c r="I129" s="267"/>
      <c r="J129" s="268">
        <f t="shared" ref="J129:Y129" si="6">hundred * $H24 * J61 / $H49 * J$78 * (1 - J73) / hours_in_year</f>
        <v>0</v>
      </c>
      <c r="K129" s="268">
        <f t="shared" si="6"/>
        <v>0</v>
      </c>
      <c r="L129" s="268">
        <f t="shared" si="6"/>
        <v>0</v>
      </c>
      <c r="M129" s="268">
        <f t="shared" si="6"/>
        <v>0</v>
      </c>
      <c r="N129" s="268">
        <f t="shared" si="6"/>
        <v>0</v>
      </c>
      <c r="O129" s="268">
        <f t="shared" si="6"/>
        <v>0</v>
      </c>
      <c r="P129" s="268">
        <f t="shared" si="6"/>
        <v>0</v>
      </c>
      <c r="Q129" s="268">
        <f t="shared" si="6"/>
        <v>0</v>
      </c>
      <c r="R129" s="268">
        <f t="shared" si="6"/>
        <v>0</v>
      </c>
      <c r="S129" s="268">
        <f t="shared" si="6"/>
        <v>0</v>
      </c>
      <c r="T129" s="268">
        <f t="shared" si="6"/>
        <v>0</v>
      </c>
      <c r="U129" s="268">
        <f t="shared" si="6"/>
        <v>0</v>
      </c>
      <c r="V129" s="268">
        <f t="shared" si="6"/>
        <v>0</v>
      </c>
      <c r="W129" s="268">
        <f t="shared" si="6"/>
        <v>0</v>
      </c>
      <c r="X129" s="268">
        <f t="shared" si="6"/>
        <v>0</v>
      </c>
      <c r="Y129" s="268">
        <f t="shared" si="6"/>
        <v>0</v>
      </c>
      <c r="Z129" s="267"/>
      <c r="AA129" s="267"/>
    </row>
    <row r="130" spans="4:27" x14ac:dyDescent="0.25">
      <c r="E130" s="75"/>
      <c r="F130" s="255" t="s">
        <v>195</v>
      </c>
      <c r="G130" t="s">
        <v>267</v>
      </c>
      <c r="H130" s="267"/>
      <c r="I130" s="267"/>
      <c r="J130" s="268">
        <f t="shared" ref="J130:Y130" si="7">hundred * $H25 * J62 / $H50 * J$78 * (1 - J74) / hours_in_year</f>
        <v>0.67927221569240592</v>
      </c>
      <c r="K130" s="268">
        <f t="shared" si="7"/>
        <v>0.67927221569240592</v>
      </c>
      <c r="L130" s="268">
        <f t="shared" si="7"/>
        <v>0.64706133905883345</v>
      </c>
      <c r="M130" s="268">
        <f t="shared" si="7"/>
        <v>0.64706133905883345</v>
      </c>
      <c r="N130" s="268">
        <f t="shared" si="7"/>
        <v>0.53137945806650966</v>
      </c>
      <c r="O130" s="268">
        <f t="shared" si="7"/>
        <v>0.42495650324076228</v>
      </c>
      <c r="P130" s="268">
        <f t="shared" si="7"/>
        <v>0.39421223710226277</v>
      </c>
      <c r="Q130" s="268">
        <f t="shared" si="7"/>
        <v>0.71348397590342105</v>
      </c>
      <c r="R130" s="268">
        <f t="shared" si="7"/>
        <v>-0.35060972007372565</v>
      </c>
      <c r="S130" s="268">
        <f t="shared" si="7"/>
        <v>-0.33088394634906954</v>
      </c>
      <c r="T130" s="268">
        <f t="shared" si="7"/>
        <v>-0.35060972007372565</v>
      </c>
      <c r="U130" s="268">
        <f t="shared" si="7"/>
        <v>-0.35060972007372565</v>
      </c>
      <c r="V130" s="268">
        <f t="shared" si="7"/>
        <v>-0.33088394634906954</v>
      </c>
      <c r="W130" s="268">
        <f t="shared" si="7"/>
        <v>-0.33088394634906954</v>
      </c>
      <c r="X130" s="268">
        <f t="shared" si="7"/>
        <v>0</v>
      </c>
      <c r="Y130" s="268">
        <f t="shared" si="7"/>
        <v>0</v>
      </c>
      <c r="Z130" s="267"/>
      <c r="AA130" s="267"/>
    </row>
    <row r="131" spans="4:27" x14ac:dyDescent="0.25">
      <c r="E131" s="75"/>
      <c r="F131" s="255" t="s">
        <v>196</v>
      </c>
      <c r="G131" t="s">
        <v>267</v>
      </c>
      <c r="H131" s="267"/>
      <c r="I131" s="267"/>
      <c r="J131" s="268">
        <f t="shared" ref="J131:Y131" si="8">hundred * $H26 * J63 / $H51 * J$78 * (1 - J75) / hours_in_year</f>
        <v>0.20659441353958405</v>
      </c>
      <c r="K131" s="268">
        <f t="shared" si="8"/>
        <v>0.20659441353958405</v>
      </c>
      <c r="L131" s="268">
        <f t="shared" si="8"/>
        <v>0.1967977708770757</v>
      </c>
      <c r="M131" s="268">
        <f t="shared" si="8"/>
        <v>0.1967977708770757</v>
      </c>
      <c r="N131" s="268">
        <f t="shared" si="8"/>
        <v>0.1616141879059928</v>
      </c>
      <c r="O131" s="268">
        <f t="shared" si="8"/>
        <v>0.12924662239771798</v>
      </c>
      <c r="P131" s="268">
        <f t="shared" si="8"/>
        <v>0</v>
      </c>
      <c r="Q131" s="268">
        <f t="shared" si="8"/>
        <v>0.21699960658836334</v>
      </c>
      <c r="R131" s="268">
        <f t="shared" si="8"/>
        <v>-0.10663473026947606</v>
      </c>
      <c r="S131" s="268">
        <f t="shared" si="8"/>
        <v>0</v>
      </c>
      <c r="T131" s="268">
        <f t="shared" si="8"/>
        <v>-0.10663473026947606</v>
      </c>
      <c r="U131" s="268">
        <f t="shared" si="8"/>
        <v>-0.10663473026947606</v>
      </c>
      <c r="V131" s="268">
        <f t="shared" si="8"/>
        <v>0</v>
      </c>
      <c r="W131" s="268">
        <f t="shared" si="8"/>
        <v>0</v>
      </c>
      <c r="X131" s="268">
        <f t="shared" si="8"/>
        <v>0</v>
      </c>
      <c r="Y131" s="268">
        <f t="shared" si="8"/>
        <v>0</v>
      </c>
      <c r="Z131" s="267"/>
      <c r="AA131" s="267"/>
    </row>
    <row r="132" spans="4:27" x14ac:dyDescent="0.25">
      <c r="E132" s="75"/>
      <c r="F132" s="257" t="s">
        <v>197</v>
      </c>
      <c r="G132" s="96" t="s">
        <v>267</v>
      </c>
      <c r="H132" s="269"/>
      <c r="I132" s="269"/>
      <c r="J132" s="270">
        <f t="shared" ref="J132:Y132" si="9">hundred * $H27 * J64 / $H52 * J$78 * (1 - J76) / hours_in_year</f>
        <v>0.38615596544248459</v>
      </c>
      <c r="K132" s="270">
        <f t="shared" si="9"/>
        <v>0.38615596544248459</v>
      </c>
      <c r="L132" s="270">
        <f t="shared" si="9"/>
        <v>0.36784456998594139</v>
      </c>
      <c r="M132" s="270">
        <f t="shared" si="9"/>
        <v>0.36784456998594139</v>
      </c>
      <c r="N132" s="270">
        <f t="shared" si="9"/>
        <v>0.30208117291653758</v>
      </c>
      <c r="O132" s="270">
        <f t="shared" si="9"/>
        <v>0</v>
      </c>
      <c r="P132" s="270">
        <f t="shared" si="9"/>
        <v>0</v>
      </c>
      <c r="Q132" s="270">
        <f t="shared" si="9"/>
        <v>0.40560483290470634</v>
      </c>
      <c r="R132" s="270">
        <f t="shared" si="9"/>
        <v>0</v>
      </c>
      <c r="S132" s="270">
        <f t="shared" si="9"/>
        <v>0</v>
      </c>
      <c r="T132" s="270">
        <f t="shared" si="9"/>
        <v>0</v>
      </c>
      <c r="U132" s="270">
        <f t="shared" si="9"/>
        <v>0</v>
      </c>
      <c r="V132" s="270">
        <f t="shared" si="9"/>
        <v>0</v>
      </c>
      <c r="W132" s="270">
        <f t="shared" si="9"/>
        <v>0</v>
      </c>
      <c r="X132" s="270">
        <f t="shared" si="9"/>
        <v>0</v>
      </c>
      <c r="Y132" s="270">
        <f t="shared" si="9"/>
        <v>0</v>
      </c>
      <c r="Z132" s="267"/>
      <c r="AA132" s="267"/>
    </row>
    <row r="133" spans="4:27" x14ac:dyDescent="0.25">
      <c r="E133" s="75"/>
      <c r="F133" s="255"/>
      <c r="J133" s="106"/>
      <c r="K133" s="106"/>
      <c r="L133" s="106"/>
      <c r="M133" s="106"/>
      <c r="N133" s="106"/>
      <c r="O133" s="106"/>
      <c r="P133" s="106"/>
      <c r="Q133" s="106"/>
      <c r="R133" s="106"/>
      <c r="S133" s="106"/>
      <c r="T133" s="106"/>
      <c r="U133" s="106"/>
      <c r="V133" s="106"/>
      <c r="W133" s="106"/>
      <c r="X133" s="106"/>
      <c r="Y133" s="106"/>
    </row>
    <row r="134" spans="4:27" x14ac:dyDescent="0.25">
      <c r="E134" s="75" t="s">
        <v>577</v>
      </c>
      <c r="J134" s="106"/>
      <c r="K134" s="106"/>
      <c r="L134" s="106"/>
      <c r="M134" s="106"/>
      <c r="N134" s="106"/>
      <c r="O134" s="106"/>
      <c r="P134" s="106"/>
      <c r="Q134" s="106"/>
      <c r="R134" s="106"/>
      <c r="S134" s="106"/>
      <c r="T134" s="106"/>
      <c r="U134" s="106"/>
      <c r="V134" s="106"/>
      <c r="W134" s="106"/>
      <c r="X134" s="106"/>
      <c r="Y134" s="106"/>
    </row>
    <row r="135" spans="4:27" x14ac:dyDescent="0.25">
      <c r="D135" s="75"/>
      <c r="E135" s="75"/>
      <c r="F135" s="254" t="s">
        <v>187</v>
      </c>
      <c r="G135" s="95" t="s">
        <v>267</v>
      </c>
      <c r="H135" s="265"/>
      <c r="I135" s="265"/>
      <c r="J135" s="266">
        <f t="shared" ref="J135:Y135" si="10">hundred * $H30 * J55 / $H43 * J$78 / hours_in_year</f>
        <v>0.15107260046508147</v>
      </c>
      <c r="K135" s="266">
        <f t="shared" si="10"/>
        <v>0.15107260046508147</v>
      </c>
      <c r="L135" s="266">
        <f t="shared" si="10"/>
        <v>0.14390878486380082</v>
      </c>
      <c r="M135" s="266">
        <f t="shared" si="10"/>
        <v>0.14390878486380082</v>
      </c>
      <c r="N135" s="266">
        <f t="shared" si="10"/>
        <v>0.11818071563843413</v>
      </c>
      <c r="O135" s="266">
        <f t="shared" si="10"/>
        <v>9.4511865119772637E-2</v>
      </c>
      <c r="P135" s="266">
        <f t="shared" si="10"/>
        <v>8.7674229003301643E-2</v>
      </c>
      <c r="Q135" s="266">
        <f t="shared" si="10"/>
        <v>0.15868141981933323</v>
      </c>
      <c r="R135" s="266">
        <f t="shared" si="10"/>
        <v>-7.7976871328205813E-2</v>
      </c>
      <c r="S135" s="266">
        <f t="shared" si="10"/>
        <v>-7.3589787823352126E-2</v>
      </c>
      <c r="T135" s="266">
        <f t="shared" si="10"/>
        <v>-7.7976871328205813E-2</v>
      </c>
      <c r="U135" s="266">
        <f t="shared" si="10"/>
        <v>-7.7976871328205813E-2</v>
      </c>
      <c r="V135" s="266">
        <f t="shared" si="10"/>
        <v>-7.3589787823352126E-2</v>
      </c>
      <c r="W135" s="266">
        <f t="shared" si="10"/>
        <v>-7.3589787823352126E-2</v>
      </c>
      <c r="X135" s="266">
        <f t="shared" si="10"/>
        <v>-7.2457637241454403E-2</v>
      </c>
      <c r="Y135" s="266">
        <f t="shared" si="10"/>
        <v>-7.2457637241454403E-2</v>
      </c>
      <c r="Z135" s="267"/>
      <c r="AA135" s="267"/>
    </row>
    <row r="136" spans="4:27" x14ac:dyDescent="0.25">
      <c r="D136" s="75"/>
      <c r="E136" s="75"/>
      <c r="F136" s="255" t="s">
        <v>189</v>
      </c>
      <c r="G136" t="s">
        <v>267</v>
      </c>
      <c r="H136" s="267"/>
      <c r="I136" s="267"/>
      <c r="J136" s="268">
        <f t="shared" ref="J136:Y136" si="11">hundred * $H31 * J56 / $H44 * J$78 / hours_in_year</f>
        <v>0</v>
      </c>
      <c r="K136" s="268">
        <f t="shared" si="11"/>
        <v>0</v>
      </c>
      <c r="L136" s="268">
        <f t="shared" si="11"/>
        <v>0</v>
      </c>
      <c r="M136" s="268">
        <f t="shared" si="11"/>
        <v>0</v>
      </c>
      <c r="N136" s="268">
        <f t="shared" si="11"/>
        <v>0</v>
      </c>
      <c r="O136" s="268">
        <f t="shared" si="11"/>
        <v>0</v>
      </c>
      <c r="P136" s="268">
        <f t="shared" si="11"/>
        <v>0</v>
      </c>
      <c r="Q136" s="268">
        <f t="shared" si="11"/>
        <v>0</v>
      </c>
      <c r="R136" s="268">
        <f t="shared" si="11"/>
        <v>0</v>
      </c>
      <c r="S136" s="268">
        <f t="shared" si="11"/>
        <v>0</v>
      </c>
      <c r="T136" s="268">
        <f t="shared" si="11"/>
        <v>0</v>
      </c>
      <c r="U136" s="268">
        <f t="shared" si="11"/>
        <v>0</v>
      </c>
      <c r="V136" s="268">
        <f t="shared" si="11"/>
        <v>0</v>
      </c>
      <c r="W136" s="268">
        <f t="shared" si="11"/>
        <v>0</v>
      </c>
      <c r="X136" s="268">
        <f t="shared" si="11"/>
        <v>0</v>
      </c>
      <c r="Y136" s="268">
        <f t="shared" si="11"/>
        <v>0</v>
      </c>
      <c r="Z136" s="267"/>
      <c r="AA136" s="267"/>
    </row>
    <row r="137" spans="4:27" x14ac:dyDescent="0.25">
      <c r="D137" s="75"/>
      <c r="E137" s="75"/>
      <c r="F137" s="255" t="s">
        <v>190</v>
      </c>
      <c r="G137" t="s">
        <v>267</v>
      </c>
      <c r="H137" s="267"/>
      <c r="I137" s="267"/>
      <c r="J137" s="268">
        <f t="shared" ref="J137:Y137" si="12">hundred * $H32 * J57 / $H45 * J$78 / hours_in_year</f>
        <v>6.4652614160749217E-2</v>
      </c>
      <c r="K137" s="268">
        <f t="shared" si="12"/>
        <v>6.4652614160749217E-2</v>
      </c>
      <c r="L137" s="268">
        <f t="shared" si="12"/>
        <v>6.158680735949932E-2</v>
      </c>
      <c r="M137" s="268">
        <f t="shared" si="12"/>
        <v>6.158680735949932E-2</v>
      </c>
      <c r="N137" s="268">
        <f t="shared" si="12"/>
        <v>5.0576293688536542E-2</v>
      </c>
      <c r="O137" s="268">
        <f t="shared" si="12"/>
        <v>4.044703758583796E-2</v>
      </c>
      <c r="P137" s="268">
        <f t="shared" si="12"/>
        <v>3.7520821658867262E-2</v>
      </c>
      <c r="Q137" s="268">
        <f t="shared" si="12"/>
        <v>6.7908863542932726E-2</v>
      </c>
      <c r="R137" s="268">
        <f t="shared" si="12"/>
        <v>-3.3370767167075648E-2</v>
      </c>
      <c r="S137" s="268">
        <f t="shared" si="12"/>
        <v>-3.1493282988891716E-2</v>
      </c>
      <c r="T137" s="268">
        <f t="shared" si="12"/>
        <v>-3.3370767167075648E-2</v>
      </c>
      <c r="U137" s="268">
        <f t="shared" si="12"/>
        <v>-3.3370767167075648E-2</v>
      </c>
      <c r="V137" s="268">
        <f t="shared" si="12"/>
        <v>-3.1493282988891716E-2</v>
      </c>
      <c r="W137" s="268">
        <f t="shared" si="12"/>
        <v>-3.1493282988891716E-2</v>
      </c>
      <c r="X137" s="268">
        <f t="shared" si="12"/>
        <v>-3.1008770942908773E-2</v>
      </c>
      <c r="Y137" s="268">
        <f t="shared" si="12"/>
        <v>-3.1008770942908773E-2</v>
      </c>
      <c r="Z137" s="267"/>
      <c r="AA137" s="267"/>
    </row>
    <row r="138" spans="4:27" x14ac:dyDescent="0.25">
      <c r="D138" s="75"/>
      <c r="E138" s="75"/>
      <c r="F138" s="255" t="s">
        <v>191</v>
      </c>
      <c r="G138" t="s">
        <v>267</v>
      </c>
      <c r="H138" s="267"/>
      <c r="I138" s="267"/>
      <c r="J138" s="268">
        <f t="shared" ref="J138:Y138" si="13">hundred * $H33 * J58 / $H46 * J$78 / hours_in_year</f>
        <v>4.0046807280481232E-2</v>
      </c>
      <c r="K138" s="268">
        <f t="shared" si="13"/>
        <v>4.0046807280481232E-2</v>
      </c>
      <c r="L138" s="268">
        <f t="shared" si="13"/>
        <v>3.814780016804524E-2</v>
      </c>
      <c r="M138" s="268">
        <f t="shared" si="13"/>
        <v>3.814780016804524E-2</v>
      </c>
      <c r="N138" s="268">
        <f t="shared" si="13"/>
        <v>3.1327721432422448E-2</v>
      </c>
      <c r="O138" s="268">
        <f t="shared" si="13"/>
        <v>2.5053506966309237E-2</v>
      </c>
      <c r="P138" s="268">
        <f t="shared" si="13"/>
        <v>2.3240964553142375E-2</v>
      </c>
      <c r="Q138" s="268">
        <f t="shared" si="13"/>
        <v>4.2063777408576329E-2</v>
      </c>
      <c r="R138" s="268">
        <f t="shared" si="13"/>
        <v>-2.0670358018609201E-2</v>
      </c>
      <c r="S138" s="268">
        <f t="shared" si="13"/>
        <v>-1.9507415915928829E-2</v>
      </c>
      <c r="T138" s="268">
        <f t="shared" si="13"/>
        <v>-2.0670358018609201E-2</v>
      </c>
      <c r="U138" s="268">
        <f t="shared" si="13"/>
        <v>-2.0670358018609201E-2</v>
      </c>
      <c r="V138" s="268">
        <f t="shared" si="13"/>
        <v>-1.9507415915928829E-2</v>
      </c>
      <c r="W138" s="268">
        <f t="shared" si="13"/>
        <v>-1.9507415915928829E-2</v>
      </c>
      <c r="X138" s="268">
        <f t="shared" si="13"/>
        <v>-1.9207301824914536E-2</v>
      </c>
      <c r="Y138" s="268">
        <f t="shared" si="13"/>
        <v>-1.9207301824914536E-2</v>
      </c>
      <c r="Z138" s="267"/>
      <c r="AA138" s="267"/>
    </row>
    <row r="139" spans="4:27" x14ac:dyDescent="0.25">
      <c r="D139" s="75"/>
      <c r="E139" s="75"/>
      <c r="F139" s="255" t="s">
        <v>192</v>
      </c>
      <c r="G139" t="s">
        <v>267</v>
      </c>
      <c r="H139" s="267"/>
      <c r="I139" s="267"/>
      <c r="J139" s="268">
        <f t="shared" ref="J139:Y139" si="14">hundred * $H34 * J59 / $H47 * J$78 / hours_in_year</f>
        <v>0.12697768116851671</v>
      </c>
      <c r="K139" s="268">
        <f t="shared" si="14"/>
        <v>0.12697768116851671</v>
      </c>
      <c r="L139" s="268">
        <f t="shared" si="14"/>
        <v>0.1209564391261537</v>
      </c>
      <c r="M139" s="268">
        <f t="shared" si="14"/>
        <v>0.1209564391261537</v>
      </c>
      <c r="N139" s="268">
        <f t="shared" si="14"/>
        <v>9.9331799309781157E-2</v>
      </c>
      <c r="O139" s="268">
        <f t="shared" si="14"/>
        <v>7.9437948634466002E-2</v>
      </c>
      <c r="P139" s="268">
        <f t="shared" si="14"/>
        <v>7.3690862954662206E-2</v>
      </c>
      <c r="Q139" s="268">
        <f t="shared" si="14"/>
        <v>0.13337295228358784</v>
      </c>
      <c r="R139" s="268">
        <f t="shared" si="14"/>
        <v>-6.5540159337628773E-2</v>
      </c>
      <c r="S139" s="268">
        <f t="shared" si="14"/>
        <v>-6.1852781952027154E-2</v>
      </c>
      <c r="T139" s="268">
        <f t="shared" si="14"/>
        <v>-6.5540159337628773E-2</v>
      </c>
      <c r="U139" s="268">
        <f t="shared" si="14"/>
        <v>-6.5540159337628773E-2</v>
      </c>
      <c r="V139" s="268">
        <f t="shared" si="14"/>
        <v>-6.1852781952027154E-2</v>
      </c>
      <c r="W139" s="268">
        <f t="shared" si="14"/>
        <v>-6.1852781952027154E-2</v>
      </c>
      <c r="X139" s="268">
        <f t="shared" si="14"/>
        <v>-6.0901200691226731E-2</v>
      </c>
      <c r="Y139" s="268">
        <f t="shared" si="14"/>
        <v>-6.0901200691226731E-2</v>
      </c>
      <c r="Z139" s="267"/>
      <c r="AA139" s="267"/>
    </row>
    <row r="140" spans="4:27" x14ac:dyDescent="0.25">
      <c r="D140" s="75"/>
      <c r="E140" s="75"/>
      <c r="F140" s="255" t="s">
        <v>193</v>
      </c>
      <c r="G140" t="s">
        <v>267</v>
      </c>
      <c r="H140" s="267"/>
      <c r="I140" s="267"/>
      <c r="J140" s="268">
        <f t="shared" ref="J140:Y140" si="15">hundred * $H35 * J60 / $H48 * J$78 / hours_in_year</f>
        <v>4.8318146084192604E-2</v>
      </c>
      <c r="K140" s="268">
        <f t="shared" si="15"/>
        <v>4.8318146084192604E-2</v>
      </c>
      <c r="L140" s="268">
        <f t="shared" si="15"/>
        <v>4.6026914665144497E-2</v>
      </c>
      <c r="M140" s="268">
        <f t="shared" si="15"/>
        <v>4.6026914665144497E-2</v>
      </c>
      <c r="N140" s="268">
        <f t="shared" si="15"/>
        <v>3.7798204737146512E-2</v>
      </c>
      <c r="O140" s="268">
        <f t="shared" si="15"/>
        <v>3.0228102855767033E-2</v>
      </c>
      <c r="P140" s="268">
        <f t="shared" si="15"/>
        <v>2.8041194708762839E-2</v>
      </c>
      <c r="Q140" s="268">
        <f t="shared" si="15"/>
        <v>5.0751704809965277E-2</v>
      </c>
      <c r="R140" s="268">
        <f t="shared" si="15"/>
        <v>-2.4939650528458295E-2</v>
      </c>
      <c r="S140" s="268">
        <f t="shared" si="15"/>
        <v>-2.3536512295459736E-2</v>
      </c>
      <c r="T140" s="268">
        <f t="shared" si="15"/>
        <v>-2.4939650528458295E-2</v>
      </c>
      <c r="U140" s="268">
        <f t="shared" si="15"/>
        <v>-2.4939650528458295E-2</v>
      </c>
      <c r="V140" s="268">
        <f t="shared" si="15"/>
        <v>-2.3536512295459736E-2</v>
      </c>
      <c r="W140" s="268">
        <f t="shared" si="15"/>
        <v>-2.3536512295459736E-2</v>
      </c>
      <c r="X140" s="268">
        <f t="shared" si="15"/>
        <v>-2.3174412106298815E-2</v>
      </c>
      <c r="Y140" s="268">
        <f t="shared" si="15"/>
        <v>-2.3174412106298815E-2</v>
      </c>
      <c r="Z140" s="267"/>
      <c r="AA140" s="267"/>
    </row>
    <row r="141" spans="4:27" x14ac:dyDescent="0.25">
      <c r="D141" s="75"/>
      <c r="E141" s="75"/>
      <c r="F141" s="255" t="s">
        <v>194</v>
      </c>
      <c r="G141" t="s">
        <v>267</v>
      </c>
      <c r="H141" s="267"/>
      <c r="I141" s="267"/>
      <c r="J141" s="268">
        <f t="shared" ref="J141:Y141" si="16">hundred * $H36 * J61 / $H49 * J$78 / hours_in_year</f>
        <v>0</v>
      </c>
      <c r="K141" s="268">
        <f t="shared" si="16"/>
        <v>0</v>
      </c>
      <c r="L141" s="268">
        <f t="shared" si="16"/>
        <v>0</v>
      </c>
      <c r="M141" s="268">
        <f t="shared" si="16"/>
        <v>0</v>
      </c>
      <c r="N141" s="268">
        <f t="shared" si="16"/>
        <v>0</v>
      </c>
      <c r="O141" s="268">
        <f t="shared" si="16"/>
        <v>0</v>
      </c>
      <c r="P141" s="268">
        <f t="shared" si="16"/>
        <v>0</v>
      </c>
      <c r="Q141" s="268">
        <f t="shared" si="16"/>
        <v>0</v>
      </c>
      <c r="R141" s="268">
        <f t="shared" si="16"/>
        <v>0</v>
      </c>
      <c r="S141" s="268">
        <f t="shared" si="16"/>
        <v>0</v>
      </c>
      <c r="T141" s="268">
        <f t="shared" si="16"/>
        <v>0</v>
      </c>
      <c r="U141" s="268">
        <f t="shared" si="16"/>
        <v>0</v>
      </c>
      <c r="V141" s="268">
        <f t="shared" si="16"/>
        <v>0</v>
      </c>
      <c r="W141" s="268">
        <f t="shared" si="16"/>
        <v>0</v>
      </c>
      <c r="X141" s="268">
        <f t="shared" si="16"/>
        <v>0</v>
      </c>
      <c r="Y141" s="268">
        <f t="shared" si="16"/>
        <v>0</v>
      </c>
      <c r="Z141" s="267"/>
      <c r="AA141" s="267"/>
    </row>
    <row r="142" spans="4:27" x14ac:dyDescent="0.25">
      <c r="D142" s="75"/>
      <c r="E142" s="75"/>
      <c r="F142" s="255" t="s">
        <v>195</v>
      </c>
      <c r="G142" t="s">
        <v>267</v>
      </c>
      <c r="H142" s="267"/>
      <c r="I142" s="267"/>
      <c r="J142" s="268">
        <f t="shared" ref="J142:Y142" si="17">hundred * $H37 * J62 / $H50 * J$78 / hours_in_year</f>
        <v>0.22362561425293237</v>
      </c>
      <c r="K142" s="268">
        <f t="shared" si="17"/>
        <v>0.22362561425293237</v>
      </c>
      <c r="L142" s="268">
        <f t="shared" si="17"/>
        <v>0.21302135736386527</v>
      </c>
      <c r="M142" s="268">
        <f t="shared" si="17"/>
        <v>0.21302135736386527</v>
      </c>
      <c r="N142" s="268">
        <f t="shared" si="17"/>
        <v>0.17493731521226125</v>
      </c>
      <c r="O142" s="268">
        <f t="shared" si="17"/>
        <v>0.13990143696827803</v>
      </c>
      <c r="P142" s="268">
        <f t="shared" si="17"/>
        <v>0.12978000811965446</v>
      </c>
      <c r="Q142" s="268">
        <f t="shared" si="17"/>
        <v>0.23488858911797036</v>
      </c>
      <c r="R142" s="268">
        <f t="shared" si="17"/>
        <v>-0.11542546891103779</v>
      </c>
      <c r="S142" s="268">
        <f t="shared" si="17"/>
        <v>-0.10893147701223166</v>
      </c>
      <c r="T142" s="268">
        <f t="shared" si="17"/>
        <v>-0.11542546891103779</v>
      </c>
      <c r="U142" s="268">
        <f t="shared" si="17"/>
        <v>-0.11542546891103779</v>
      </c>
      <c r="V142" s="268">
        <f t="shared" si="17"/>
        <v>-0.10893147701223166</v>
      </c>
      <c r="W142" s="268">
        <f t="shared" si="17"/>
        <v>-0.10893147701223166</v>
      </c>
      <c r="X142" s="268">
        <f t="shared" si="17"/>
        <v>0</v>
      </c>
      <c r="Y142" s="268">
        <f t="shared" si="17"/>
        <v>0</v>
      </c>
      <c r="Z142" s="267"/>
      <c r="AA142" s="267"/>
    </row>
    <row r="143" spans="4:27" x14ac:dyDescent="0.25">
      <c r="D143" s="75"/>
      <c r="E143" s="75"/>
      <c r="F143" s="255" t="s">
        <v>196</v>
      </c>
      <c r="G143" t="s">
        <v>267</v>
      </c>
      <c r="H143" s="267"/>
      <c r="I143" s="267"/>
      <c r="J143" s="268">
        <f t="shared" ref="J143:Y143" si="18">hundred * $H38 * J63 / $H51 * J$78 / hours_in_year</f>
        <v>6.8013679290445772E-2</v>
      </c>
      <c r="K143" s="268">
        <f t="shared" si="18"/>
        <v>6.8013679290445772E-2</v>
      </c>
      <c r="L143" s="268">
        <f t="shared" si="18"/>
        <v>6.4788491828911263E-2</v>
      </c>
      <c r="M143" s="268">
        <f t="shared" si="18"/>
        <v>6.4788491828911263E-2</v>
      </c>
      <c r="N143" s="268">
        <f t="shared" si="18"/>
        <v>5.3205579747769606E-2</v>
      </c>
      <c r="O143" s="268">
        <f t="shared" si="18"/>
        <v>4.2549738758775504E-2</v>
      </c>
      <c r="P143" s="268">
        <f t="shared" si="18"/>
        <v>0</v>
      </c>
      <c r="Q143" s="268">
        <f t="shared" si="18"/>
        <v>7.1439209782049554E-2</v>
      </c>
      <c r="R143" s="268">
        <f t="shared" si="18"/>
        <v>-3.5105597588589742E-2</v>
      </c>
      <c r="S143" s="268">
        <f t="shared" si="18"/>
        <v>0</v>
      </c>
      <c r="T143" s="268">
        <f t="shared" si="18"/>
        <v>-3.5105597588589742E-2</v>
      </c>
      <c r="U143" s="268">
        <f t="shared" si="18"/>
        <v>-3.5105597588589742E-2</v>
      </c>
      <c r="V143" s="268">
        <f t="shared" si="18"/>
        <v>0</v>
      </c>
      <c r="W143" s="268">
        <f t="shared" si="18"/>
        <v>0</v>
      </c>
      <c r="X143" s="268">
        <f t="shared" si="18"/>
        <v>0</v>
      </c>
      <c r="Y143" s="268">
        <f t="shared" si="18"/>
        <v>0</v>
      </c>
      <c r="Z143" s="267"/>
      <c r="AA143" s="267"/>
    </row>
    <row r="144" spans="4:27" x14ac:dyDescent="0.25">
      <c r="D144" s="75"/>
      <c r="E144" s="75"/>
      <c r="F144" s="257" t="s">
        <v>197</v>
      </c>
      <c r="G144" s="96" t="s">
        <v>267</v>
      </c>
      <c r="H144" s="269"/>
      <c r="I144" s="269"/>
      <c r="J144" s="270">
        <f t="shared" ref="J144:Y144" si="19">hundred * $H39 * J64 / $H52 * J$78 / hours_in_year</f>
        <v>0.12712777436581252</v>
      </c>
      <c r="K144" s="270">
        <f t="shared" si="19"/>
        <v>0.12712777436581252</v>
      </c>
      <c r="L144" s="270">
        <f t="shared" si="19"/>
        <v>0.12109941495084107</v>
      </c>
      <c r="M144" s="270">
        <f t="shared" si="19"/>
        <v>0.12109941495084107</v>
      </c>
      <c r="N144" s="270">
        <f t="shared" si="19"/>
        <v>9.9449213860230909E-2</v>
      </c>
      <c r="O144" s="270">
        <f t="shared" si="19"/>
        <v>0</v>
      </c>
      <c r="P144" s="270">
        <f t="shared" si="19"/>
        <v>0</v>
      </c>
      <c r="Q144" s="270">
        <f t="shared" si="19"/>
        <v>0.13353060497228719</v>
      </c>
      <c r="R144" s="270">
        <f t="shared" si="19"/>
        <v>0</v>
      </c>
      <c r="S144" s="270">
        <f t="shared" si="19"/>
        <v>0</v>
      </c>
      <c r="T144" s="270">
        <f t="shared" si="19"/>
        <v>0</v>
      </c>
      <c r="U144" s="270">
        <f t="shared" si="19"/>
        <v>0</v>
      </c>
      <c r="V144" s="270">
        <f t="shared" si="19"/>
        <v>0</v>
      </c>
      <c r="W144" s="270">
        <f t="shared" si="19"/>
        <v>0</v>
      </c>
      <c r="X144" s="270">
        <f t="shared" si="19"/>
        <v>0</v>
      </c>
      <c r="Y144" s="270">
        <f t="shared" si="19"/>
        <v>0</v>
      </c>
      <c r="Z144" s="267"/>
      <c r="AA144" s="267"/>
    </row>
    <row r="145" spans="3:27" x14ac:dyDescent="0.25">
      <c r="C145" s="75"/>
      <c r="D145" s="75"/>
      <c r="E145" s="75"/>
      <c r="J145" s="260"/>
      <c r="K145" s="260"/>
      <c r="L145" s="260"/>
      <c r="M145" s="260"/>
      <c r="N145" s="260"/>
      <c r="O145" s="260"/>
      <c r="P145" s="260"/>
      <c r="Q145" s="260"/>
      <c r="R145" s="260"/>
      <c r="S145" s="260"/>
      <c r="T145" s="260"/>
      <c r="U145" s="260"/>
      <c r="V145" s="260"/>
      <c r="W145" s="260"/>
      <c r="X145" s="260"/>
      <c r="Y145" s="260"/>
    </row>
    <row r="146" spans="3:27" x14ac:dyDescent="0.25">
      <c r="C146" s="93" t="str">
        <f ca="1">INDEX('Version control'!$H$41:$H$64,MATCH($A$1,'Version control'!$F$41:$F$64,0),1)&amp;"-C: Unit rate 1"</f>
        <v>Section 109-C: Unit rate 1</v>
      </c>
      <c r="D146" s="93"/>
      <c r="E146" s="93"/>
      <c r="F146" s="93"/>
      <c r="G146" s="93"/>
      <c r="H146" s="93"/>
      <c r="I146" s="93"/>
      <c r="J146" s="264"/>
      <c r="K146" s="264"/>
      <c r="L146" s="264"/>
      <c r="M146" s="264"/>
      <c r="N146" s="264"/>
      <c r="O146" s="264"/>
      <c r="P146" s="264"/>
      <c r="Q146" s="264"/>
      <c r="R146" s="264"/>
      <c r="S146" s="264"/>
      <c r="T146" s="264"/>
      <c r="U146" s="264"/>
      <c r="V146" s="264"/>
      <c r="W146" s="264"/>
      <c r="X146" s="264"/>
      <c r="Y146" s="264"/>
      <c r="Z146" s="93"/>
      <c r="AA146" s="93"/>
    </row>
    <row r="147" spans="3:27" x14ac:dyDescent="0.25">
      <c r="C147" s="75"/>
      <c r="D147" s="75"/>
      <c r="E147" s="75"/>
      <c r="J147" s="260"/>
      <c r="K147" s="260"/>
      <c r="L147" s="260"/>
      <c r="M147" s="260"/>
      <c r="N147" s="260"/>
      <c r="O147" s="260"/>
      <c r="P147" s="260"/>
      <c r="Q147" s="260"/>
      <c r="R147" s="260"/>
      <c r="S147" s="260"/>
      <c r="T147" s="260"/>
      <c r="U147" s="260"/>
      <c r="V147" s="260"/>
      <c r="W147" s="260"/>
      <c r="X147" s="260"/>
      <c r="Y147" s="260"/>
    </row>
    <row r="148" spans="3:27" x14ac:dyDescent="0.25">
      <c r="D148" s="86" t="s">
        <v>578</v>
      </c>
      <c r="E148" s="75"/>
      <c r="F148" s="75"/>
      <c r="J148" s="260"/>
      <c r="K148" s="260"/>
      <c r="L148" s="260"/>
      <c r="M148" s="260"/>
      <c r="N148" s="260"/>
      <c r="O148" s="260"/>
      <c r="P148" s="260"/>
      <c r="Q148" s="260"/>
      <c r="R148" s="260"/>
      <c r="S148" s="260"/>
      <c r="T148" s="260"/>
      <c r="U148" s="260"/>
      <c r="V148" s="260"/>
      <c r="W148" s="260"/>
      <c r="X148" s="260"/>
      <c r="Y148" s="260"/>
    </row>
    <row r="149" spans="3:27" x14ac:dyDescent="0.25">
      <c r="D149" s="86" t="s">
        <v>579</v>
      </c>
      <c r="E149" s="75"/>
      <c r="F149" s="75"/>
      <c r="J149" s="260"/>
      <c r="K149" s="260"/>
      <c r="L149" s="260"/>
      <c r="M149" s="260"/>
      <c r="N149" s="260"/>
      <c r="O149" s="260"/>
      <c r="P149" s="260"/>
      <c r="Q149" s="260"/>
      <c r="R149" s="260"/>
      <c r="S149" s="260"/>
      <c r="T149" s="260"/>
      <c r="U149" s="260"/>
      <c r="V149" s="260"/>
      <c r="W149" s="260"/>
      <c r="X149" s="260"/>
      <c r="Y149" s="260"/>
    </row>
    <row r="150" spans="3:27" x14ac:dyDescent="0.25">
      <c r="D150" s="75"/>
      <c r="E150" s="75"/>
      <c r="F150" s="75"/>
      <c r="I150" s="3" t="s">
        <v>152</v>
      </c>
      <c r="J150" s="260"/>
      <c r="K150" s="260"/>
      <c r="L150" s="260"/>
      <c r="M150" s="260"/>
      <c r="N150" s="260"/>
      <c r="O150" s="260"/>
      <c r="P150" s="260"/>
      <c r="Q150" s="260"/>
      <c r="R150" s="260"/>
      <c r="S150" s="260"/>
      <c r="T150" s="260"/>
      <c r="U150" s="260"/>
      <c r="V150" s="260"/>
      <c r="W150" s="260"/>
      <c r="X150" s="260"/>
      <c r="Y150" s="260"/>
      <c r="AA150" t="s">
        <v>580</v>
      </c>
    </row>
    <row r="151" spans="3:27" x14ac:dyDescent="0.25">
      <c r="E151" s="75" t="s">
        <v>576</v>
      </c>
      <c r="J151" s="260"/>
      <c r="K151" s="260"/>
      <c r="L151" s="260"/>
      <c r="M151" s="260"/>
      <c r="N151" s="260"/>
      <c r="O151" s="260"/>
      <c r="P151" s="260"/>
      <c r="Q151" s="260"/>
      <c r="R151" s="260"/>
      <c r="S151" s="260"/>
      <c r="T151" s="260"/>
      <c r="U151" s="260"/>
      <c r="V151" s="260"/>
      <c r="W151" s="260"/>
      <c r="X151" s="260"/>
      <c r="Y151" s="260"/>
    </row>
    <row r="152" spans="3:27" x14ac:dyDescent="0.25">
      <c r="E152" s="75"/>
      <c r="F152" s="254" t="s">
        <v>187</v>
      </c>
      <c r="G152" s="95" t="s">
        <v>267</v>
      </c>
      <c r="H152" s="265"/>
      <c r="I152" s="265"/>
      <c r="J152" s="266">
        <f t="shared" ref="J152:Y152" si="20">hundred * $H18 * J55 / $H43 * J81 * (1 - J67) / hours_in_year</f>
        <v>0</v>
      </c>
      <c r="K152" s="266">
        <f t="shared" si="20"/>
        <v>0</v>
      </c>
      <c r="L152" s="266">
        <f t="shared" si="20"/>
        <v>0</v>
      </c>
      <c r="M152" s="266">
        <f t="shared" si="20"/>
        <v>0</v>
      </c>
      <c r="N152" s="266">
        <f t="shared" si="20"/>
        <v>0</v>
      </c>
      <c r="O152" s="266">
        <f t="shared" si="20"/>
        <v>0</v>
      </c>
      <c r="P152" s="266">
        <f t="shared" si="20"/>
        <v>0</v>
      </c>
      <c r="Q152" s="266">
        <f t="shared" si="20"/>
        <v>0</v>
      </c>
      <c r="R152" s="266">
        <f t="shared" si="20"/>
        <v>0</v>
      </c>
      <c r="S152" s="266">
        <f t="shared" si="20"/>
        <v>0</v>
      </c>
      <c r="T152" s="266">
        <f t="shared" si="20"/>
        <v>0</v>
      </c>
      <c r="U152" s="266">
        <f t="shared" si="20"/>
        <v>0</v>
      </c>
      <c r="V152" s="266">
        <f t="shared" si="20"/>
        <v>0</v>
      </c>
      <c r="W152" s="266">
        <f t="shared" si="20"/>
        <v>0</v>
      </c>
      <c r="X152" s="266">
        <f t="shared" si="20"/>
        <v>0</v>
      </c>
      <c r="Y152" s="266">
        <f t="shared" si="20"/>
        <v>0</v>
      </c>
      <c r="Z152" s="267"/>
      <c r="AA152" s="267"/>
    </row>
    <row r="153" spans="3:27" x14ac:dyDescent="0.25">
      <c r="E153" s="75"/>
      <c r="F153" s="255" t="s">
        <v>189</v>
      </c>
      <c r="G153" t="s">
        <v>267</v>
      </c>
      <c r="H153" s="267"/>
      <c r="I153" s="267"/>
      <c r="J153" s="268">
        <f t="shared" ref="J153:Y153" si="21">hundred * $H19 * J56 / $H44 * J82 * (1 - J68) / hours_in_year</f>
        <v>0</v>
      </c>
      <c r="K153" s="268">
        <f t="shared" si="21"/>
        <v>0</v>
      </c>
      <c r="L153" s="268">
        <f t="shared" si="21"/>
        <v>0</v>
      </c>
      <c r="M153" s="268">
        <f t="shared" si="21"/>
        <v>0</v>
      </c>
      <c r="N153" s="268">
        <f t="shared" si="21"/>
        <v>0</v>
      </c>
      <c r="O153" s="268">
        <f t="shared" si="21"/>
        <v>0</v>
      </c>
      <c r="P153" s="268">
        <f t="shared" si="21"/>
        <v>0</v>
      </c>
      <c r="Q153" s="268">
        <f t="shared" si="21"/>
        <v>0</v>
      </c>
      <c r="R153" s="268">
        <f t="shared" si="21"/>
        <v>0</v>
      </c>
      <c r="S153" s="268">
        <f t="shared" si="21"/>
        <v>0</v>
      </c>
      <c r="T153" s="268">
        <f t="shared" si="21"/>
        <v>0</v>
      </c>
      <c r="U153" s="268">
        <f t="shared" si="21"/>
        <v>0</v>
      </c>
      <c r="V153" s="268">
        <f t="shared" si="21"/>
        <v>0</v>
      </c>
      <c r="W153" s="268">
        <f t="shared" si="21"/>
        <v>0</v>
      </c>
      <c r="X153" s="268">
        <f t="shared" si="21"/>
        <v>0</v>
      </c>
      <c r="Y153" s="268">
        <f t="shared" si="21"/>
        <v>0</v>
      </c>
      <c r="Z153" s="267"/>
      <c r="AA153" s="267"/>
    </row>
    <row r="154" spans="3:27" x14ac:dyDescent="0.25">
      <c r="E154" s="75"/>
      <c r="F154" s="255" t="s">
        <v>190</v>
      </c>
      <c r="G154" t="s">
        <v>267</v>
      </c>
      <c r="H154" s="267"/>
      <c r="I154" s="267"/>
      <c r="J154" s="268">
        <f t="shared" ref="J154:Y154" si="22">hundred * $H20 * J57 / $H45 * J83 * (1 - J69) / hours_in_year</f>
        <v>0.92923861923036977</v>
      </c>
      <c r="K154" s="268">
        <f t="shared" si="22"/>
        <v>0.92923861923036977</v>
      </c>
      <c r="L154" s="268">
        <f t="shared" si="22"/>
        <v>1.0601588015543728</v>
      </c>
      <c r="M154" s="268">
        <f t="shared" si="22"/>
        <v>1.0601588015543728</v>
      </c>
      <c r="N154" s="268">
        <f t="shared" si="22"/>
        <v>0.85683422944034404</v>
      </c>
      <c r="O154" s="268">
        <f t="shared" si="22"/>
        <v>0.70897506208947059</v>
      </c>
      <c r="P154" s="268">
        <f t="shared" si="22"/>
        <v>0.66329638597709284</v>
      </c>
      <c r="Q154" s="268">
        <f t="shared" si="22"/>
        <v>2.3826777477498724</v>
      </c>
      <c r="R154" s="268">
        <f t="shared" si="22"/>
        <v>-0.63956315647186257</v>
      </c>
      <c r="S154" s="268">
        <f t="shared" si="22"/>
        <v>-0.60358047434731132</v>
      </c>
      <c r="T154" s="268">
        <f t="shared" si="22"/>
        <v>-0.63956315647186257</v>
      </c>
      <c r="U154" s="268">
        <f t="shared" si="22"/>
        <v>-0.63956315647186257</v>
      </c>
      <c r="V154" s="268">
        <f t="shared" si="22"/>
        <v>-0.60358047434731132</v>
      </c>
      <c r="W154" s="268">
        <f t="shared" si="22"/>
        <v>-0.60358047434731132</v>
      </c>
      <c r="X154" s="268">
        <f t="shared" si="22"/>
        <v>-0.5942946208958142</v>
      </c>
      <c r="Y154" s="268">
        <f t="shared" si="22"/>
        <v>-0.5942946208958142</v>
      </c>
      <c r="Z154" s="267"/>
      <c r="AA154" s="267"/>
    </row>
    <row r="155" spans="3:27" x14ac:dyDescent="0.25">
      <c r="E155" s="75"/>
      <c r="F155" s="255" t="s">
        <v>191</v>
      </c>
      <c r="G155" t="s">
        <v>267</v>
      </c>
      <c r="H155" s="267"/>
      <c r="I155" s="267"/>
      <c r="J155" s="268">
        <f t="shared" ref="J155:Y155" si="23">hundred * $H21 * J58 / $H46 * J84 * (1 - J70) / hours_in_year</f>
        <v>0.57558445833875127</v>
      </c>
      <c r="K155" s="268">
        <f t="shared" si="23"/>
        <v>0.57558445833875127</v>
      </c>
      <c r="L155" s="268">
        <f t="shared" si="23"/>
        <v>0.6566783998400032</v>
      </c>
      <c r="M155" s="268">
        <f t="shared" si="23"/>
        <v>0.6566783998400032</v>
      </c>
      <c r="N155" s="268">
        <f t="shared" si="23"/>
        <v>0.53073608396408689</v>
      </c>
      <c r="O155" s="268">
        <f t="shared" si="23"/>
        <v>0.43914987888302942</v>
      </c>
      <c r="P155" s="268">
        <f t="shared" si="23"/>
        <v>0.41085581586878434</v>
      </c>
      <c r="Q155" s="268">
        <f t="shared" si="23"/>
        <v>1.475866642273518</v>
      </c>
      <c r="R155" s="268">
        <f t="shared" si="23"/>
        <v>-0.39615509447527258</v>
      </c>
      <c r="S155" s="268">
        <f t="shared" si="23"/>
        <v>-0.37386687681876901</v>
      </c>
      <c r="T155" s="268">
        <f t="shared" si="23"/>
        <v>-0.39615509447527258</v>
      </c>
      <c r="U155" s="268">
        <f t="shared" si="23"/>
        <v>-0.39615509447527258</v>
      </c>
      <c r="V155" s="268">
        <f t="shared" si="23"/>
        <v>-0.37386687681876901</v>
      </c>
      <c r="W155" s="268">
        <f t="shared" si="23"/>
        <v>-0.37386687681876901</v>
      </c>
      <c r="X155" s="268">
        <f t="shared" si="23"/>
        <v>-0.3681150787138649</v>
      </c>
      <c r="Y155" s="268">
        <f t="shared" si="23"/>
        <v>-0.3681150787138649</v>
      </c>
      <c r="Z155" s="267"/>
      <c r="AA155" s="267"/>
    </row>
    <row r="156" spans="3:27" x14ac:dyDescent="0.25">
      <c r="E156" s="75"/>
      <c r="F156" s="255" t="s">
        <v>192</v>
      </c>
      <c r="G156" t="s">
        <v>267</v>
      </c>
      <c r="H156" s="267"/>
      <c r="I156" s="267"/>
      <c r="J156" s="268">
        <f t="shared" ref="J156:Y156" si="24">hundred * $H22 * J59 / $H47 * J85 * (1 - J71) / hours_in_year</f>
        <v>1.6920581189106119</v>
      </c>
      <c r="K156" s="268">
        <f t="shared" si="24"/>
        <v>1.6920581189106119</v>
      </c>
      <c r="L156" s="268">
        <f t="shared" si="24"/>
        <v>1.9304517379942243</v>
      </c>
      <c r="M156" s="268">
        <f t="shared" si="24"/>
        <v>1.9304517379942243</v>
      </c>
      <c r="N156" s="268">
        <f t="shared" si="24"/>
        <v>1.5602163798205479</v>
      </c>
      <c r="O156" s="268">
        <f t="shared" si="24"/>
        <v>1.2909784258721613</v>
      </c>
      <c r="P156" s="268">
        <f t="shared" si="24"/>
        <v>1.2078017550176374</v>
      </c>
      <c r="Q156" s="268">
        <f t="shared" si="24"/>
        <v>4.1385671551061716</v>
      </c>
      <c r="R156" s="268">
        <f t="shared" si="24"/>
        <v>-1.1645857254196059</v>
      </c>
      <c r="S156" s="268">
        <f t="shared" si="24"/>
        <v>-1.0990645684540743</v>
      </c>
      <c r="T156" s="268">
        <f t="shared" si="24"/>
        <v>-1.1645857254196059</v>
      </c>
      <c r="U156" s="268">
        <f t="shared" si="24"/>
        <v>-1.1645857254196059</v>
      </c>
      <c r="V156" s="268">
        <f t="shared" si="24"/>
        <v>-1.0990645684540743</v>
      </c>
      <c r="W156" s="268">
        <f t="shared" si="24"/>
        <v>-1.0990645684540743</v>
      </c>
      <c r="X156" s="268">
        <f t="shared" si="24"/>
        <v>-1.0821558827855502</v>
      </c>
      <c r="Y156" s="268">
        <f t="shared" si="24"/>
        <v>-1.0821558827855502</v>
      </c>
      <c r="Z156" s="267"/>
      <c r="AA156" s="267"/>
    </row>
    <row r="157" spans="3:27" x14ac:dyDescent="0.25">
      <c r="E157" s="75"/>
      <c r="F157" s="255" t="s">
        <v>193</v>
      </c>
      <c r="G157" t="s">
        <v>267</v>
      </c>
      <c r="H157" s="267"/>
      <c r="I157" s="267"/>
      <c r="J157" s="268">
        <f t="shared" ref="J157:Y157" si="25">hundred * $H23 * J60 / $H48 * J86 * (1 - J72) / hours_in_year</f>
        <v>0.64386993540986337</v>
      </c>
      <c r="K157" s="268">
        <f t="shared" si="25"/>
        <v>0.64386993540986337</v>
      </c>
      <c r="L157" s="268">
        <f t="shared" si="25"/>
        <v>0.73458459964392209</v>
      </c>
      <c r="M157" s="268">
        <f t="shared" si="25"/>
        <v>0.73458459964392209</v>
      </c>
      <c r="N157" s="268">
        <f t="shared" si="25"/>
        <v>0.59370089506573076</v>
      </c>
      <c r="O157" s="268">
        <f t="shared" si="25"/>
        <v>0.49124919906238007</v>
      </c>
      <c r="P157" s="268">
        <f t="shared" si="25"/>
        <v>0.45959841999505729</v>
      </c>
      <c r="Q157" s="268">
        <f t="shared" si="25"/>
        <v>1.5748270919696248</v>
      </c>
      <c r="R157" s="268">
        <f t="shared" si="25"/>
        <v>-0.44315365259908257</v>
      </c>
      <c r="S157" s="268">
        <f t="shared" si="25"/>
        <v>-0.41822123294287289</v>
      </c>
      <c r="T157" s="268">
        <f t="shared" si="25"/>
        <v>-0.44315365259908257</v>
      </c>
      <c r="U157" s="268">
        <f t="shared" si="25"/>
        <v>-0.44315365259908257</v>
      </c>
      <c r="V157" s="268">
        <f t="shared" si="25"/>
        <v>-0.41822123294287289</v>
      </c>
      <c r="W157" s="268">
        <f t="shared" si="25"/>
        <v>-0.41822123294287289</v>
      </c>
      <c r="X157" s="268">
        <f t="shared" si="25"/>
        <v>-0.41178706012836724</v>
      </c>
      <c r="Y157" s="268">
        <f t="shared" si="25"/>
        <v>-0.41178706012836724</v>
      </c>
      <c r="Z157" s="267"/>
      <c r="AA157" s="267"/>
    </row>
    <row r="158" spans="3:27" x14ac:dyDescent="0.25">
      <c r="E158" s="75"/>
      <c r="F158" s="255" t="s">
        <v>194</v>
      </c>
      <c r="G158" t="s">
        <v>267</v>
      </c>
      <c r="H158" s="267"/>
      <c r="I158" s="267"/>
      <c r="J158" s="268">
        <f t="shared" ref="J158:Y158" si="26">hundred * $H24 * J61 / $H49 * J87 * (1 - J73) / hours_in_year</f>
        <v>0</v>
      </c>
      <c r="K158" s="268">
        <f t="shared" si="26"/>
        <v>0</v>
      </c>
      <c r="L158" s="268">
        <f t="shared" si="26"/>
        <v>0</v>
      </c>
      <c r="M158" s="268">
        <f t="shared" si="26"/>
        <v>0</v>
      </c>
      <c r="N158" s="268">
        <f t="shared" si="26"/>
        <v>0</v>
      </c>
      <c r="O158" s="268">
        <f t="shared" si="26"/>
        <v>0</v>
      </c>
      <c r="P158" s="268">
        <f t="shared" si="26"/>
        <v>0</v>
      </c>
      <c r="Q158" s="268">
        <f t="shared" si="26"/>
        <v>0</v>
      </c>
      <c r="R158" s="268">
        <f t="shared" si="26"/>
        <v>0</v>
      </c>
      <c r="S158" s="268">
        <f t="shared" si="26"/>
        <v>0</v>
      </c>
      <c r="T158" s="268">
        <f t="shared" si="26"/>
        <v>0</v>
      </c>
      <c r="U158" s="268">
        <f t="shared" si="26"/>
        <v>0</v>
      </c>
      <c r="V158" s="268">
        <f t="shared" si="26"/>
        <v>0</v>
      </c>
      <c r="W158" s="268">
        <f t="shared" si="26"/>
        <v>0</v>
      </c>
      <c r="X158" s="268">
        <f t="shared" si="26"/>
        <v>0</v>
      </c>
      <c r="Y158" s="268">
        <f t="shared" si="26"/>
        <v>0</v>
      </c>
      <c r="Z158" s="267"/>
      <c r="AA158" s="267"/>
    </row>
    <row r="159" spans="3:27" x14ac:dyDescent="0.25">
      <c r="E159" s="75"/>
      <c r="F159" s="255" t="s">
        <v>195</v>
      </c>
      <c r="G159" t="s">
        <v>267</v>
      </c>
      <c r="H159" s="267"/>
      <c r="I159" s="267"/>
      <c r="J159" s="268">
        <f t="shared" ref="J159:Y159" si="27">hundred * $H25 * J62 / $H50 * J88 * (1 - J74) / hours_in_year</f>
        <v>2.9799531123180216</v>
      </c>
      <c r="K159" s="268">
        <f t="shared" si="27"/>
        <v>2.9799531123180216</v>
      </c>
      <c r="L159" s="268">
        <f t="shared" si="27"/>
        <v>3.3997979150499402</v>
      </c>
      <c r="M159" s="268">
        <f t="shared" si="27"/>
        <v>3.3997979150499402</v>
      </c>
      <c r="N159" s="268">
        <f t="shared" si="27"/>
        <v>2.7477612057020693</v>
      </c>
      <c r="O159" s="268">
        <f t="shared" si="27"/>
        <v>2.2735951768547964</v>
      </c>
      <c r="P159" s="268">
        <f t="shared" si="27"/>
        <v>2.1271093224890079</v>
      </c>
      <c r="Q159" s="268">
        <f t="shared" si="27"/>
        <v>7.2886007499174381</v>
      </c>
      <c r="R159" s="268">
        <f t="shared" si="27"/>
        <v>-2.0509997961888153</v>
      </c>
      <c r="S159" s="268">
        <f t="shared" si="27"/>
        <v>-1.9356077931364497</v>
      </c>
      <c r="T159" s="268">
        <f t="shared" si="27"/>
        <v>-2.0509997961888153</v>
      </c>
      <c r="U159" s="268">
        <f t="shared" si="27"/>
        <v>-2.0509997961888153</v>
      </c>
      <c r="V159" s="268">
        <f t="shared" si="27"/>
        <v>-1.9356077931364497</v>
      </c>
      <c r="W159" s="268">
        <f t="shared" si="27"/>
        <v>-1.9356077931364497</v>
      </c>
      <c r="X159" s="268">
        <f t="shared" si="27"/>
        <v>0</v>
      </c>
      <c r="Y159" s="268">
        <f t="shared" si="27"/>
        <v>0</v>
      </c>
      <c r="Z159" s="267"/>
      <c r="AA159" s="267"/>
    </row>
    <row r="160" spans="3:27" x14ac:dyDescent="0.25">
      <c r="E160" s="75"/>
      <c r="F160" s="255" t="s">
        <v>196</v>
      </c>
      <c r="G160" t="s">
        <v>267</v>
      </c>
      <c r="H160" s="267"/>
      <c r="I160" s="267"/>
      <c r="J160" s="268">
        <f t="shared" ref="J160:Y160" si="28">hundred * $H26 * J63 / $H51 * J89 * (1 - J75) / hours_in_year</f>
        <v>0.90632540444371745</v>
      </c>
      <c r="K160" s="268">
        <f t="shared" si="28"/>
        <v>0.90632540444371745</v>
      </c>
      <c r="L160" s="268">
        <f t="shared" si="28"/>
        <v>1.0340173500205412</v>
      </c>
      <c r="M160" s="268">
        <f t="shared" si="28"/>
        <v>1.0340173500205412</v>
      </c>
      <c r="N160" s="268">
        <f t="shared" si="28"/>
        <v>0.8357063659083882</v>
      </c>
      <c r="O160" s="268">
        <f t="shared" si="28"/>
        <v>0.69149311768912802</v>
      </c>
      <c r="P160" s="268">
        <f t="shared" si="28"/>
        <v>0</v>
      </c>
      <c r="Q160" s="268">
        <f t="shared" si="28"/>
        <v>2.2167610608340089</v>
      </c>
      <c r="R160" s="268">
        <f t="shared" si="28"/>
        <v>-0.62379277449397352</v>
      </c>
      <c r="S160" s="268">
        <f t="shared" si="28"/>
        <v>0</v>
      </c>
      <c r="T160" s="268">
        <f t="shared" si="28"/>
        <v>-0.62379277449397352</v>
      </c>
      <c r="U160" s="268">
        <f t="shared" si="28"/>
        <v>-0.62379277449397352</v>
      </c>
      <c r="V160" s="268">
        <f t="shared" si="28"/>
        <v>0</v>
      </c>
      <c r="W160" s="268">
        <f t="shared" si="28"/>
        <v>0</v>
      </c>
      <c r="X160" s="268">
        <f t="shared" si="28"/>
        <v>0</v>
      </c>
      <c r="Y160" s="268">
        <f t="shared" si="28"/>
        <v>0</v>
      </c>
      <c r="Z160" s="267"/>
      <c r="AA160" s="267"/>
    </row>
    <row r="161" spans="3:27" x14ac:dyDescent="0.25">
      <c r="E161" s="75"/>
      <c r="F161" s="257" t="s">
        <v>197</v>
      </c>
      <c r="G161" s="96" t="s">
        <v>267</v>
      </c>
      <c r="H161" s="269"/>
      <c r="I161" s="269"/>
      <c r="J161" s="270">
        <f t="shared" ref="J161:Y161" si="29">hundred * $H27 * J64 / $H52 * J90 * (1 - J76) / hours_in_year</f>
        <v>1.6940582059396119</v>
      </c>
      <c r="K161" s="270">
        <f t="shared" si="29"/>
        <v>1.6940582059396119</v>
      </c>
      <c r="L161" s="270">
        <f t="shared" si="29"/>
        <v>1.9327336167536604</v>
      </c>
      <c r="M161" s="270">
        <f t="shared" si="29"/>
        <v>1.9327336167536604</v>
      </c>
      <c r="N161" s="270">
        <f t="shared" si="29"/>
        <v>1.5620606241221098</v>
      </c>
      <c r="O161" s="270">
        <f t="shared" si="29"/>
        <v>0</v>
      </c>
      <c r="P161" s="270">
        <f t="shared" si="29"/>
        <v>0</v>
      </c>
      <c r="Q161" s="270">
        <f t="shared" si="29"/>
        <v>4.1434591232915796</v>
      </c>
      <c r="R161" s="270">
        <f t="shared" si="29"/>
        <v>0</v>
      </c>
      <c r="S161" s="270">
        <f t="shared" si="29"/>
        <v>0</v>
      </c>
      <c r="T161" s="270">
        <f t="shared" si="29"/>
        <v>0</v>
      </c>
      <c r="U161" s="270">
        <f t="shared" si="29"/>
        <v>0</v>
      </c>
      <c r="V161" s="270">
        <f t="shared" si="29"/>
        <v>0</v>
      </c>
      <c r="W161" s="270">
        <f t="shared" si="29"/>
        <v>0</v>
      </c>
      <c r="X161" s="270">
        <f t="shared" si="29"/>
        <v>0</v>
      </c>
      <c r="Y161" s="270">
        <f t="shared" si="29"/>
        <v>0</v>
      </c>
      <c r="Z161" s="267"/>
      <c r="AA161" s="267"/>
    </row>
    <row r="162" spans="3:27" x14ac:dyDescent="0.25">
      <c r="E162" s="75"/>
      <c r="F162" s="255"/>
      <c r="J162" s="260"/>
      <c r="K162" s="260"/>
      <c r="L162" s="260"/>
      <c r="M162" s="260"/>
      <c r="N162" s="260"/>
      <c r="O162" s="260"/>
      <c r="P162" s="260"/>
      <c r="Q162" s="260"/>
      <c r="R162" s="260"/>
      <c r="S162" s="260"/>
      <c r="T162" s="260"/>
      <c r="U162" s="260"/>
      <c r="V162" s="260"/>
      <c r="W162" s="260"/>
      <c r="X162" s="260"/>
      <c r="Y162" s="260"/>
    </row>
    <row r="163" spans="3:27" x14ac:dyDescent="0.25">
      <c r="E163" s="75" t="s">
        <v>577</v>
      </c>
      <c r="J163" s="260"/>
      <c r="K163" s="260"/>
      <c r="L163" s="260"/>
      <c r="M163" s="260"/>
      <c r="N163" s="260"/>
      <c r="O163" s="260"/>
      <c r="P163" s="260"/>
      <c r="Q163" s="260"/>
      <c r="R163" s="260"/>
      <c r="S163" s="260"/>
      <c r="T163" s="260"/>
      <c r="U163" s="260"/>
      <c r="V163" s="260"/>
      <c r="W163" s="260"/>
      <c r="X163" s="260"/>
      <c r="Y163" s="260"/>
    </row>
    <row r="164" spans="3:27" x14ac:dyDescent="0.25">
      <c r="D164" s="75"/>
      <c r="E164" s="75"/>
      <c r="F164" s="254" t="s">
        <v>187</v>
      </c>
      <c r="G164" s="95" t="s">
        <v>267</v>
      </c>
      <c r="H164" s="265"/>
      <c r="I164" s="265"/>
      <c r="J164" s="266">
        <f t="shared" ref="J164:Y164" si="30">hundred * $H30 * J55 / $H43 * J81 / hours_in_year</f>
        <v>0.96825387035645483</v>
      </c>
      <c r="K164" s="266">
        <f t="shared" si="30"/>
        <v>0.96825387035645483</v>
      </c>
      <c r="L164" s="266">
        <f t="shared" si="30"/>
        <v>1.1046709010519498</v>
      </c>
      <c r="M164" s="266">
        <f t="shared" si="30"/>
        <v>1.1046709010519498</v>
      </c>
      <c r="N164" s="266">
        <f t="shared" si="30"/>
        <v>0.89280949127645703</v>
      </c>
      <c r="O164" s="266">
        <f t="shared" si="30"/>
        <v>0.73874227098190992</v>
      </c>
      <c r="P164" s="266">
        <f t="shared" si="30"/>
        <v>0.69114571825232096</v>
      </c>
      <c r="Q164" s="266">
        <f t="shared" si="30"/>
        <v>2.3641846543740601</v>
      </c>
      <c r="R164" s="266">
        <f t="shared" si="30"/>
        <v>-0.66641601928271754</v>
      </c>
      <c r="S164" s="266">
        <f t="shared" si="30"/>
        <v>-0.62892255903269156</v>
      </c>
      <c r="T164" s="266">
        <f t="shared" si="30"/>
        <v>-0.66641601928271754</v>
      </c>
      <c r="U164" s="266">
        <f t="shared" si="30"/>
        <v>-0.66641601928271754</v>
      </c>
      <c r="V164" s="266">
        <f t="shared" si="30"/>
        <v>-0.62892255903269156</v>
      </c>
      <c r="W164" s="266">
        <f t="shared" si="30"/>
        <v>-0.62892255903269156</v>
      </c>
      <c r="X164" s="266">
        <f t="shared" si="30"/>
        <v>-0.61924682735526559</v>
      </c>
      <c r="Y164" s="266">
        <f t="shared" si="30"/>
        <v>-0.61924682735526559</v>
      </c>
      <c r="Z164" s="267"/>
      <c r="AA164" s="267"/>
    </row>
    <row r="165" spans="3:27" x14ac:dyDescent="0.25">
      <c r="D165" s="75"/>
      <c r="E165" s="75"/>
      <c r="F165" s="255" t="s">
        <v>189</v>
      </c>
      <c r="G165" t="s">
        <v>267</v>
      </c>
      <c r="H165" s="267"/>
      <c r="I165" s="267"/>
      <c r="J165" s="268">
        <f t="shared" ref="J165:Y165" si="31">hundred * $H31 * J56 / $H44 * J82 / hours_in_year</f>
        <v>0</v>
      </c>
      <c r="K165" s="268">
        <f t="shared" si="31"/>
        <v>0</v>
      </c>
      <c r="L165" s="268">
        <f t="shared" si="31"/>
        <v>0</v>
      </c>
      <c r="M165" s="268">
        <f t="shared" si="31"/>
        <v>0</v>
      </c>
      <c r="N165" s="268">
        <f t="shared" si="31"/>
        <v>0</v>
      </c>
      <c r="O165" s="268">
        <f t="shared" si="31"/>
        <v>0</v>
      </c>
      <c r="P165" s="268">
        <f t="shared" si="31"/>
        <v>0</v>
      </c>
      <c r="Q165" s="268">
        <f t="shared" si="31"/>
        <v>0</v>
      </c>
      <c r="R165" s="268">
        <f t="shared" si="31"/>
        <v>0</v>
      </c>
      <c r="S165" s="268">
        <f t="shared" si="31"/>
        <v>0</v>
      </c>
      <c r="T165" s="268">
        <f t="shared" si="31"/>
        <v>0</v>
      </c>
      <c r="U165" s="268">
        <f t="shared" si="31"/>
        <v>0</v>
      </c>
      <c r="V165" s="268">
        <f t="shared" si="31"/>
        <v>0</v>
      </c>
      <c r="W165" s="268">
        <f t="shared" si="31"/>
        <v>0</v>
      </c>
      <c r="X165" s="268">
        <f t="shared" si="31"/>
        <v>0</v>
      </c>
      <c r="Y165" s="268">
        <f t="shared" si="31"/>
        <v>0</v>
      </c>
      <c r="Z165" s="267"/>
      <c r="AA165" s="267"/>
    </row>
    <row r="166" spans="3:27" x14ac:dyDescent="0.25">
      <c r="D166" s="75"/>
      <c r="E166" s="75"/>
      <c r="F166" s="255" t="s">
        <v>190</v>
      </c>
      <c r="G166" t="s">
        <v>267</v>
      </c>
      <c r="H166" s="267"/>
      <c r="I166" s="267"/>
      <c r="J166" s="268">
        <f t="shared" ref="J166:Y166" si="32">hundred * $H32 * J57 / $H45 * J83 / hours_in_year</f>
        <v>0.30591794013114276</v>
      </c>
      <c r="K166" s="268">
        <f t="shared" si="32"/>
        <v>0.30591794013114276</v>
      </c>
      <c r="L166" s="268">
        <f t="shared" si="32"/>
        <v>0.34901863748627876</v>
      </c>
      <c r="M166" s="268">
        <f t="shared" si="32"/>
        <v>0.34901863748627876</v>
      </c>
      <c r="N166" s="268">
        <f t="shared" si="32"/>
        <v>0.28208143428363258</v>
      </c>
      <c r="O166" s="268">
        <f t="shared" si="32"/>
        <v>0.2334041936164844</v>
      </c>
      <c r="P166" s="268">
        <f t="shared" si="32"/>
        <v>0.21836615471557225</v>
      </c>
      <c r="Q166" s="268">
        <f t="shared" si="32"/>
        <v>0.7844097882970652</v>
      </c>
      <c r="R166" s="268">
        <f t="shared" si="32"/>
        <v>-0.2105528540921941</v>
      </c>
      <c r="S166" s="268">
        <f t="shared" si="32"/>
        <v>-0.19870686774580926</v>
      </c>
      <c r="T166" s="268">
        <f t="shared" si="32"/>
        <v>-0.2105528540921941</v>
      </c>
      <c r="U166" s="268">
        <f t="shared" si="32"/>
        <v>-0.2105528540921941</v>
      </c>
      <c r="V166" s="268">
        <f t="shared" si="32"/>
        <v>-0.19870686774580926</v>
      </c>
      <c r="W166" s="268">
        <f t="shared" si="32"/>
        <v>-0.19870686774580926</v>
      </c>
      <c r="X166" s="268">
        <f t="shared" si="32"/>
        <v>-0.1956498390112584</v>
      </c>
      <c r="Y166" s="268">
        <f t="shared" si="32"/>
        <v>-0.1956498390112584</v>
      </c>
      <c r="Z166" s="267"/>
      <c r="AA166" s="267"/>
    </row>
    <row r="167" spans="3:27" x14ac:dyDescent="0.25">
      <c r="D167" s="75"/>
      <c r="E167" s="75"/>
      <c r="F167" s="255" t="s">
        <v>191</v>
      </c>
      <c r="G167" t="s">
        <v>267</v>
      </c>
      <c r="H167" s="267"/>
      <c r="I167" s="267"/>
      <c r="J167" s="268">
        <f t="shared" ref="J167:Y167" si="33">hundred * $H33 * J58 / $H46 * J84 / hours_in_year</f>
        <v>0.18949020006543385</v>
      </c>
      <c r="K167" s="268">
        <f t="shared" si="33"/>
        <v>0.18949020006543385</v>
      </c>
      <c r="L167" s="268">
        <f t="shared" si="33"/>
        <v>0.21618742403759872</v>
      </c>
      <c r="M167" s="268">
        <f t="shared" si="33"/>
        <v>0.21618742403759872</v>
      </c>
      <c r="N167" s="268">
        <f t="shared" si="33"/>
        <v>0.17472550774314211</v>
      </c>
      <c r="O167" s="268">
        <f t="shared" si="33"/>
        <v>0.14457408848117587</v>
      </c>
      <c r="P167" s="268">
        <f t="shared" si="33"/>
        <v>0.13525929968943629</v>
      </c>
      <c r="Q167" s="268">
        <f t="shared" si="33"/>
        <v>0.48587528947787917</v>
      </c>
      <c r="R167" s="268">
        <f t="shared" si="33"/>
        <v>-0.13041962308315222</v>
      </c>
      <c r="S167" s="268">
        <f t="shared" si="33"/>
        <v>-0.12308203993328339</v>
      </c>
      <c r="T167" s="268">
        <f t="shared" si="33"/>
        <v>-0.13041962308315222</v>
      </c>
      <c r="U167" s="268">
        <f t="shared" si="33"/>
        <v>-0.13041962308315222</v>
      </c>
      <c r="V167" s="268">
        <f t="shared" si="33"/>
        <v>-0.12308203993328339</v>
      </c>
      <c r="W167" s="268">
        <f t="shared" si="33"/>
        <v>-0.12308203993328339</v>
      </c>
      <c r="X167" s="268">
        <f t="shared" si="33"/>
        <v>-0.12118847008815593</v>
      </c>
      <c r="Y167" s="268">
        <f t="shared" si="33"/>
        <v>-0.12118847008815593</v>
      </c>
      <c r="Z167" s="267"/>
      <c r="AA167" s="267"/>
    </row>
    <row r="168" spans="3:27" x14ac:dyDescent="0.25">
      <c r="D168" s="75"/>
      <c r="E168" s="75"/>
      <c r="F168" s="255" t="s">
        <v>192</v>
      </c>
      <c r="G168" t="s">
        <v>267</v>
      </c>
      <c r="H168" s="267"/>
      <c r="I168" s="267"/>
      <c r="J168" s="268">
        <f t="shared" ref="J168:Y168" si="34">hundred * $H34 * J59 / $H47 * J85 / hours_in_year</f>
        <v>0.55704845193372599</v>
      </c>
      <c r="K168" s="268">
        <f t="shared" si="34"/>
        <v>0.55704845193372599</v>
      </c>
      <c r="L168" s="268">
        <f t="shared" si="34"/>
        <v>0.63553086041441254</v>
      </c>
      <c r="M168" s="268">
        <f t="shared" si="34"/>
        <v>0.63553086041441254</v>
      </c>
      <c r="N168" s="268">
        <f t="shared" si="34"/>
        <v>0.51364436560857418</v>
      </c>
      <c r="O168" s="268">
        <f t="shared" si="34"/>
        <v>0.4250075842991281</v>
      </c>
      <c r="P168" s="268">
        <f t="shared" si="34"/>
        <v>0.39762469761297553</v>
      </c>
      <c r="Q168" s="268">
        <f t="shared" si="34"/>
        <v>1.3624723649917643</v>
      </c>
      <c r="R168" s="268">
        <f t="shared" si="34"/>
        <v>-0.38339739530151323</v>
      </c>
      <c r="S168" s="268">
        <f t="shared" si="34"/>
        <v>-0.36182694293427747</v>
      </c>
      <c r="T168" s="268">
        <f t="shared" si="34"/>
        <v>-0.38339739530151323</v>
      </c>
      <c r="U168" s="268">
        <f t="shared" si="34"/>
        <v>-0.38339739530151323</v>
      </c>
      <c r="V168" s="268">
        <f t="shared" si="34"/>
        <v>-0.36182694293427747</v>
      </c>
      <c r="W168" s="268">
        <f t="shared" si="34"/>
        <v>-0.36182694293427747</v>
      </c>
      <c r="X168" s="268">
        <f t="shared" si="34"/>
        <v>-0.35626037458144239</v>
      </c>
      <c r="Y168" s="268">
        <f t="shared" si="34"/>
        <v>-0.35626037458144239</v>
      </c>
      <c r="Z168" s="267"/>
      <c r="AA168" s="267"/>
    </row>
    <row r="169" spans="3:27" x14ac:dyDescent="0.25">
      <c r="D169" s="75"/>
      <c r="E169" s="75"/>
      <c r="F169" s="255" t="s">
        <v>193</v>
      </c>
      <c r="G169" t="s">
        <v>267</v>
      </c>
      <c r="H169" s="267"/>
      <c r="I169" s="267"/>
      <c r="J169" s="268">
        <f t="shared" ref="J169:Y169" si="35">hundred * $H35 * J60 / $H48 * J86 / hours_in_year</f>
        <v>0.2119707040545693</v>
      </c>
      <c r="K169" s="268">
        <f t="shared" si="35"/>
        <v>0.2119707040545693</v>
      </c>
      <c r="L169" s="268">
        <f t="shared" si="35"/>
        <v>0.2418352002645483</v>
      </c>
      <c r="M169" s="268">
        <f t="shared" si="35"/>
        <v>0.2418352002645483</v>
      </c>
      <c r="N169" s="268">
        <f t="shared" si="35"/>
        <v>0.19545437642588692</v>
      </c>
      <c r="O169" s="268">
        <f t="shared" si="35"/>
        <v>0.16172589037755036</v>
      </c>
      <c r="P169" s="268">
        <f t="shared" si="35"/>
        <v>0.1513060251939006</v>
      </c>
      <c r="Q169" s="268">
        <f t="shared" si="35"/>
        <v>0.51845440995240122</v>
      </c>
      <c r="R169" s="268">
        <f t="shared" si="35"/>
        <v>-0.14589218502023346</v>
      </c>
      <c r="S169" s="268">
        <f t="shared" si="35"/>
        <v>-0.13768409475593721</v>
      </c>
      <c r="T169" s="268">
        <f t="shared" si="35"/>
        <v>-0.14589218502023346</v>
      </c>
      <c r="U169" s="268">
        <f t="shared" si="35"/>
        <v>-0.14589218502023346</v>
      </c>
      <c r="V169" s="268">
        <f t="shared" si="35"/>
        <v>-0.13768409475593721</v>
      </c>
      <c r="W169" s="268">
        <f t="shared" si="35"/>
        <v>-0.13768409475593721</v>
      </c>
      <c r="X169" s="268">
        <f t="shared" si="35"/>
        <v>-0.13556587791353816</v>
      </c>
      <c r="Y169" s="268">
        <f t="shared" si="35"/>
        <v>-0.13556587791353816</v>
      </c>
      <c r="Z169" s="267"/>
      <c r="AA169" s="267"/>
    </row>
    <row r="170" spans="3:27" x14ac:dyDescent="0.25">
      <c r="D170" s="75"/>
      <c r="E170" s="75"/>
      <c r="F170" s="255" t="s">
        <v>194</v>
      </c>
      <c r="G170" t="s">
        <v>267</v>
      </c>
      <c r="H170" s="267"/>
      <c r="I170" s="267"/>
      <c r="J170" s="268">
        <f t="shared" ref="J170:Y170" si="36">hundred * $H36 * J61 / $H49 * J87 / hours_in_year</f>
        <v>0</v>
      </c>
      <c r="K170" s="268">
        <f t="shared" si="36"/>
        <v>0</v>
      </c>
      <c r="L170" s="268">
        <f t="shared" si="36"/>
        <v>0</v>
      </c>
      <c r="M170" s="268">
        <f t="shared" si="36"/>
        <v>0</v>
      </c>
      <c r="N170" s="268">
        <f t="shared" si="36"/>
        <v>0</v>
      </c>
      <c r="O170" s="268">
        <f t="shared" si="36"/>
        <v>0</v>
      </c>
      <c r="P170" s="268">
        <f t="shared" si="36"/>
        <v>0</v>
      </c>
      <c r="Q170" s="268">
        <f t="shared" si="36"/>
        <v>0</v>
      </c>
      <c r="R170" s="268">
        <f t="shared" si="36"/>
        <v>0</v>
      </c>
      <c r="S170" s="268">
        <f t="shared" si="36"/>
        <v>0</v>
      </c>
      <c r="T170" s="268">
        <f t="shared" si="36"/>
        <v>0</v>
      </c>
      <c r="U170" s="268">
        <f t="shared" si="36"/>
        <v>0</v>
      </c>
      <c r="V170" s="268">
        <f t="shared" si="36"/>
        <v>0</v>
      </c>
      <c r="W170" s="268">
        <f t="shared" si="36"/>
        <v>0</v>
      </c>
      <c r="X170" s="268">
        <f t="shared" si="36"/>
        <v>0</v>
      </c>
      <c r="Y170" s="268">
        <f t="shared" si="36"/>
        <v>0</v>
      </c>
      <c r="Z170" s="267"/>
      <c r="AA170" s="267"/>
    </row>
    <row r="171" spans="3:27" x14ac:dyDescent="0.25">
      <c r="D171" s="75"/>
      <c r="E171" s="75"/>
      <c r="F171" s="255" t="s">
        <v>195</v>
      </c>
      <c r="G171" t="s">
        <v>267</v>
      </c>
      <c r="H171" s="267"/>
      <c r="I171" s="267"/>
      <c r="J171" s="268">
        <f t="shared" ref="J171:Y171" si="37">hundred * $H37 * J62 / $H50 * J88 / hours_in_year</f>
        <v>0.98104092849988933</v>
      </c>
      <c r="K171" s="268">
        <f t="shared" si="37"/>
        <v>0.98104092849988933</v>
      </c>
      <c r="L171" s="268">
        <f t="shared" si="37"/>
        <v>1.1192595244218839</v>
      </c>
      <c r="M171" s="268">
        <f t="shared" si="37"/>
        <v>1.1192595244218839</v>
      </c>
      <c r="N171" s="268">
        <f t="shared" si="37"/>
        <v>0.90460020776670902</v>
      </c>
      <c r="O171" s="268">
        <f t="shared" si="37"/>
        <v>0.74849832841814901</v>
      </c>
      <c r="P171" s="268">
        <f t="shared" si="37"/>
        <v>0.70027320098742707</v>
      </c>
      <c r="Q171" s="268">
        <f t="shared" si="37"/>
        <v>2.3995060920948137</v>
      </c>
      <c r="R171" s="268">
        <f t="shared" si="37"/>
        <v>-0.6752169140141242</v>
      </c>
      <c r="S171" s="268">
        <f t="shared" si="37"/>
        <v>-0.63722830360679583</v>
      </c>
      <c r="T171" s="268">
        <f t="shared" si="37"/>
        <v>-0.6752169140141242</v>
      </c>
      <c r="U171" s="268">
        <f t="shared" si="37"/>
        <v>-0.6752169140141242</v>
      </c>
      <c r="V171" s="268">
        <f t="shared" si="37"/>
        <v>-0.63722830360679583</v>
      </c>
      <c r="W171" s="268">
        <f t="shared" si="37"/>
        <v>-0.63722830360679583</v>
      </c>
      <c r="X171" s="268">
        <f t="shared" si="37"/>
        <v>0</v>
      </c>
      <c r="Y171" s="268">
        <f t="shared" si="37"/>
        <v>0</v>
      </c>
      <c r="Z171" s="267"/>
      <c r="AA171" s="267"/>
    </row>
    <row r="172" spans="3:27" x14ac:dyDescent="0.25">
      <c r="D172" s="75"/>
      <c r="E172" s="75"/>
      <c r="F172" s="255" t="s">
        <v>196</v>
      </c>
      <c r="G172" t="s">
        <v>267</v>
      </c>
      <c r="H172" s="267"/>
      <c r="I172" s="267"/>
      <c r="J172" s="268">
        <f t="shared" ref="J172:Y172" si="38">hundred * $H38 * J63 / $H51 * J89 / hours_in_year</f>
        <v>0.29837459946034633</v>
      </c>
      <c r="K172" s="268">
        <f t="shared" si="38"/>
        <v>0.29837459946034633</v>
      </c>
      <c r="L172" s="268">
        <f t="shared" si="38"/>
        <v>0.34041251755134599</v>
      </c>
      <c r="M172" s="268">
        <f t="shared" si="38"/>
        <v>0.34041251755134599</v>
      </c>
      <c r="N172" s="268">
        <f t="shared" si="38"/>
        <v>0.27512585542874046</v>
      </c>
      <c r="O172" s="268">
        <f t="shared" si="38"/>
        <v>0.22764890072425678</v>
      </c>
      <c r="P172" s="268">
        <f t="shared" si="38"/>
        <v>0</v>
      </c>
      <c r="Q172" s="268">
        <f t="shared" si="38"/>
        <v>0.72978776759723307</v>
      </c>
      <c r="R172" s="268">
        <f t="shared" si="38"/>
        <v>-0.20536103073281528</v>
      </c>
      <c r="S172" s="268">
        <f t="shared" si="38"/>
        <v>0</v>
      </c>
      <c r="T172" s="268">
        <f t="shared" si="38"/>
        <v>-0.20536103073281528</v>
      </c>
      <c r="U172" s="268">
        <f t="shared" si="38"/>
        <v>-0.20536103073281528</v>
      </c>
      <c r="V172" s="268">
        <f t="shared" si="38"/>
        <v>0</v>
      </c>
      <c r="W172" s="268">
        <f t="shared" si="38"/>
        <v>0</v>
      </c>
      <c r="X172" s="268">
        <f t="shared" si="38"/>
        <v>0</v>
      </c>
      <c r="Y172" s="268">
        <f t="shared" si="38"/>
        <v>0</v>
      </c>
      <c r="Z172" s="267"/>
      <c r="AA172" s="267"/>
    </row>
    <row r="173" spans="3:27" x14ac:dyDescent="0.25">
      <c r="D173" s="75"/>
      <c r="E173" s="75"/>
      <c r="F173" s="257" t="s">
        <v>197</v>
      </c>
      <c r="G173" s="96" t="s">
        <v>267</v>
      </c>
      <c r="H173" s="269"/>
      <c r="I173" s="269"/>
      <c r="J173" s="270">
        <f t="shared" ref="J173:Y173" si="39">hundred * $H39 * J64 / $H52 * J90 / hours_in_year</f>
        <v>0.55770690767516029</v>
      </c>
      <c r="K173" s="270">
        <f t="shared" si="39"/>
        <v>0.55770690767516029</v>
      </c>
      <c r="L173" s="270">
        <f t="shared" si="39"/>
        <v>0.63628208581041878</v>
      </c>
      <c r="M173" s="270">
        <f t="shared" si="39"/>
        <v>0.63628208581041878</v>
      </c>
      <c r="N173" s="270">
        <f t="shared" si="39"/>
        <v>0.51425151581322204</v>
      </c>
      <c r="O173" s="270">
        <f t="shared" si="39"/>
        <v>0</v>
      </c>
      <c r="P173" s="270">
        <f t="shared" si="39"/>
        <v>0</v>
      </c>
      <c r="Q173" s="270">
        <f t="shared" si="39"/>
        <v>1.3640828671808649</v>
      </c>
      <c r="R173" s="270">
        <f t="shared" si="39"/>
        <v>0</v>
      </c>
      <c r="S173" s="270">
        <f t="shared" si="39"/>
        <v>0</v>
      </c>
      <c r="T173" s="270">
        <f t="shared" si="39"/>
        <v>0</v>
      </c>
      <c r="U173" s="270">
        <f t="shared" si="39"/>
        <v>0</v>
      </c>
      <c r="V173" s="270">
        <f t="shared" si="39"/>
        <v>0</v>
      </c>
      <c r="W173" s="270">
        <f t="shared" si="39"/>
        <v>0</v>
      </c>
      <c r="X173" s="270">
        <f t="shared" si="39"/>
        <v>0</v>
      </c>
      <c r="Y173" s="270">
        <f t="shared" si="39"/>
        <v>0</v>
      </c>
      <c r="Z173" s="267"/>
      <c r="AA173" s="267"/>
    </row>
    <row r="174" spans="3:27" x14ac:dyDescent="0.25">
      <c r="C174" s="75"/>
      <c r="D174" s="75"/>
      <c r="E174" s="75"/>
      <c r="J174" s="260"/>
      <c r="K174" s="260"/>
      <c r="L174" s="260"/>
      <c r="M174" s="260"/>
      <c r="N174" s="260"/>
      <c r="O174" s="260"/>
      <c r="P174" s="260"/>
      <c r="Q174" s="260"/>
      <c r="R174" s="260"/>
      <c r="S174" s="260"/>
      <c r="T174" s="260"/>
      <c r="U174" s="260"/>
      <c r="V174" s="260"/>
      <c r="W174" s="260"/>
      <c r="X174" s="260"/>
      <c r="Y174" s="260"/>
    </row>
    <row r="175" spans="3:27" x14ac:dyDescent="0.25">
      <c r="C175" s="93" t="str">
        <f ca="1">INDEX('Version control'!$H$41:$H$64,MATCH($A$1,'Version control'!$F$41:$F$64,0),1)&amp;"-D: Unit rate 2"</f>
        <v>Section 109-D: Unit rate 2</v>
      </c>
      <c r="D175" s="93"/>
      <c r="E175" s="93"/>
      <c r="F175" s="93"/>
      <c r="G175" s="93"/>
      <c r="H175" s="93"/>
      <c r="I175" s="93"/>
      <c r="J175" s="264"/>
      <c r="K175" s="264"/>
      <c r="L175" s="264"/>
      <c r="M175" s="264"/>
      <c r="N175" s="264"/>
      <c r="O175" s="264"/>
      <c r="P175" s="264"/>
      <c r="Q175" s="264"/>
      <c r="R175" s="264"/>
      <c r="S175" s="264"/>
      <c r="T175" s="264"/>
      <c r="U175" s="264"/>
      <c r="V175" s="264"/>
      <c r="W175" s="264"/>
      <c r="X175" s="264"/>
      <c r="Y175" s="264"/>
      <c r="Z175" s="93"/>
      <c r="AA175" s="93"/>
    </row>
    <row r="176" spans="3:27" x14ac:dyDescent="0.25">
      <c r="C176" s="75"/>
      <c r="D176" s="75"/>
      <c r="E176" s="75"/>
      <c r="J176" s="260"/>
      <c r="K176" s="260"/>
      <c r="L176" s="260"/>
      <c r="M176" s="260"/>
      <c r="N176" s="260"/>
      <c r="O176" s="260"/>
      <c r="P176" s="260"/>
      <c r="Q176" s="260"/>
      <c r="R176" s="260"/>
      <c r="S176" s="260"/>
      <c r="T176" s="260"/>
      <c r="U176" s="260"/>
      <c r="V176" s="260"/>
      <c r="W176" s="260"/>
      <c r="X176" s="260"/>
      <c r="Y176" s="260"/>
    </row>
    <row r="177" spans="4:27" x14ac:dyDescent="0.25">
      <c r="D177" s="86" t="s">
        <v>581</v>
      </c>
      <c r="E177" s="75"/>
      <c r="F177" s="75"/>
      <c r="J177" s="260"/>
      <c r="K177" s="260"/>
      <c r="L177" s="260"/>
      <c r="M177" s="260"/>
      <c r="N177" s="260"/>
      <c r="O177" s="260"/>
      <c r="P177" s="260"/>
      <c r="Q177" s="260"/>
      <c r="R177" s="260"/>
      <c r="S177" s="260"/>
      <c r="T177" s="260"/>
      <c r="U177" s="260"/>
      <c r="V177" s="260"/>
      <c r="W177" s="260"/>
      <c r="X177" s="260"/>
      <c r="Y177" s="260"/>
    </row>
    <row r="178" spans="4:27" x14ac:dyDescent="0.25">
      <c r="D178" s="86" t="s">
        <v>579</v>
      </c>
      <c r="E178" s="75"/>
      <c r="F178" s="75"/>
      <c r="J178" s="260"/>
      <c r="K178" s="260"/>
      <c r="L178" s="260"/>
      <c r="M178" s="260"/>
      <c r="N178" s="260"/>
      <c r="O178" s="260"/>
      <c r="P178" s="260"/>
      <c r="Q178" s="260"/>
      <c r="R178" s="260"/>
      <c r="S178" s="260"/>
      <c r="T178" s="260"/>
      <c r="U178" s="260"/>
      <c r="V178" s="260"/>
      <c r="W178" s="260"/>
      <c r="X178" s="260"/>
      <c r="Y178" s="260"/>
    </row>
    <row r="179" spans="4:27" x14ac:dyDescent="0.25">
      <c r="D179" s="75"/>
      <c r="E179" s="75"/>
      <c r="F179" s="75"/>
      <c r="I179" s="3" t="s">
        <v>152</v>
      </c>
      <c r="J179" s="260"/>
      <c r="K179" s="260"/>
      <c r="L179" s="260"/>
      <c r="M179" s="260"/>
      <c r="N179" s="260"/>
      <c r="O179" s="260"/>
      <c r="P179" s="260"/>
      <c r="Q179" s="260"/>
      <c r="R179" s="260"/>
      <c r="S179" s="260"/>
      <c r="T179" s="260"/>
      <c r="U179" s="260"/>
      <c r="V179" s="260"/>
      <c r="W179" s="260"/>
      <c r="X179" s="260"/>
      <c r="Y179" s="260"/>
      <c r="AA179" t="s">
        <v>580</v>
      </c>
    </row>
    <row r="180" spans="4:27" x14ac:dyDescent="0.25">
      <c r="E180" s="75" t="s">
        <v>576</v>
      </c>
      <c r="J180" s="260"/>
      <c r="K180" s="260"/>
      <c r="L180" s="260"/>
      <c r="M180" s="260"/>
      <c r="N180" s="260"/>
      <c r="O180" s="260"/>
      <c r="P180" s="260"/>
      <c r="Q180" s="260"/>
      <c r="R180" s="260"/>
      <c r="S180" s="260"/>
      <c r="T180" s="260"/>
      <c r="U180" s="260"/>
      <c r="V180" s="260"/>
      <c r="W180" s="260"/>
      <c r="X180" s="260"/>
      <c r="Y180" s="260"/>
    </row>
    <row r="181" spans="4:27" x14ac:dyDescent="0.25">
      <c r="E181" s="75"/>
      <c r="F181" s="254" t="s">
        <v>187</v>
      </c>
      <c r="G181" s="95" t="s">
        <v>267</v>
      </c>
      <c r="H181" s="265"/>
      <c r="I181" s="265"/>
      <c r="J181" s="266">
        <f t="shared" ref="J181:Y181" si="40">hundred * $H18 * J55 / $H43 * J93 * (1 - J67) / hours_in_year</f>
        <v>0</v>
      </c>
      <c r="K181" s="266">
        <f t="shared" si="40"/>
        <v>0</v>
      </c>
      <c r="L181" s="266">
        <f t="shared" si="40"/>
        <v>0</v>
      </c>
      <c r="M181" s="266">
        <f t="shared" si="40"/>
        <v>0</v>
      </c>
      <c r="N181" s="266">
        <f t="shared" si="40"/>
        <v>0</v>
      </c>
      <c r="O181" s="266">
        <f t="shared" si="40"/>
        <v>0</v>
      </c>
      <c r="P181" s="266">
        <f t="shared" si="40"/>
        <v>0</v>
      </c>
      <c r="Q181" s="266">
        <f t="shared" si="40"/>
        <v>0</v>
      </c>
      <c r="R181" s="266">
        <f t="shared" si="40"/>
        <v>0</v>
      </c>
      <c r="S181" s="266">
        <f t="shared" si="40"/>
        <v>0</v>
      </c>
      <c r="T181" s="266">
        <f t="shared" si="40"/>
        <v>0</v>
      </c>
      <c r="U181" s="266">
        <f t="shared" si="40"/>
        <v>0</v>
      </c>
      <c r="V181" s="266">
        <f t="shared" si="40"/>
        <v>0</v>
      </c>
      <c r="W181" s="266">
        <f t="shared" si="40"/>
        <v>0</v>
      </c>
      <c r="X181" s="266">
        <f t="shared" si="40"/>
        <v>0</v>
      </c>
      <c r="Y181" s="266">
        <f t="shared" si="40"/>
        <v>0</v>
      </c>
      <c r="Z181" s="267"/>
      <c r="AA181" s="267"/>
    </row>
    <row r="182" spans="4:27" x14ac:dyDescent="0.25">
      <c r="E182" s="75"/>
      <c r="F182" s="255" t="s">
        <v>189</v>
      </c>
      <c r="G182" t="s">
        <v>267</v>
      </c>
      <c r="H182" s="267"/>
      <c r="I182" s="267"/>
      <c r="J182" s="268">
        <f t="shared" ref="J182:Y182" si="41">hundred * $H19 * J56 / $H44 * J94 * (1 - J68) / hours_in_year</f>
        <v>0</v>
      </c>
      <c r="K182" s="268">
        <f t="shared" si="41"/>
        <v>0</v>
      </c>
      <c r="L182" s="268">
        <f t="shared" si="41"/>
        <v>0</v>
      </c>
      <c r="M182" s="268">
        <f t="shared" si="41"/>
        <v>0</v>
      </c>
      <c r="N182" s="268">
        <f t="shared" si="41"/>
        <v>0</v>
      </c>
      <c r="O182" s="268">
        <f t="shared" si="41"/>
        <v>0</v>
      </c>
      <c r="P182" s="268">
        <f t="shared" si="41"/>
        <v>0</v>
      </c>
      <c r="Q182" s="268">
        <f t="shared" si="41"/>
        <v>0</v>
      </c>
      <c r="R182" s="268">
        <f t="shared" si="41"/>
        <v>0</v>
      </c>
      <c r="S182" s="268">
        <f t="shared" si="41"/>
        <v>0</v>
      </c>
      <c r="T182" s="268">
        <f t="shared" si="41"/>
        <v>0</v>
      </c>
      <c r="U182" s="268">
        <f t="shared" si="41"/>
        <v>0</v>
      </c>
      <c r="V182" s="268">
        <f t="shared" si="41"/>
        <v>0</v>
      </c>
      <c r="W182" s="268">
        <f t="shared" si="41"/>
        <v>0</v>
      </c>
      <c r="X182" s="268">
        <f t="shared" si="41"/>
        <v>0</v>
      </c>
      <c r="Y182" s="268">
        <f t="shared" si="41"/>
        <v>0</v>
      </c>
      <c r="Z182" s="267"/>
      <c r="AA182" s="267"/>
    </row>
    <row r="183" spans="4:27" x14ac:dyDescent="0.25">
      <c r="E183" s="75"/>
      <c r="F183" s="255" t="s">
        <v>190</v>
      </c>
      <c r="G183" t="s">
        <v>267</v>
      </c>
      <c r="H183" s="267"/>
      <c r="I183" s="267"/>
      <c r="J183" s="268">
        <f t="shared" ref="J183:Y183" si="42">hundred * $H20 * J57 / $H45 * J95 * (1 - J69) / hours_in_year</f>
        <v>0.12228378103254511</v>
      </c>
      <c r="K183" s="268">
        <f t="shared" si="42"/>
        <v>0.12228378103254511</v>
      </c>
      <c r="L183" s="268">
        <f t="shared" si="42"/>
        <v>0.13951231047238785</v>
      </c>
      <c r="M183" s="268">
        <f t="shared" si="42"/>
        <v>0.13951231047238785</v>
      </c>
      <c r="N183" s="268">
        <f t="shared" si="42"/>
        <v>0.11275567666446401</v>
      </c>
      <c r="O183" s="268">
        <f t="shared" si="42"/>
        <v>9.3298050098142599E-2</v>
      </c>
      <c r="P183" s="268">
        <f t="shared" si="42"/>
        <v>8.7286933995145408E-2</v>
      </c>
      <c r="Q183" s="268">
        <f t="shared" si="42"/>
        <v>8.442242080411301E-2</v>
      </c>
      <c r="R183" s="268">
        <f t="shared" si="42"/>
        <v>-8.4163743697247106E-2</v>
      </c>
      <c r="S183" s="268">
        <f t="shared" si="42"/>
        <v>-7.9428578443862974E-2</v>
      </c>
      <c r="T183" s="268">
        <f t="shared" si="42"/>
        <v>-8.4163743697247106E-2</v>
      </c>
      <c r="U183" s="268">
        <f t="shared" si="42"/>
        <v>-8.4163743697247106E-2</v>
      </c>
      <c r="V183" s="268">
        <f t="shared" si="42"/>
        <v>-7.9428578443862974E-2</v>
      </c>
      <c r="W183" s="268">
        <f t="shared" si="42"/>
        <v>-7.9428578443862974E-2</v>
      </c>
      <c r="X183" s="268">
        <f t="shared" si="42"/>
        <v>-7.8206600313957375E-2</v>
      </c>
      <c r="Y183" s="268">
        <f t="shared" si="42"/>
        <v>-7.8206600313957375E-2</v>
      </c>
      <c r="Z183" s="267"/>
      <c r="AA183" s="267"/>
    </row>
    <row r="184" spans="4:27" x14ac:dyDescent="0.25">
      <c r="E184" s="75"/>
      <c r="F184" s="255" t="s">
        <v>191</v>
      </c>
      <c r="G184" t="s">
        <v>267</v>
      </c>
      <c r="H184" s="267"/>
      <c r="I184" s="267"/>
      <c r="J184" s="268">
        <f t="shared" ref="J184:Y184" si="43">hundred * $H21 * J58 / $H46 * J96 * (1 - J70) / hours_in_year</f>
        <v>7.5744423889234316E-2</v>
      </c>
      <c r="K184" s="268">
        <f t="shared" si="43"/>
        <v>7.5744423889234316E-2</v>
      </c>
      <c r="L184" s="268">
        <f t="shared" si="43"/>
        <v>8.6416035658683069E-2</v>
      </c>
      <c r="M184" s="268">
        <f t="shared" si="43"/>
        <v>8.6416035658683069E-2</v>
      </c>
      <c r="N184" s="268">
        <f t="shared" si="43"/>
        <v>6.9842571901809078E-2</v>
      </c>
      <c r="O184" s="268">
        <f t="shared" si="43"/>
        <v>5.7790223650280664E-2</v>
      </c>
      <c r="P184" s="268">
        <f t="shared" si="43"/>
        <v>5.4066847399495271E-2</v>
      </c>
      <c r="Q184" s="268">
        <f t="shared" si="43"/>
        <v>5.2292524594411943E-2</v>
      </c>
      <c r="R184" s="268">
        <f t="shared" si="43"/>
        <v>-5.2132296081133664E-2</v>
      </c>
      <c r="S184" s="268">
        <f t="shared" si="43"/>
        <v>-4.9199263089273138E-2</v>
      </c>
      <c r="T184" s="268">
        <f t="shared" si="43"/>
        <v>-5.2132296081133664E-2</v>
      </c>
      <c r="U184" s="268">
        <f t="shared" si="43"/>
        <v>-5.2132296081133664E-2</v>
      </c>
      <c r="V184" s="268">
        <f t="shared" si="43"/>
        <v>-4.9199263089273138E-2</v>
      </c>
      <c r="W184" s="268">
        <f t="shared" si="43"/>
        <v>-4.9199263089273138E-2</v>
      </c>
      <c r="X184" s="268">
        <f t="shared" si="43"/>
        <v>-4.8442351349438161E-2</v>
      </c>
      <c r="Y184" s="268">
        <f t="shared" si="43"/>
        <v>-4.8442351349438161E-2</v>
      </c>
      <c r="Z184" s="267"/>
      <c r="AA184" s="267"/>
    </row>
    <row r="185" spans="4:27" x14ac:dyDescent="0.25">
      <c r="E185" s="75"/>
      <c r="F185" s="255" t="s">
        <v>192</v>
      </c>
      <c r="G185" t="s">
        <v>267</v>
      </c>
      <c r="H185" s="267"/>
      <c r="I185" s="267"/>
      <c r="J185" s="268">
        <f t="shared" ref="J185:Y185" si="44">hundred * $H22 * J59 / $H47 * J97 * (1 - J71) / hours_in_year</f>
        <v>0.28859644915631105</v>
      </c>
      <c r="K185" s="268">
        <f t="shared" si="44"/>
        <v>0.28859644915631105</v>
      </c>
      <c r="L185" s="268">
        <f t="shared" si="44"/>
        <v>0.32925672624735297</v>
      </c>
      <c r="M185" s="268">
        <f t="shared" si="44"/>
        <v>0.32925672624735297</v>
      </c>
      <c r="N185" s="268">
        <f t="shared" si="44"/>
        <v>0.26610959877762419</v>
      </c>
      <c r="O185" s="268">
        <f t="shared" si="44"/>
        <v>0.22018852986207141</v>
      </c>
      <c r="P185" s="268">
        <f t="shared" si="44"/>
        <v>0.20600196523229763</v>
      </c>
      <c r="Q185" s="268">
        <f t="shared" si="44"/>
        <v>0.21656914195774613</v>
      </c>
      <c r="R185" s="268">
        <f t="shared" si="44"/>
        <v>-0.19863106434583416</v>
      </c>
      <c r="S185" s="268">
        <f t="shared" si="44"/>
        <v>-0.18745581390169466</v>
      </c>
      <c r="T185" s="268">
        <f t="shared" si="44"/>
        <v>-0.19863106434583416</v>
      </c>
      <c r="U185" s="268">
        <f t="shared" si="44"/>
        <v>-0.19863106434583416</v>
      </c>
      <c r="V185" s="268">
        <f t="shared" si="44"/>
        <v>-0.18745581390169466</v>
      </c>
      <c r="W185" s="268">
        <f t="shared" si="44"/>
        <v>-0.18745581390169466</v>
      </c>
      <c r="X185" s="268">
        <f t="shared" si="44"/>
        <v>-0.18457187830320707</v>
      </c>
      <c r="Y185" s="268">
        <f t="shared" si="44"/>
        <v>-0.18457187830320707</v>
      </c>
      <c r="Z185" s="267"/>
      <c r="AA185" s="267"/>
    </row>
    <row r="186" spans="4:27" x14ac:dyDescent="0.25">
      <c r="E186" s="75"/>
      <c r="F186" s="255" t="s">
        <v>193</v>
      </c>
      <c r="G186" t="s">
        <v>267</v>
      </c>
      <c r="H186" s="267"/>
      <c r="I186" s="267"/>
      <c r="J186" s="268">
        <f t="shared" ref="J186:Y186" si="45">hundred * $H23 * J60 / $H48 * J98 * (1 - J72) / hours_in_year</f>
        <v>0.1098180818974613</v>
      </c>
      <c r="K186" s="268">
        <f t="shared" si="45"/>
        <v>0.1098180818974613</v>
      </c>
      <c r="L186" s="268">
        <f t="shared" si="45"/>
        <v>0.12529032229616088</v>
      </c>
      <c r="M186" s="268">
        <f t="shared" si="45"/>
        <v>0.12529032229616088</v>
      </c>
      <c r="N186" s="268">
        <f t="shared" si="45"/>
        <v>0.10126127953997607</v>
      </c>
      <c r="O186" s="268">
        <f t="shared" si="45"/>
        <v>8.3787177825523793E-2</v>
      </c>
      <c r="P186" s="268">
        <f t="shared" si="45"/>
        <v>7.8388839346617889E-2</v>
      </c>
      <c r="Q186" s="268">
        <f t="shared" si="45"/>
        <v>8.2409911270589165E-2</v>
      </c>
      <c r="R186" s="268">
        <f t="shared" si="45"/>
        <v>-7.5584029379017439E-2</v>
      </c>
      <c r="S186" s="268">
        <f t="shared" si="45"/>
        <v>-7.1331570375842229E-2</v>
      </c>
      <c r="T186" s="268">
        <f t="shared" si="45"/>
        <v>-7.5584029379017439E-2</v>
      </c>
      <c r="U186" s="268">
        <f t="shared" si="45"/>
        <v>-7.5584029379017439E-2</v>
      </c>
      <c r="V186" s="268">
        <f t="shared" si="45"/>
        <v>-7.1331570375842229E-2</v>
      </c>
      <c r="W186" s="268">
        <f t="shared" si="45"/>
        <v>-7.1331570375842229E-2</v>
      </c>
      <c r="X186" s="268">
        <f t="shared" si="45"/>
        <v>-7.0234161600829279E-2</v>
      </c>
      <c r="Y186" s="268">
        <f t="shared" si="45"/>
        <v>-7.0234161600829279E-2</v>
      </c>
      <c r="Z186" s="267"/>
      <c r="AA186" s="267"/>
    </row>
    <row r="187" spans="4:27" x14ac:dyDescent="0.25">
      <c r="E187" s="75"/>
      <c r="F187" s="255" t="s">
        <v>194</v>
      </c>
      <c r="G187" t="s">
        <v>267</v>
      </c>
      <c r="H187" s="267"/>
      <c r="I187" s="267"/>
      <c r="J187" s="268">
        <f t="shared" ref="J187:Y187" si="46">hundred * $H24 * J61 / $H49 * J99 * (1 - J73) / hours_in_year</f>
        <v>0</v>
      </c>
      <c r="K187" s="268">
        <f t="shared" si="46"/>
        <v>0</v>
      </c>
      <c r="L187" s="268">
        <f t="shared" si="46"/>
        <v>0</v>
      </c>
      <c r="M187" s="268">
        <f t="shared" si="46"/>
        <v>0</v>
      </c>
      <c r="N187" s="268">
        <f t="shared" si="46"/>
        <v>0</v>
      </c>
      <c r="O187" s="268">
        <f t="shared" si="46"/>
        <v>0</v>
      </c>
      <c r="P187" s="268">
        <f t="shared" si="46"/>
        <v>0</v>
      </c>
      <c r="Q187" s="268">
        <f t="shared" si="46"/>
        <v>0</v>
      </c>
      <c r="R187" s="268">
        <f t="shared" si="46"/>
        <v>0</v>
      </c>
      <c r="S187" s="268">
        <f t="shared" si="46"/>
        <v>0</v>
      </c>
      <c r="T187" s="268">
        <f t="shared" si="46"/>
        <v>0</v>
      </c>
      <c r="U187" s="268">
        <f t="shared" si="46"/>
        <v>0</v>
      </c>
      <c r="V187" s="268">
        <f t="shared" si="46"/>
        <v>0</v>
      </c>
      <c r="W187" s="268">
        <f t="shared" si="46"/>
        <v>0</v>
      </c>
      <c r="X187" s="268">
        <f t="shared" si="46"/>
        <v>0</v>
      </c>
      <c r="Y187" s="268">
        <f t="shared" si="46"/>
        <v>0</v>
      </c>
      <c r="Z187" s="267"/>
      <c r="AA187" s="267"/>
    </row>
    <row r="188" spans="4:27" x14ac:dyDescent="0.25">
      <c r="E188" s="75"/>
      <c r="F188" s="255" t="s">
        <v>195</v>
      </c>
      <c r="G188" t="s">
        <v>267</v>
      </c>
      <c r="H188" s="267"/>
      <c r="I188" s="267"/>
      <c r="J188" s="268">
        <f t="shared" ref="J188:Y188" si="47">hundred * $H25 * J62 / $H50 * J100 * (1 - J74) / hours_in_year</f>
        <v>0.50825907056961495</v>
      </c>
      <c r="K188" s="268">
        <f t="shared" si="47"/>
        <v>0.50825907056961495</v>
      </c>
      <c r="L188" s="268">
        <f t="shared" si="47"/>
        <v>0.5798675560648846</v>
      </c>
      <c r="M188" s="268">
        <f t="shared" si="47"/>
        <v>0.5798675560648846</v>
      </c>
      <c r="N188" s="268">
        <f t="shared" si="47"/>
        <v>0.46865655395195882</v>
      </c>
      <c r="O188" s="268">
        <f t="shared" si="47"/>
        <v>0.38778307170775883</v>
      </c>
      <c r="P188" s="268">
        <f t="shared" si="47"/>
        <v>0.36279852954036979</v>
      </c>
      <c r="Q188" s="268">
        <f t="shared" si="47"/>
        <v>0.38140881887941958</v>
      </c>
      <c r="R188" s="268">
        <f t="shared" si="47"/>
        <v>-0.34981733297760276</v>
      </c>
      <c r="S188" s="268">
        <f t="shared" si="47"/>
        <v>-0.33013614001516051</v>
      </c>
      <c r="T188" s="268">
        <f t="shared" si="47"/>
        <v>-0.34981733297760276</v>
      </c>
      <c r="U188" s="268">
        <f t="shared" si="47"/>
        <v>-0.34981733297760276</v>
      </c>
      <c r="V188" s="268">
        <f t="shared" si="47"/>
        <v>-0.33013614001516051</v>
      </c>
      <c r="W188" s="268">
        <f t="shared" si="47"/>
        <v>-0.33013614001516051</v>
      </c>
      <c r="X188" s="268">
        <f t="shared" si="47"/>
        <v>0</v>
      </c>
      <c r="Y188" s="268">
        <f t="shared" si="47"/>
        <v>0</v>
      </c>
      <c r="Z188" s="267"/>
      <c r="AA188" s="267"/>
    </row>
    <row r="189" spans="4:27" x14ac:dyDescent="0.25">
      <c r="E189" s="75"/>
      <c r="F189" s="255" t="s">
        <v>196</v>
      </c>
      <c r="G189" t="s">
        <v>267</v>
      </c>
      <c r="H189" s="267"/>
      <c r="I189" s="267"/>
      <c r="J189" s="268">
        <f t="shared" ref="J189:Y189" si="48">hundred * $H26 * J63 / $H51 * J101 * (1 - J75) / hours_in_year</f>
        <v>0.15458233412869674</v>
      </c>
      <c r="K189" s="268">
        <f t="shared" si="48"/>
        <v>0.15458233412869674</v>
      </c>
      <c r="L189" s="268">
        <f t="shared" si="48"/>
        <v>0.17636139813806903</v>
      </c>
      <c r="M189" s="268">
        <f t="shared" si="48"/>
        <v>0.17636139813806903</v>
      </c>
      <c r="N189" s="268">
        <f t="shared" si="48"/>
        <v>0.14253759196744634</v>
      </c>
      <c r="O189" s="268">
        <f t="shared" si="48"/>
        <v>0.11794066418332756</v>
      </c>
      <c r="P189" s="268">
        <f t="shared" si="48"/>
        <v>0</v>
      </c>
      <c r="Q189" s="268">
        <f t="shared" si="48"/>
        <v>0.11600199365566373</v>
      </c>
      <c r="R189" s="268">
        <f t="shared" si="48"/>
        <v>-0.10639373300263957</v>
      </c>
      <c r="S189" s="268">
        <f t="shared" si="48"/>
        <v>0</v>
      </c>
      <c r="T189" s="268">
        <f t="shared" si="48"/>
        <v>-0.10639373300263957</v>
      </c>
      <c r="U189" s="268">
        <f t="shared" si="48"/>
        <v>-0.10639373300263957</v>
      </c>
      <c r="V189" s="268">
        <f t="shared" si="48"/>
        <v>0</v>
      </c>
      <c r="W189" s="268">
        <f t="shared" si="48"/>
        <v>0</v>
      </c>
      <c r="X189" s="268">
        <f t="shared" si="48"/>
        <v>0</v>
      </c>
      <c r="Y189" s="268">
        <f t="shared" si="48"/>
        <v>0</v>
      </c>
      <c r="Z189" s="267"/>
      <c r="AA189" s="267"/>
    </row>
    <row r="190" spans="4:27" x14ac:dyDescent="0.25">
      <c r="E190" s="75"/>
      <c r="F190" s="257" t="s">
        <v>197</v>
      </c>
      <c r="G190" s="96" t="s">
        <v>267</v>
      </c>
      <c r="H190" s="269"/>
      <c r="I190" s="269"/>
      <c r="J190" s="270">
        <f t="shared" ref="J190:Y190" si="49">hundred * $H27 * J64 / $H52 * J102 * (1 - J76) / hours_in_year</f>
        <v>0.2889375828373128</v>
      </c>
      <c r="K190" s="270">
        <f t="shared" si="49"/>
        <v>0.2889375828373128</v>
      </c>
      <c r="L190" s="270">
        <f t="shared" si="49"/>
        <v>0.32964592216209043</v>
      </c>
      <c r="M190" s="270">
        <f t="shared" si="49"/>
        <v>0.32964592216209043</v>
      </c>
      <c r="N190" s="270">
        <f t="shared" si="49"/>
        <v>0.26642415201362657</v>
      </c>
      <c r="O190" s="270">
        <f t="shared" si="49"/>
        <v>0</v>
      </c>
      <c r="P190" s="270">
        <f t="shared" si="49"/>
        <v>0</v>
      </c>
      <c r="Q190" s="270">
        <f t="shared" si="49"/>
        <v>0.21682513619746541</v>
      </c>
      <c r="R190" s="270">
        <f t="shared" si="49"/>
        <v>0</v>
      </c>
      <c r="S190" s="270">
        <f t="shared" si="49"/>
        <v>0</v>
      </c>
      <c r="T190" s="270">
        <f t="shared" si="49"/>
        <v>0</v>
      </c>
      <c r="U190" s="270">
        <f t="shared" si="49"/>
        <v>0</v>
      </c>
      <c r="V190" s="270">
        <f t="shared" si="49"/>
        <v>0</v>
      </c>
      <c r="W190" s="270">
        <f t="shared" si="49"/>
        <v>0</v>
      </c>
      <c r="X190" s="270">
        <f t="shared" si="49"/>
        <v>0</v>
      </c>
      <c r="Y190" s="270">
        <f t="shared" si="49"/>
        <v>0</v>
      </c>
      <c r="Z190" s="267"/>
      <c r="AA190" s="267"/>
    </row>
    <row r="191" spans="4:27" x14ac:dyDescent="0.25">
      <c r="E191" s="75"/>
      <c r="F191" s="255"/>
      <c r="J191" s="260"/>
      <c r="K191" s="260"/>
      <c r="L191" s="260"/>
      <c r="M191" s="260"/>
      <c r="N191" s="260"/>
      <c r="O191" s="260"/>
      <c r="P191" s="260"/>
      <c r="Q191" s="260"/>
      <c r="R191" s="260"/>
      <c r="S191" s="260"/>
      <c r="T191" s="260"/>
      <c r="U191" s="260"/>
      <c r="V191" s="260"/>
      <c r="W191" s="260"/>
      <c r="X191" s="260"/>
      <c r="Y191" s="260"/>
    </row>
    <row r="192" spans="4:27" x14ac:dyDescent="0.25">
      <c r="E192" s="75" t="s">
        <v>577</v>
      </c>
      <c r="J192" s="260"/>
      <c r="K192" s="260"/>
      <c r="L192" s="260"/>
      <c r="M192" s="260"/>
      <c r="N192" s="260"/>
      <c r="O192" s="260"/>
      <c r="P192" s="260"/>
      <c r="Q192" s="260"/>
      <c r="R192" s="260"/>
      <c r="S192" s="260"/>
      <c r="T192" s="260"/>
      <c r="U192" s="260"/>
      <c r="V192" s="260"/>
      <c r="W192" s="260"/>
      <c r="X192" s="260"/>
      <c r="Y192" s="260"/>
    </row>
    <row r="193" spans="3:27" x14ac:dyDescent="0.25">
      <c r="D193" s="75"/>
      <c r="E193" s="75"/>
      <c r="F193" s="254" t="s">
        <v>187</v>
      </c>
      <c r="G193" s="95" t="s">
        <v>267</v>
      </c>
      <c r="H193" s="265"/>
      <c r="I193" s="265"/>
      <c r="J193" s="266">
        <f t="shared" ref="J193:Y193" si="50">hundred * $H30 * J55 / $H43 * J93 / hours_in_year</f>
        <v>2.8078979541620367E-2</v>
      </c>
      <c r="K193" s="266">
        <f t="shared" si="50"/>
        <v>2.8078979541620367E-2</v>
      </c>
      <c r="L193" s="266">
        <f t="shared" si="50"/>
        <v>3.2035019513469126E-2</v>
      </c>
      <c r="M193" s="266">
        <f t="shared" si="50"/>
        <v>3.2035019513469126E-2</v>
      </c>
      <c r="N193" s="266">
        <f t="shared" si="50"/>
        <v>2.5891122367408776E-2</v>
      </c>
      <c r="O193" s="266">
        <f t="shared" si="50"/>
        <v>2.1423233873358857E-2</v>
      </c>
      <c r="P193" s="266">
        <f t="shared" si="50"/>
        <v>2.0042952656560035E-2</v>
      </c>
      <c r="Q193" s="266">
        <f t="shared" si="50"/>
        <v>3.0502106696874844E-2</v>
      </c>
      <c r="R193" s="266">
        <f t="shared" si="50"/>
        <v>-1.9325801160762449E-2</v>
      </c>
      <c r="S193" s="266">
        <f t="shared" si="50"/>
        <v>-1.8238505632661474E-2</v>
      </c>
      <c r="T193" s="266">
        <f t="shared" si="50"/>
        <v>-1.9325801160762449E-2</v>
      </c>
      <c r="U193" s="266">
        <f t="shared" si="50"/>
        <v>-1.9325801160762449E-2</v>
      </c>
      <c r="V193" s="266">
        <f t="shared" si="50"/>
        <v>-1.8238505632661474E-2</v>
      </c>
      <c r="W193" s="266">
        <f t="shared" si="50"/>
        <v>-1.8238505632661474E-2</v>
      </c>
      <c r="X193" s="266">
        <f t="shared" si="50"/>
        <v>-1.7957913238312841E-2</v>
      </c>
      <c r="Y193" s="266">
        <f t="shared" si="50"/>
        <v>-1.7957913238312841E-2</v>
      </c>
      <c r="Z193" s="267"/>
      <c r="AA193" s="267"/>
    </row>
    <row r="194" spans="3:27" x14ac:dyDescent="0.25">
      <c r="D194" s="75"/>
      <c r="E194" s="75"/>
      <c r="F194" s="255" t="s">
        <v>189</v>
      </c>
      <c r="G194" t="s">
        <v>267</v>
      </c>
      <c r="H194" s="267"/>
      <c r="I194" s="267"/>
      <c r="J194" s="268">
        <f t="shared" ref="J194:Y194" si="51">hundred * $H31 * J56 / $H44 * J94 / hours_in_year</f>
        <v>0</v>
      </c>
      <c r="K194" s="268">
        <f t="shared" si="51"/>
        <v>0</v>
      </c>
      <c r="L194" s="268">
        <f t="shared" si="51"/>
        <v>0</v>
      </c>
      <c r="M194" s="268">
        <f t="shared" si="51"/>
        <v>0</v>
      </c>
      <c r="N194" s="268">
        <f t="shared" si="51"/>
        <v>0</v>
      </c>
      <c r="O194" s="268">
        <f t="shared" si="51"/>
        <v>0</v>
      </c>
      <c r="P194" s="268">
        <f t="shared" si="51"/>
        <v>0</v>
      </c>
      <c r="Q194" s="268">
        <f t="shared" si="51"/>
        <v>0</v>
      </c>
      <c r="R194" s="268">
        <f t="shared" si="51"/>
        <v>0</v>
      </c>
      <c r="S194" s="268">
        <f t="shared" si="51"/>
        <v>0</v>
      </c>
      <c r="T194" s="268">
        <f t="shared" si="51"/>
        <v>0</v>
      </c>
      <c r="U194" s="268">
        <f t="shared" si="51"/>
        <v>0</v>
      </c>
      <c r="V194" s="268">
        <f t="shared" si="51"/>
        <v>0</v>
      </c>
      <c r="W194" s="268">
        <f t="shared" si="51"/>
        <v>0</v>
      </c>
      <c r="X194" s="268">
        <f t="shared" si="51"/>
        <v>0</v>
      </c>
      <c r="Y194" s="268">
        <f t="shared" si="51"/>
        <v>0</v>
      </c>
      <c r="Z194" s="267"/>
      <c r="AA194" s="267"/>
    </row>
    <row r="195" spans="3:27" x14ac:dyDescent="0.25">
      <c r="D195" s="75"/>
      <c r="E195" s="75"/>
      <c r="F195" s="255" t="s">
        <v>190</v>
      </c>
      <c r="G195" t="s">
        <v>267</v>
      </c>
      <c r="H195" s="267"/>
      <c r="I195" s="267"/>
      <c r="J195" s="268">
        <f t="shared" ref="J195:Y195" si="52">hundred * $H32 * J57 / $H45 * J95 / hours_in_year</f>
        <v>4.0257477068599751E-2</v>
      </c>
      <c r="K195" s="268">
        <f t="shared" si="52"/>
        <v>4.0257477068599751E-2</v>
      </c>
      <c r="L195" s="268">
        <f t="shared" si="52"/>
        <v>4.592934232328609E-2</v>
      </c>
      <c r="M195" s="268">
        <f t="shared" si="52"/>
        <v>4.592934232328609E-2</v>
      </c>
      <c r="N195" s="268">
        <f t="shared" si="52"/>
        <v>3.712069605098333E-2</v>
      </c>
      <c r="O195" s="268">
        <f t="shared" si="52"/>
        <v>3.0714981828795621E-2</v>
      </c>
      <c r="P195" s="268">
        <f t="shared" si="52"/>
        <v>2.8736040986193655E-2</v>
      </c>
      <c r="Q195" s="268">
        <f t="shared" si="52"/>
        <v>2.779300444343254E-2</v>
      </c>
      <c r="R195" s="268">
        <f t="shared" si="52"/>
        <v>-2.7707844436030946E-2</v>
      </c>
      <c r="S195" s="268">
        <f t="shared" si="52"/>
        <v>-2.6148963896072762E-2</v>
      </c>
      <c r="T195" s="268">
        <f t="shared" si="52"/>
        <v>-2.7707844436030946E-2</v>
      </c>
      <c r="U195" s="268">
        <f t="shared" si="52"/>
        <v>-2.7707844436030946E-2</v>
      </c>
      <c r="V195" s="268">
        <f t="shared" si="52"/>
        <v>-2.6148963896072762E-2</v>
      </c>
      <c r="W195" s="268">
        <f t="shared" si="52"/>
        <v>-2.6148963896072762E-2</v>
      </c>
      <c r="X195" s="268">
        <f t="shared" si="52"/>
        <v>-2.5746672143825491E-2</v>
      </c>
      <c r="Y195" s="268">
        <f t="shared" si="52"/>
        <v>-2.5746672143825491E-2</v>
      </c>
      <c r="Z195" s="267"/>
      <c r="AA195" s="267"/>
    </row>
    <row r="196" spans="3:27" x14ac:dyDescent="0.25">
      <c r="D196" s="75"/>
      <c r="E196" s="75"/>
      <c r="F196" s="255" t="s">
        <v>191</v>
      </c>
      <c r="G196" t="s">
        <v>267</v>
      </c>
      <c r="H196" s="267"/>
      <c r="I196" s="267"/>
      <c r="J196" s="268">
        <f t="shared" ref="J196:Y196" si="53">hundred * $H33 * J58 / $H46 * J96 / hours_in_year</f>
        <v>2.4936090314246998E-2</v>
      </c>
      <c r="K196" s="268">
        <f t="shared" si="53"/>
        <v>2.4936090314246998E-2</v>
      </c>
      <c r="L196" s="268">
        <f t="shared" si="53"/>
        <v>2.8449329457377874E-2</v>
      </c>
      <c r="M196" s="268">
        <f t="shared" si="53"/>
        <v>2.8449329457377874E-2</v>
      </c>
      <c r="N196" s="268">
        <f t="shared" si="53"/>
        <v>2.2993120698490618E-2</v>
      </c>
      <c r="O196" s="268">
        <f t="shared" si="53"/>
        <v>1.9025324403170389E-2</v>
      </c>
      <c r="P196" s="268">
        <f t="shared" si="53"/>
        <v>1.7799538507705895E-2</v>
      </c>
      <c r="Q196" s="268">
        <f t="shared" si="53"/>
        <v>1.7215407406796241E-2</v>
      </c>
      <c r="R196" s="268">
        <f t="shared" si="53"/>
        <v>-1.7162658009905088E-2</v>
      </c>
      <c r="S196" s="268">
        <f t="shared" si="53"/>
        <v>-1.6197063820600082E-2</v>
      </c>
      <c r="T196" s="268">
        <f t="shared" si="53"/>
        <v>-1.7162658009905088E-2</v>
      </c>
      <c r="U196" s="268">
        <f t="shared" si="53"/>
        <v>-1.7162658009905088E-2</v>
      </c>
      <c r="V196" s="268">
        <f t="shared" si="53"/>
        <v>-1.6197063820600082E-2</v>
      </c>
      <c r="W196" s="268">
        <f t="shared" si="53"/>
        <v>-1.6197063820600082E-2</v>
      </c>
      <c r="X196" s="268">
        <f t="shared" si="53"/>
        <v>-1.5947878223360079E-2</v>
      </c>
      <c r="Y196" s="268">
        <f t="shared" si="53"/>
        <v>-1.5947878223360079E-2</v>
      </c>
      <c r="Z196" s="267"/>
      <c r="AA196" s="267"/>
    </row>
    <row r="197" spans="3:27" x14ac:dyDescent="0.25">
      <c r="D197" s="75"/>
      <c r="E197" s="75"/>
      <c r="F197" s="255" t="s">
        <v>192</v>
      </c>
      <c r="G197" t="s">
        <v>267</v>
      </c>
      <c r="H197" s="267"/>
      <c r="I197" s="267"/>
      <c r="J197" s="268">
        <f t="shared" ref="J197:Y197" si="54">hundred * $H34 * J59 / $H47 * J97 / hours_in_year</f>
        <v>9.5009860145699912E-2</v>
      </c>
      <c r="K197" s="268">
        <f t="shared" si="54"/>
        <v>9.5009860145699912E-2</v>
      </c>
      <c r="L197" s="268">
        <f t="shared" si="54"/>
        <v>0.10839577411379915</v>
      </c>
      <c r="M197" s="268">
        <f t="shared" si="54"/>
        <v>0.10839577411379915</v>
      </c>
      <c r="N197" s="268">
        <f t="shared" si="54"/>
        <v>8.7606884413177474E-2</v>
      </c>
      <c r="O197" s="268">
        <f t="shared" si="54"/>
        <v>7.2489046518212155E-2</v>
      </c>
      <c r="P197" s="268">
        <f t="shared" si="54"/>
        <v>6.7818637282883329E-2</v>
      </c>
      <c r="Q197" s="268">
        <f t="shared" si="54"/>
        <v>7.1297494994940522E-2</v>
      </c>
      <c r="R197" s="268">
        <f t="shared" si="54"/>
        <v>-6.5392036871069509E-2</v>
      </c>
      <c r="S197" s="268">
        <f t="shared" si="54"/>
        <v>-6.1712993054366873E-2</v>
      </c>
      <c r="T197" s="268">
        <f t="shared" si="54"/>
        <v>-6.5392036871069509E-2</v>
      </c>
      <c r="U197" s="268">
        <f t="shared" si="54"/>
        <v>-6.5392036871069509E-2</v>
      </c>
      <c r="V197" s="268">
        <f t="shared" si="54"/>
        <v>-6.1712993054366873E-2</v>
      </c>
      <c r="W197" s="268">
        <f t="shared" si="54"/>
        <v>-6.1712993054366873E-2</v>
      </c>
      <c r="X197" s="268">
        <f t="shared" si="54"/>
        <v>-6.0763562391991988E-2</v>
      </c>
      <c r="Y197" s="268">
        <f t="shared" si="54"/>
        <v>-6.0763562391991988E-2</v>
      </c>
      <c r="Z197" s="267"/>
      <c r="AA197" s="267"/>
    </row>
    <row r="198" spans="3:27" x14ac:dyDescent="0.25">
      <c r="D198" s="75"/>
      <c r="E198" s="75"/>
      <c r="F198" s="255" t="s">
        <v>193</v>
      </c>
      <c r="G198" t="s">
        <v>267</v>
      </c>
      <c r="H198" s="267"/>
      <c r="I198" s="267"/>
      <c r="J198" s="268">
        <f t="shared" ref="J198:Y198" si="55">hundred * $H35 * J60 / $H48 * J98 / hours_in_year</f>
        <v>3.6153600063511565E-2</v>
      </c>
      <c r="K198" s="268">
        <f t="shared" si="55"/>
        <v>3.6153600063511565E-2</v>
      </c>
      <c r="L198" s="268">
        <f t="shared" si="55"/>
        <v>4.1247271176647463E-2</v>
      </c>
      <c r="M198" s="268">
        <f t="shared" si="55"/>
        <v>4.1247271176647463E-2</v>
      </c>
      <c r="N198" s="268">
        <f t="shared" si="55"/>
        <v>3.3336584824218946E-2</v>
      </c>
      <c r="O198" s="268">
        <f t="shared" si="55"/>
        <v>2.7583873850416784E-2</v>
      </c>
      <c r="P198" s="268">
        <f t="shared" si="55"/>
        <v>2.5806667701833146E-2</v>
      </c>
      <c r="Q198" s="268">
        <f t="shared" si="55"/>
        <v>2.7130459045244273E-2</v>
      </c>
      <c r="R198" s="268">
        <f t="shared" si="55"/>
        <v>-2.4883286268915211E-2</v>
      </c>
      <c r="S198" s="268">
        <f t="shared" si="55"/>
        <v>-2.3483319164856461E-2</v>
      </c>
      <c r="T198" s="268">
        <f t="shared" si="55"/>
        <v>-2.4883286268915211E-2</v>
      </c>
      <c r="U198" s="268">
        <f t="shared" si="55"/>
        <v>-2.4883286268915211E-2</v>
      </c>
      <c r="V198" s="268">
        <f t="shared" si="55"/>
        <v>-2.3483319164856461E-2</v>
      </c>
      <c r="W198" s="268">
        <f t="shared" si="55"/>
        <v>-2.3483319164856461E-2</v>
      </c>
      <c r="X198" s="268">
        <f t="shared" si="55"/>
        <v>-2.3122037331550976E-2</v>
      </c>
      <c r="Y198" s="268">
        <f t="shared" si="55"/>
        <v>-2.3122037331550976E-2</v>
      </c>
      <c r="Z198" s="267"/>
      <c r="AA198" s="267"/>
    </row>
    <row r="199" spans="3:27" x14ac:dyDescent="0.25">
      <c r="D199" s="75"/>
      <c r="E199" s="75"/>
      <c r="F199" s="255" t="s">
        <v>194</v>
      </c>
      <c r="G199" t="s">
        <v>267</v>
      </c>
      <c r="H199" s="267"/>
      <c r="I199" s="267"/>
      <c r="J199" s="268">
        <f t="shared" ref="J199:Y199" si="56">hundred * $H36 * J61 / $H49 * J99 / hours_in_year</f>
        <v>0</v>
      </c>
      <c r="K199" s="268">
        <f t="shared" si="56"/>
        <v>0</v>
      </c>
      <c r="L199" s="268">
        <f t="shared" si="56"/>
        <v>0</v>
      </c>
      <c r="M199" s="268">
        <f t="shared" si="56"/>
        <v>0</v>
      </c>
      <c r="N199" s="268">
        <f t="shared" si="56"/>
        <v>0</v>
      </c>
      <c r="O199" s="268">
        <f t="shared" si="56"/>
        <v>0</v>
      </c>
      <c r="P199" s="268">
        <f t="shared" si="56"/>
        <v>0</v>
      </c>
      <c r="Q199" s="268">
        <f t="shared" si="56"/>
        <v>0</v>
      </c>
      <c r="R199" s="268">
        <f t="shared" si="56"/>
        <v>0</v>
      </c>
      <c r="S199" s="268">
        <f t="shared" si="56"/>
        <v>0</v>
      </c>
      <c r="T199" s="268">
        <f t="shared" si="56"/>
        <v>0</v>
      </c>
      <c r="U199" s="268">
        <f t="shared" si="56"/>
        <v>0</v>
      </c>
      <c r="V199" s="268">
        <f t="shared" si="56"/>
        <v>0</v>
      </c>
      <c r="W199" s="268">
        <f t="shared" si="56"/>
        <v>0</v>
      </c>
      <c r="X199" s="268">
        <f t="shared" si="56"/>
        <v>0</v>
      </c>
      <c r="Y199" s="268">
        <f t="shared" si="56"/>
        <v>0</v>
      </c>
      <c r="Z199" s="267"/>
      <c r="AA199" s="267"/>
    </row>
    <row r="200" spans="3:27" x14ac:dyDescent="0.25">
      <c r="D200" s="75"/>
      <c r="E200" s="75"/>
      <c r="F200" s="255" t="s">
        <v>195</v>
      </c>
      <c r="G200" t="s">
        <v>267</v>
      </c>
      <c r="H200" s="267"/>
      <c r="I200" s="267"/>
      <c r="J200" s="268">
        <f t="shared" ref="J200:Y200" si="57">hundred * $H37 * J62 / $H50 * J100 / hours_in_year</f>
        <v>0.16732577047906674</v>
      </c>
      <c r="K200" s="268">
        <f t="shared" si="57"/>
        <v>0.16732577047906674</v>
      </c>
      <c r="L200" s="268">
        <f t="shared" si="57"/>
        <v>0.19090025385209672</v>
      </c>
      <c r="M200" s="268">
        <f t="shared" si="57"/>
        <v>0.19090025385209672</v>
      </c>
      <c r="N200" s="268">
        <f t="shared" si="57"/>
        <v>0.15428808558633497</v>
      </c>
      <c r="O200" s="268">
        <f t="shared" si="57"/>
        <v>0.12766343978774627</v>
      </c>
      <c r="P200" s="268">
        <f t="shared" si="57"/>
        <v>0.11943819008676236</v>
      </c>
      <c r="Q200" s="268">
        <f t="shared" si="57"/>
        <v>0.12556494941641874</v>
      </c>
      <c r="R200" s="268">
        <f t="shared" si="57"/>
        <v>-0.11516460434598864</v>
      </c>
      <c r="S200" s="268">
        <f t="shared" si="57"/>
        <v>-0.1086852890379566</v>
      </c>
      <c r="T200" s="268">
        <f t="shared" si="57"/>
        <v>-0.11516460434598864</v>
      </c>
      <c r="U200" s="268">
        <f t="shared" si="57"/>
        <v>-0.11516460434598864</v>
      </c>
      <c r="V200" s="268">
        <f t="shared" si="57"/>
        <v>-0.1086852890379566</v>
      </c>
      <c r="W200" s="268">
        <f t="shared" si="57"/>
        <v>-0.1086852890379566</v>
      </c>
      <c r="X200" s="268">
        <f t="shared" si="57"/>
        <v>0</v>
      </c>
      <c r="Y200" s="268">
        <f t="shared" si="57"/>
        <v>0</v>
      </c>
      <c r="Z200" s="267"/>
      <c r="AA200" s="267"/>
    </row>
    <row r="201" spans="3:27" x14ac:dyDescent="0.25">
      <c r="D201" s="75"/>
      <c r="E201" s="75"/>
      <c r="F201" s="255" t="s">
        <v>196</v>
      </c>
      <c r="G201" t="s">
        <v>267</v>
      </c>
      <c r="H201" s="267"/>
      <c r="I201" s="267"/>
      <c r="J201" s="268">
        <f t="shared" ref="J201:Y201" si="58">hundred * $H38 * J63 / $H51 * J101 / hours_in_year</f>
        <v>5.0890598236739124E-2</v>
      </c>
      <c r="K201" s="268">
        <f t="shared" si="58"/>
        <v>5.0890598236739124E-2</v>
      </c>
      <c r="L201" s="268">
        <f t="shared" si="58"/>
        <v>5.8060561109407605E-2</v>
      </c>
      <c r="M201" s="268">
        <f t="shared" si="58"/>
        <v>5.8060561109407605E-2</v>
      </c>
      <c r="N201" s="268">
        <f t="shared" si="58"/>
        <v>4.6925305969364076E-2</v>
      </c>
      <c r="O201" s="268">
        <f t="shared" si="58"/>
        <v>3.8827664173649343E-2</v>
      </c>
      <c r="P201" s="268">
        <f t="shared" si="58"/>
        <v>0</v>
      </c>
      <c r="Q201" s="268">
        <f t="shared" si="58"/>
        <v>3.8189427576350923E-2</v>
      </c>
      <c r="R201" s="268">
        <f t="shared" si="58"/>
        <v>-3.5026258024001999E-2</v>
      </c>
      <c r="S201" s="268">
        <f t="shared" si="58"/>
        <v>0</v>
      </c>
      <c r="T201" s="268">
        <f t="shared" si="58"/>
        <v>-3.5026258024001999E-2</v>
      </c>
      <c r="U201" s="268">
        <f t="shared" si="58"/>
        <v>-3.5026258024001999E-2</v>
      </c>
      <c r="V201" s="268">
        <f t="shared" si="58"/>
        <v>0</v>
      </c>
      <c r="W201" s="268">
        <f t="shared" si="58"/>
        <v>0</v>
      </c>
      <c r="X201" s="268">
        <f t="shared" si="58"/>
        <v>0</v>
      </c>
      <c r="Y201" s="268">
        <f t="shared" si="58"/>
        <v>0</v>
      </c>
      <c r="Z201" s="267"/>
      <c r="AA201" s="267"/>
    </row>
    <row r="202" spans="3:27" x14ac:dyDescent="0.25">
      <c r="D202" s="75"/>
      <c r="E202" s="75"/>
      <c r="F202" s="257" t="s">
        <v>197</v>
      </c>
      <c r="G202" s="96" t="s">
        <v>267</v>
      </c>
      <c r="H202" s="269"/>
      <c r="I202" s="269"/>
      <c r="J202" s="270">
        <f t="shared" ref="J202:Y202" si="59">hundred * $H39 * J64 / $H52 * J102 / hours_in_year</f>
        <v>9.5122165974194081E-2</v>
      </c>
      <c r="K202" s="270">
        <f t="shared" si="59"/>
        <v>9.5122165974194081E-2</v>
      </c>
      <c r="L202" s="270">
        <f t="shared" si="59"/>
        <v>0.10852390268064946</v>
      </c>
      <c r="M202" s="270">
        <f t="shared" si="59"/>
        <v>0.10852390268064946</v>
      </c>
      <c r="N202" s="270">
        <f t="shared" si="59"/>
        <v>8.7710439599141599E-2</v>
      </c>
      <c r="O202" s="270">
        <f t="shared" si="59"/>
        <v>0</v>
      </c>
      <c r="P202" s="270">
        <f t="shared" si="59"/>
        <v>0</v>
      </c>
      <c r="Q202" s="270">
        <f t="shared" si="59"/>
        <v>7.1381771766137594E-2</v>
      </c>
      <c r="R202" s="270">
        <f t="shared" si="59"/>
        <v>0</v>
      </c>
      <c r="S202" s="270">
        <f t="shared" si="59"/>
        <v>0</v>
      </c>
      <c r="T202" s="270">
        <f t="shared" si="59"/>
        <v>0</v>
      </c>
      <c r="U202" s="270">
        <f t="shared" si="59"/>
        <v>0</v>
      </c>
      <c r="V202" s="270">
        <f t="shared" si="59"/>
        <v>0</v>
      </c>
      <c r="W202" s="270">
        <f t="shared" si="59"/>
        <v>0</v>
      </c>
      <c r="X202" s="270">
        <f t="shared" si="59"/>
        <v>0</v>
      </c>
      <c r="Y202" s="270">
        <f t="shared" si="59"/>
        <v>0</v>
      </c>
      <c r="Z202" s="267"/>
      <c r="AA202" s="267"/>
    </row>
    <row r="203" spans="3:27" x14ac:dyDescent="0.25">
      <c r="C203" s="75"/>
      <c r="D203" s="75"/>
      <c r="E203" s="75"/>
      <c r="J203" s="260"/>
      <c r="K203" s="260"/>
      <c r="L203" s="260"/>
      <c r="M203" s="260"/>
      <c r="N203" s="260"/>
      <c r="O203" s="260"/>
      <c r="P203" s="260"/>
      <c r="Q203" s="260"/>
      <c r="R203" s="260"/>
      <c r="S203" s="260"/>
      <c r="T203" s="260"/>
      <c r="U203" s="260"/>
      <c r="V203" s="260"/>
      <c r="W203" s="260"/>
      <c r="X203" s="260"/>
      <c r="Y203" s="260"/>
    </row>
    <row r="204" spans="3:27" x14ac:dyDescent="0.25">
      <c r="C204" s="93" t="str">
        <f ca="1">INDEX('Version control'!$H$41:$H$64,MATCH($A$1,'Version control'!$F$41:$F$64,0),1)&amp;"-E: Unit rate 3"</f>
        <v>Section 109-E: Unit rate 3</v>
      </c>
      <c r="D204" s="93"/>
      <c r="E204" s="93"/>
      <c r="F204" s="93"/>
      <c r="G204" s="93"/>
      <c r="H204" s="93"/>
      <c r="I204" s="93"/>
      <c r="J204" s="264"/>
      <c r="K204" s="264"/>
      <c r="L204" s="264"/>
      <c r="M204" s="264"/>
      <c r="N204" s="264"/>
      <c r="O204" s="264"/>
      <c r="P204" s="264"/>
      <c r="Q204" s="264"/>
      <c r="R204" s="264"/>
      <c r="S204" s="264"/>
      <c r="T204" s="264"/>
      <c r="U204" s="264"/>
      <c r="V204" s="264"/>
      <c r="W204" s="264"/>
      <c r="X204" s="264"/>
      <c r="Y204" s="264"/>
      <c r="Z204" s="93"/>
      <c r="AA204" s="93"/>
    </row>
    <row r="205" spans="3:27" x14ac:dyDescent="0.25">
      <c r="C205" s="75"/>
      <c r="D205" s="75"/>
      <c r="E205" s="75"/>
      <c r="J205" s="260"/>
      <c r="K205" s="260"/>
      <c r="L205" s="260"/>
      <c r="M205" s="260"/>
      <c r="N205" s="260"/>
      <c r="O205" s="260"/>
      <c r="P205" s="260"/>
      <c r="Q205" s="260"/>
      <c r="R205" s="260"/>
      <c r="S205" s="260"/>
      <c r="T205" s="260"/>
      <c r="U205" s="260"/>
      <c r="V205" s="260"/>
      <c r="W205" s="260"/>
      <c r="X205" s="260"/>
      <c r="Y205" s="260"/>
    </row>
    <row r="206" spans="3:27" x14ac:dyDescent="0.25">
      <c r="C206" s="86" t="s">
        <v>582</v>
      </c>
      <c r="D206" s="75"/>
      <c r="E206" s="75"/>
      <c r="I206" s="3" t="s">
        <v>152</v>
      </c>
      <c r="J206" s="260"/>
      <c r="K206" s="260"/>
      <c r="L206" s="260"/>
      <c r="M206" s="260"/>
      <c r="N206" s="260"/>
      <c r="O206" s="260"/>
      <c r="P206" s="260"/>
      <c r="Q206" s="260"/>
      <c r="R206" s="260"/>
      <c r="S206" s="260"/>
      <c r="T206" s="260"/>
      <c r="U206" s="260"/>
      <c r="V206" s="260"/>
      <c r="W206" s="260"/>
      <c r="X206" s="260"/>
      <c r="Y206" s="260"/>
      <c r="AA206" t="s">
        <v>580</v>
      </c>
    </row>
    <row r="207" spans="3:27" x14ac:dyDescent="0.25">
      <c r="C207" s="86" t="s">
        <v>583</v>
      </c>
      <c r="D207" s="75"/>
      <c r="E207" s="75"/>
      <c r="J207" s="260"/>
      <c r="K207" s="260"/>
      <c r="L207" s="260"/>
      <c r="M207" s="260"/>
      <c r="N207" s="260"/>
      <c r="O207" s="260"/>
      <c r="P207" s="260"/>
      <c r="Q207" s="260"/>
      <c r="R207" s="260"/>
      <c r="S207" s="260"/>
      <c r="T207" s="260"/>
      <c r="U207" s="260"/>
      <c r="V207" s="260"/>
      <c r="W207" s="260"/>
      <c r="X207" s="260"/>
      <c r="Y207" s="260"/>
    </row>
    <row r="208" spans="3:27" x14ac:dyDescent="0.25">
      <c r="C208" s="75"/>
      <c r="D208" s="75"/>
      <c r="E208" s="75"/>
    </row>
    <row r="209" spans="3:27" x14ac:dyDescent="0.25">
      <c r="E209" s="75" t="s">
        <v>576</v>
      </c>
      <c r="J209" s="260"/>
      <c r="K209" s="260"/>
      <c r="L209" s="260"/>
      <c r="M209" s="260"/>
      <c r="N209" s="260"/>
      <c r="O209" s="260"/>
      <c r="P209" s="260"/>
      <c r="Q209" s="260"/>
      <c r="R209" s="260"/>
      <c r="S209" s="260"/>
      <c r="T209" s="260"/>
      <c r="U209" s="260"/>
      <c r="V209" s="260"/>
      <c r="W209" s="260"/>
      <c r="X209" s="260"/>
      <c r="Y209" s="260"/>
    </row>
    <row r="210" spans="3:27" x14ac:dyDescent="0.25">
      <c r="E210" s="75"/>
      <c r="F210" s="254" t="s">
        <v>187</v>
      </c>
      <c r="G210" s="95" t="s">
        <v>267</v>
      </c>
      <c r="H210" s="265"/>
      <c r="I210" s="265"/>
      <c r="J210" s="266">
        <f t="shared" ref="J210:Y210" si="60">hundred * $H18 * J55 / $H43 * J105 * (1 - J67) / hours_in_year</f>
        <v>0</v>
      </c>
      <c r="K210" s="266">
        <f t="shared" si="60"/>
        <v>0</v>
      </c>
      <c r="L210" s="266">
        <f t="shared" si="60"/>
        <v>0</v>
      </c>
      <c r="M210" s="266">
        <f t="shared" si="60"/>
        <v>0</v>
      </c>
      <c r="N210" s="266">
        <f t="shared" si="60"/>
        <v>0</v>
      </c>
      <c r="O210" s="266">
        <f t="shared" si="60"/>
        <v>0</v>
      </c>
      <c r="P210" s="266">
        <f t="shared" si="60"/>
        <v>0</v>
      </c>
      <c r="Q210" s="266">
        <f t="shared" si="60"/>
        <v>0</v>
      </c>
      <c r="R210" s="266">
        <f t="shared" si="60"/>
        <v>0</v>
      </c>
      <c r="S210" s="266">
        <f t="shared" si="60"/>
        <v>0</v>
      </c>
      <c r="T210" s="266">
        <f t="shared" si="60"/>
        <v>0</v>
      </c>
      <c r="U210" s="266">
        <f t="shared" si="60"/>
        <v>0</v>
      </c>
      <c r="V210" s="266">
        <f t="shared" si="60"/>
        <v>0</v>
      </c>
      <c r="W210" s="266">
        <f t="shared" si="60"/>
        <v>0</v>
      </c>
      <c r="X210" s="266">
        <f t="shared" si="60"/>
        <v>0</v>
      </c>
      <c r="Y210" s="266">
        <f t="shared" si="60"/>
        <v>0</v>
      </c>
      <c r="Z210" s="267"/>
      <c r="AA210" s="267"/>
    </row>
    <row r="211" spans="3:27" x14ac:dyDescent="0.25">
      <c r="E211" s="75"/>
      <c r="F211" s="255" t="s">
        <v>189</v>
      </c>
      <c r="G211" t="s">
        <v>267</v>
      </c>
      <c r="H211" s="267"/>
      <c r="I211" s="267"/>
      <c r="J211" s="268">
        <f t="shared" ref="J211:Y211" si="61">hundred * $H19 * J56 / $H44 * J106 * (1 - J68) / hours_in_year</f>
        <v>0</v>
      </c>
      <c r="K211" s="268">
        <f t="shared" si="61"/>
        <v>0</v>
      </c>
      <c r="L211" s="268">
        <f t="shared" si="61"/>
        <v>0</v>
      </c>
      <c r="M211" s="268">
        <f t="shared" si="61"/>
        <v>0</v>
      </c>
      <c r="N211" s="268">
        <f t="shared" si="61"/>
        <v>0</v>
      </c>
      <c r="O211" s="268">
        <f t="shared" si="61"/>
        <v>0</v>
      </c>
      <c r="P211" s="268">
        <f t="shared" si="61"/>
        <v>0</v>
      </c>
      <c r="Q211" s="268">
        <f t="shared" si="61"/>
        <v>0</v>
      </c>
      <c r="R211" s="268">
        <f t="shared" si="61"/>
        <v>0</v>
      </c>
      <c r="S211" s="268">
        <f t="shared" si="61"/>
        <v>0</v>
      </c>
      <c r="T211" s="268">
        <f t="shared" si="61"/>
        <v>0</v>
      </c>
      <c r="U211" s="268">
        <f t="shared" si="61"/>
        <v>0</v>
      </c>
      <c r="V211" s="268">
        <f t="shared" si="61"/>
        <v>0</v>
      </c>
      <c r="W211" s="268">
        <f t="shared" si="61"/>
        <v>0</v>
      </c>
      <c r="X211" s="268">
        <f t="shared" si="61"/>
        <v>0</v>
      </c>
      <c r="Y211" s="268">
        <f t="shared" si="61"/>
        <v>0</v>
      </c>
      <c r="Z211" s="267"/>
      <c r="AA211" s="267"/>
    </row>
    <row r="212" spans="3:27" x14ac:dyDescent="0.25">
      <c r="E212" s="75"/>
      <c r="F212" s="255" t="s">
        <v>190</v>
      </c>
      <c r="G212" t="s">
        <v>267</v>
      </c>
      <c r="H212" s="267"/>
      <c r="I212" s="267"/>
      <c r="J212" s="268">
        <f t="shared" ref="J212:Y212" si="62">hundred * $H20 * J57 / $H45 * J107 * (1 - J69) / hours_in_year</f>
        <v>2.0791334841064327E-2</v>
      </c>
      <c r="K212" s="268">
        <f t="shared" si="62"/>
        <v>2.0791334841064327E-2</v>
      </c>
      <c r="L212" s="268">
        <f t="shared" si="62"/>
        <v>2.3720620486129322E-2</v>
      </c>
      <c r="M212" s="268">
        <f t="shared" si="62"/>
        <v>2.3720620486129322E-2</v>
      </c>
      <c r="N212" s="268">
        <f t="shared" si="62"/>
        <v>1.9171316171011442E-2</v>
      </c>
      <c r="O212" s="268">
        <f t="shared" si="62"/>
        <v>1.5863027649534431E-2</v>
      </c>
      <c r="P212" s="268">
        <f t="shared" si="62"/>
        <v>1.4840985915049088E-2</v>
      </c>
      <c r="Q212" s="268">
        <f t="shared" si="62"/>
        <v>1.7423784299998385E-2</v>
      </c>
      <c r="R212" s="268">
        <f t="shared" si="62"/>
        <v>-1.4309964591471559E-2</v>
      </c>
      <c r="S212" s="268">
        <f t="shared" si="62"/>
        <v>-1.3504866765091127E-2</v>
      </c>
      <c r="T212" s="268">
        <f t="shared" si="62"/>
        <v>-1.4309964591471559E-2</v>
      </c>
      <c r="U212" s="268">
        <f t="shared" si="62"/>
        <v>-1.4309964591471559E-2</v>
      </c>
      <c r="V212" s="268">
        <f t="shared" si="62"/>
        <v>-1.3504866765091127E-2</v>
      </c>
      <c r="W212" s="268">
        <f t="shared" si="62"/>
        <v>-1.3504866765091127E-2</v>
      </c>
      <c r="X212" s="268">
        <f t="shared" si="62"/>
        <v>-1.3297099584089722E-2</v>
      </c>
      <c r="Y212" s="268">
        <f t="shared" si="62"/>
        <v>-1.3297099584089722E-2</v>
      </c>
      <c r="Z212" s="267"/>
      <c r="AA212" s="267"/>
    </row>
    <row r="213" spans="3:27" x14ac:dyDescent="0.25">
      <c r="E213" s="75"/>
      <c r="F213" s="255" t="s">
        <v>191</v>
      </c>
      <c r="G213" t="s">
        <v>267</v>
      </c>
      <c r="H213" s="267"/>
      <c r="I213" s="267"/>
      <c r="J213" s="268">
        <f t="shared" ref="J213:Y213" si="63">hundred * $H21 * J58 / $H46 * J108 * (1 - J70) / hours_in_year</f>
        <v>1.287846733333713E-2</v>
      </c>
      <c r="K213" s="268">
        <f t="shared" si="63"/>
        <v>1.287846733333713E-2</v>
      </c>
      <c r="L213" s="268">
        <f t="shared" si="63"/>
        <v>1.4692911176330509E-2</v>
      </c>
      <c r="M213" s="268">
        <f t="shared" si="63"/>
        <v>1.4692911176330509E-2</v>
      </c>
      <c r="N213" s="268">
        <f t="shared" si="63"/>
        <v>1.1875003261349517E-2</v>
      </c>
      <c r="O213" s="268">
        <f t="shared" si="63"/>
        <v>9.825799303124251E-3</v>
      </c>
      <c r="P213" s="268">
        <f t="shared" si="63"/>
        <v>9.192731191264486E-3</v>
      </c>
      <c r="Q213" s="268">
        <f t="shared" si="63"/>
        <v>1.0792555583658462E-2</v>
      </c>
      <c r="R213" s="268">
        <f t="shared" si="63"/>
        <v>-8.8638085501124789E-3</v>
      </c>
      <c r="S213" s="268">
        <f t="shared" si="63"/>
        <v>-8.3651187768756588E-3</v>
      </c>
      <c r="T213" s="268">
        <f t="shared" si="63"/>
        <v>-8.8638085501124789E-3</v>
      </c>
      <c r="U213" s="268">
        <f t="shared" si="63"/>
        <v>-8.8638085501124789E-3</v>
      </c>
      <c r="V213" s="268">
        <f t="shared" si="63"/>
        <v>-8.3651187768756588E-3</v>
      </c>
      <c r="W213" s="268">
        <f t="shared" si="63"/>
        <v>-8.3651187768756588E-3</v>
      </c>
      <c r="X213" s="268">
        <f t="shared" si="63"/>
        <v>-8.236424641846804E-3</v>
      </c>
      <c r="Y213" s="268">
        <f t="shared" si="63"/>
        <v>-8.236424641846804E-3</v>
      </c>
      <c r="Z213" s="267"/>
      <c r="AA213" s="267"/>
    </row>
    <row r="214" spans="3:27" x14ac:dyDescent="0.25">
      <c r="E214" s="75"/>
      <c r="F214" s="255" t="s">
        <v>192</v>
      </c>
      <c r="G214" t="s">
        <v>267</v>
      </c>
      <c r="H214" s="267"/>
      <c r="I214" s="267"/>
      <c r="J214" s="268">
        <f t="shared" ref="J214:Y214" si="64">hundred * $H22 * J59 / $H47 * J109 * (1 - J71) / hours_in_year</f>
        <v>3.8628624961362025E-2</v>
      </c>
      <c r="K214" s="268">
        <f t="shared" si="64"/>
        <v>3.8628624961362025E-2</v>
      </c>
      <c r="L214" s="268">
        <f t="shared" si="64"/>
        <v>4.4071001675166345E-2</v>
      </c>
      <c r="M214" s="268">
        <f t="shared" si="64"/>
        <v>4.4071001675166345E-2</v>
      </c>
      <c r="N214" s="268">
        <f t="shared" si="64"/>
        <v>3.5618760798514754E-2</v>
      </c>
      <c r="O214" s="268">
        <f t="shared" si="64"/>
        <v>2.947222727688097E-2</v>
      </c>
      <c r="P214" s="268">
        <f t="shared" si="64"/>
        <v>2.7573356080871064E-2</v>
      </c>
      <c r="Q214" s="268">
        <f t="shared" si="64"/>
        <v>3.2371987382117072E-2</v>
      </c>
      <c r="R214" s="268">
        <f t="shared" si="64"/>
        <v>-2.6586761246447606E-2</v>
      </c>
      <c r="S214" s="268">
        <f t="shared" si="64"/>
        <v>-2.5090954352364345E-2</v>
      </c>
      <c r="T214" s="268">
        <f t="shared" si="64"/>
        <v>-2.6586761246447606E-2</v>
      </c>
      <c r="U214" s="268">
        <f t="shared" si="64"/>
        <v>-2.6586761246447606E-2</v>
      </c>
      <c r="V214" s="268">
        <f t="shared" si="64"/>
        <v>-2.5090954352364345E-2</v>
      </c>
      <c r="W214" s="268">
        <f t="shared" si="64"/>
        <v>-2.5090954352364345E-2</v>
      </c>
      <c r="X214" s="268">
        <f t="shared" si="64"/>
        <v>-2.4704939670020281E-2</v>
      </c>
      <c r="Y214" s="268">
        <f t="shared" si="64"/>
        <v>-2.4704939670020281E-2</v>
      </c>
      <c r="Z214" s="267"/>
      <c r="AA214" s="267"/>
    </row>
    <row r="215" spans="3:27" x14ac:dyDescent="0.25">
      <c r="E215" s="75"/>
      <c r="F215" s="255" t="s">
        <v>193</v>
      </c>
      <c r="G215" t="s">
        <v>267</v>
      </c>
      <c r="H215" s="267"/>
      <c r="I215" s="267"/>
      <c r="J215" s="268">
        <f t="shared" ref="J215:Y215" si="65">hundred * $H23 * J60 / $H48 * J110 * (1 - J72) / hours_in_year</f>
        <v>1.4699146548735028E-2</v>
      </c>
      <c r="K215" s="268">
        <f t="shared" si="65"/>
        <v>1.4699146548735028E-2</v>
      </c>
      <c r="L215" s="268">
        <f t="shared" si="65"/>
        <v>1.6770105402943544E-2</v>
      </c>
      <c r="M215" s="268">
        <f t="shared" si="65"/>
        <v>1.6770105402943544E-2</v>
      </c>
      <c r="N215" s="268">
        <f t="shared" si="65"/>
        <v>1.3553818842513778E-2</v>
      </c>
      <c r="O215" s="268">
        <f t="shared" si="65"/>
        <v>1.1214910918879993E-2</v>
      </c>
      <c r="P215" s="268">
        <f t="shared" si="65"/>
        <v>1.0492343496010558E-2</v>
      </c>
      <c r="Q215" s="268">
        <f t="shared" si="65"/>
        <v>1.2318341309831653E-2</v>
      </c>
      <c r="R215" s="268">
        <f t="shared" si="65"/>
        <v>-1.0116919776685289E-2</v>
      </c>
      <c r="S215" s="268">
        <f t="shared" si="65"/>
        <v>-9.5477282828971884E-3</v>
      </c>
      <c r="T215" s="268">
        <f t="shared" si="65"/>
        <v>-1.0116919776685289E-2</v>
      </c>
      <c r="U215" s="268">
        <f t="shared" si="65"/>
        <v>-1.0116919776685289E-2</v>
      </c>
      <c r="V215" s="268">
        <f t="shared" si="65"/>
        <v>-9.5477282828971884E-3</v>
      </c>
      <c r="W215" s="268">
        <f t="shared" si="65"/>
        <v>-9.5477282828971884E-3</v>
      </c>
      <c r="X215" s="268">
        <f t="shared" si="65"/>
        <v>-9.4008401554680019E-3</v>
      </c>
      <c r="Y215" s="268">
        <f t="shared" si="65"/>
        <v>-9.4008401554680019E-3</v>
      </c>
      <c r="Z215" s="267"/>
      <c r="AA215" s="267"/>
    </row>
    <row r="216" spans="3:27" x14ac:dyDescent="0.25">
      <c r="E216" s="75"/>
      <c r="F216" s="255" t="s">
        <v>194</v>
      </c>
      <c r="G216" t="s">
        <v>267</v>
      </c>
      <c r="H216" s="267"/>
      <c r="I216" s="267"/>
      <c r="J216" s="268">
        <f t="shared" ref="J216:Y216" si="66">hundred * $H24 * J61 / $H49 * J111 * (1 - J73) / hours_in_year</f>
        <v>0</v>
      </c>
      <c r="K216" s="268">
        <f t="shared" si="66"/>
        <v>0</v>
      </c>
      <c r="L216" s="268">
        <f t="shared" si="66"/>
        <v>0</v>
      </c>
      <c r="M216" s="268">
        <f t="shared" si="66"/>
        <v>0</v>
      </c>
      <c r="N216" s="268">
        <f t="shared" si="66"/>
        <v>0</v>
      </c>
      <c r="O216" s="268">
        <f t="shared" si="66"/>
        <v>0</v>
      </c>
      <c r="P216" s="268">
        <f t="shared" si="66"/>
        <v>0</v>
      </c>
      <c r="Q216" s="268">
        <f t="shared" si="66"/>
        <v>0</v>
      </c>
      <c r="R216" s="268">
        <f t="shared" si="66"/>
        <v>0</v>
      </c>
      <c r="S216" s="268">
        <f t="shared" si="66"/>
        <v>0</v>
      </c>
      <c r="T216" s="268">
        <f t="shared" si="66"/>
        <v>0</v>
      </c>
      <c r="U216" s="268">
        <f t="shared" si="66"/>
        <v>0</v>
      </c>
      <c r="V216" s="268">
        <f t="shared" si="66"/>
        <v>0</v>
      </c>
      <c r="W216" s="268">
        <f t="shared" si="66"/>
        <v>0</v>
      </c>
      <c r="X216" s="268">
        <f t="shared" si="66"/>
        <v>0</v>
      </c>
      <c r="Y216" s="268">
        <f t="shared" si="66"/>
        <v>0</v>
      </c>
      <c r="Z216" s="267"/>
      <c r="AA216" s="267"/>
    </row>
    <row r="217" spans="3:27" x14ac:dyDescent="0.25">
      <c r="E217" s="75"/>
      <c r="F217" s="255" t="s">
        <v>195</v>
      </c>
      <c r="G217" t="s">
        <v>267</v>
      </c>
      <c r="H217" s="267"/>
      <c r="I217" s="267"/>
      <c r="J217" s="268">
        <f t="shared" ref="J217:Y217" si="67">hundred * $H25 * J62 / $H50 * J112 * (1 - J74) / hours_in_year</f>
        <v>6.8030459410157812E-2</v>
      </c>
      <c r="K217" s="268">
        <f t="shared" si="67"/>
        <v>6.8030459410157812E-2</v>
      </c>
      <c r="L217" s="268">
        <f t="shared" si="67"/>
        <v>7.7615252772427132E-2</v>
      </c>
      <c r="M217" s="268">
        <f t="shared" si="67"/>
        <v>7.7615252772427132E-2</v>
      </c>
      <c r="N217" s="268">
        <f t="shared" si="67"/>
        <v>6.2729663899950508E-2</v>
      </c>
      <c r="O217" s="268">
        <f t="shared" si="67"/>
        <v>5.1904751036110953E-2</v>
      </c>
      <c r="P217" s="268">
        <f t="shared" si="67"/>
        <v>4.856057091179946E-2</v>
      </c>
      <c r="Q217" s="268">
        <f t="shared" si="67"/>
        <v>5.7011637764172826E-2</v>
      </c>
      <c r="R217" s="268">
        <f t="shared" si="67"/>
        <v>-4.6823038190801719E-2</v>
      </c>
      <c r="S217" s="268">
        <f t="shared" si="67"/>
        <v>-4.4188711178252078E-2</v>
      </c>
      <c r="T217" s="268">
        <f t="shared" si="67"/>
        <v>-4.6823038190801719E-2</v>
      </c>
      <c r="U217" s="268">
        <f t="shared" si="67"/>
        <v>-4.6823038190801719E-2</v>
      </c>
      <c r="V217" s="268">
        <f t="shared" si="67"/>
        <v>-4.4188711178252078E-2</v>
      </c>
      <c r="W217" s="268">
        <f t="shared" si="67"/>
        <v>-4.4188711178252078E-2</v>
      </c>
      <c r="X217" s="268">
        <f t="shared" si="67"/>
        <v>0</v>
      </c>
      <c r="Y217" s="268">
        <f t="shared" si="67"/>
        <v>0</v>
      </c>
      <c r="Z217" s="267"/>
      <c r="AA217" s="267"/>
    </row>
    <row r="218" spans="3:27" x14ac:dyDescent="0.25">
      <c r="E218" s="75"/>
      <c r="F218" s="255" t="s">
        <v>196</v>
      </c>
      <c r="G218" t="s">
        <v>267</v>
      </c>
      <c r="H218" s="267"/>
      <c r="I218" s="267"/>
      <c r="J218" s="268">
        <f t="shared" ref="J218:Y218" si="68">hundred * $H26 * J63 / $H51 * J113 * (1 - J75) / hours_in_year</f>
        <v>2.0690840196287977E-2</v>
      </c>
      <c r="K218" s="268">
        <f t="shared" si="68"/>
        <v>2.0690840196287977E-2</v>
      </c>
      <c r="L218" s="268">
        <f t="shared" si="68"/>
        <v>2.3605967177534628E-2</v>
      </c>
      <c r="M218" s="268">
        <f t="shared" si="68"/>
        <v>2.3605967177534628E-2</v>
      </c>
      <c r="N218" s="268">
        <f t="shared" si="68"/>
        <v>1.9078651865269244E-2</v>
      </c>
      <c r="O218" s="268">
        <f t="shared" si="68"/>
        <v>1.578635391305221E-2</v>
      </c>
      <c r="P218" s="268">
        <f t="shared" si="68"/>
        <v>0</v>
      </c>
      <c r="Q218" s="268">
        <f t="shared" si="68"/>
        <v>1.7339566666677908E-2</v>
      </c>
      <c r="R218" s="268">
        <f t="shared" si="68"/>
        <v>-1.4240797564949444E-2</v>
      </c>
      <c r="S218" s="268">
        <f t="shared" si="68"/>
        <v>0</v>
      </c>
      <c r="T218" s="268">
        <f t="shared" si="68"/>
        <v>-1.4240797564949444E-2</v>
      </c>
      <c r="U218" s="268">
        <f t="shared" si="68"/>
        <v>-1.4240797564949444E-2</v>
      </c>
      <c r="V218" s="268">
        <f t="shared" si="68"/>
        <v>0</v>
      </c>
      <c r="W218" s="268">
        <f t="shared" si="68"/>
        <v>0</v>
      </c>
      <c r="X218" s="268">
        <f t="shared" si="68"/>
        <v>0</v>
      </c>
      <c r="Y218" s="268">
        <f t="shared" si="68"/>
        <v>0</v>
      </c>
      <c r="Z218" s="267"/>
      <c r="AA218" s="267"/>
    </row>
    <row r="219" spans="3:27" x14ac:dyDescent="0.25">
      <c r="E219" s="75"/>
      <c r="F219" s="257" t="s">
        <v>197</v>
      </c>
      <c r="G219" s="96" t="s">
        <v>267</v>
      </c>
      <c r="H219" s="269"/>
      <c r="I219" s="269"/>
      <c r="J219" s="270">
        <f t="shared" ref="J219:Y219" si="69">hundred * $H27 * J64 / $H52 * J114 * (1 - J76) / hours_in_year</f>
        <v>3.8674285693029484E-2</v>
      </c>
      <c r="K219" s="270">
        <f t="shared" si="69"/>
        <v>3.8674285693029484E-2</v>
      </c>
      <c r="L219" s="270">
        <f t="shared" si="69"/>
        <v>4.4123095535194209E-2</v>
      </c>
      <c r="M219" s="270">
        <f t="shared" si="69"/>
        <v>4.4123095535194209E-2</v>
      </c>
      <c r="N219" s="270">
        <f t="shared" si="69"/>
        <v>3.5660863738517803E-2</v>
      </c>
      <c r="O219" s="270">
        <f t="shared" si="69"/>
        <v>0</v>
      </c>
      <c r="P219" s="270">
        <f t="shared" si="69"/>
        <v>0</v>
      </c>
      <c r="Q219" s="270">
        <f t="shared" si="69"/>
        <v>3.2410252493310532E-2</v>
      </c>
      <c r="R219" s="270">
        <f t="shared" si="69"/>
        <v>0</v>
      </c>
      <c r="S219" s="270">
        <f t="shared" si="69"/>
        <v>0</v>
      </c>
      <c r="T219" s="270">
        <f t="shared" si="69"/>
        <v>0</v>
      </c>
      <c r="U219" s="270">
        <f t="shared" si="69"/>
        <v>0</v>
      </c>
      <c r="V219" s="270">
        <f t="shared" si="69"/>
        <v>0</v>
      </c>
      <c r="W219" s="270">
        <f t="shared" si="69"/>
        <v>0</v>
      </c>
      <c r="X219" s="270">
        <f t="shared" si="69"/>
        <v>0</v>
      </c>
      <c r="Y219" s="270">
        <f t="shared" si="69"/>
        <v>0</v>
      </c>
      <c r="Z219" s="267"/>
      <c r="AA219" s="267"/>
    </row>
    <row r="220" spans="3:27" x14ac:dyDescent="0.25">
      <c r="E220" s="75"/>
      <c r="F220" s="255"/>
      <c r="J220" s="260"/>
      <c r="K220" s="260"/>
      <c r="L220" s="260"/>
      <c r="M220" s="260"/>
      <c r="N220" s="260"/>
      <c r="O220" s="260"/>
      <c r="P220" s="260"/>
      <c r="Q220" s="260"/>
      <c r="R220" s="260"/>
      <c r="S220" s="260"/>
      <c r="T220" s="260"/>
      <c r="U220" s="260"/>
      <c r="V220" s="260"/>
      <c r="W220" s="260"/>
      <c r="X220" s="260"/>
      <c r="Y220" s="260"/>
    </row>
    <row r="221" spans="3:27" x14ac:dyDescent="0.25">
      <c r="E221" s="75" t="s">
        <v>577</v>
      </c>
      <c r="J221" s="260"/>
      <c r="K221" s="260"/>
      <c r="L221" s="260"/>
      <c r="M221" s="260"/>
      <c r="N221" s="260"/>
      <c r="O221" s="260"/>
      <c r="P221" s="260"/>
      <c r="Q221" s="260"/>
      <c r="R221" s="260"/>
      <c r="S221" s="260"/>
      <c r="T221" s="260"/>
      <c r="U221" s="260"/>
      <c r="V221" s="260"/>
      <c r="W221" s="260"/>
      <c r="X221" s="260"/>
      <c r="Y221" s="260"/>
    </row>
    <row r="222" spans="3:27" x14ac:dyDescent="0.25">
      <c r="C222" s="75"/>
      <c r="E222" s="75"/>
      <c r="F222" s="254" t="s">
        <v>187</v>
      </c>
      <c r="G222" s="95" t="s">
        <v>267</v>
      </c>
      <c r="H222" s="265"/>
      <c r="I222" s="265"/>
      <c r="J222" s="266">
        <f t="shared" ref="J222:Y222" si="70">hundred * $H30 * J55 / $H43 * J105 / hours_in_year</f>
        <v>6.0734972407177363E-3</v>
      </c>
      <c r="K222" s="266">
        <f t="shared" si="70"/>
        <v>6.0734972407177363E-3</v>
      </c>
      <c r="L222" s="266">
        <f t="shared" si="70"/>
        <v>6.9291906542756692E-3</v>
      </c>
      <c r="M222" s="266">
        <f t="shared" si="70"/>
        <v>6.9291906542756692E-3</v>
      </c>
      <c r="N222" s="266">
        <f t="shared" si="70"/>
        <v>5.600262645743855E-3</v>
      </c>
      <c r="O222" s="266">
        <f t="shared" si="70"/>
        <v>4.6338561422516432E-3</v>
      </c>
      <c r="P222" s="266">
        <f t="shared" si="70"/>
        <v>4.3353006285366171E-3</v>
      </c>
      <c r="Q222" s="266">
        <f t="shared" si="70"/>
        <v>5.0897793084402083E-3</v>
      </c>
      <c r="R222" s="266">
        <f t="shared" si="70"/>
        <v>-4.180180403300259E-3</v>
      </c>
      <c r="S222" s="266">
        <f t="shared" si="70"/>
        <v>-3.9449978397751986E-3</v>
      </c>
      <c r="T222" s="266">
        <f t="shared" si="70"/>
        <v>-4.180180403300259E-3</v>
      </c>
      <c r="U222" s="266">
        <f t="shared" si="70"/>
        <v>-4.180180403300259E-3</v>
      </c>
      <c r="V222" s="266">
        <f t="shared" si="70"/>
        <v>-3.9449978397751986E-3</v>
      </c>
      <c r="W222" s="266">
        <f t="shared" si="70"/>
        <v>-3.9449978397751986E-3</v>
      </c>
      <c r="X222" s="266">
        <f t="shared" si="70"/>
        <v>-3.8843055653171189E-3</v>
      </c>
      <c r="Y222" s="266">
        <f t="shared" si="70"/>
        <v>-3.8843055653171189E-3</v>
      </c>
      <c r="Z222" s="267"/>
      <c r="AA222" s="267"/>
    </row>
    <row r="223" spans="3:27" x14ac:dyDescent="0.25">
      <c r="C223" s="75"/>
      <c r="E223" s="75"/>
      <c r="F223" s="255" t="s">
        <v>189</v>
      </c>
      <c r="G223" t="s">
        <v>267</v>
      </c>
      <c r="H223" s="267"/>
      <c r="I223" s="267"/>
      <c r="J223" s="268">
        <f t="shared" ref="J223:Y223" si="71">hundred * $H31 * J56 / $H44 * J106 / hours_in_year</f>
        <v>0</v>
      </c>
      <c r="K223" s="268">
        <f t="shared" si="71"/>
        <v>0</v>
      </c>
      <c r="L223" s="268">
        <f t="shared" si="71"/>
        <v>0</v>
      </c>
      <c r="M223" s="268">
        <f t="shared" si="71"/>
        <v>0</v>
      </c>
      <c r="N223" s="268">
        <f t="shared" si="71"/>
        <v>0</v>
      </c>
      <c r="O223" s="268">
        <f t="shared" si="71"/>
        <v>0</v>
      </c>
      <c r="P223" s="268">
        <f t="shared" si="71"/>
        <v>0</v>
      </c>
      <c r="Q223" s="268">
        <f t="shared" si="71"/>
        <v>0</v>
      </c>
      <c r="R223" s="268">
        <f t="shared" si="71"/>
        <v>0</v>
      </c>
      <c r="S223" s="268">
        <f t="shared" si="71"/>
        <v>0</v>
      </c>
      <c r="T223" s="268">
        <f t="shared" si="71"/>
        <v>0</v>
      </c>
      <c r="U223" s="268">
        <f t="shared" si="71"/>
        <v>0</v>
      </c>
      <c r="V223" s="268">
        <f t="shared" si="71"/>
        <v>0</v>
      </c>
      <c r="W223" s="268">
        <f t="shared" si="71"/>
        <v>0</v>
      </c>
      <c r="X223" s="268">
        <f t="shared" si="71"/>
        <v>0</v>
      </c>
      <c r="Y223" s="268">
        <f t="shared" si="71"/>
        <v>0</v>
      </c>
      <c r="Z223" s="267"/>
      <c r="AA223" s="267"/>
    </row>
    <row r="224" spans="3:27" x14ac:dyDescent="0.25">
      <c r="C224" s="75"/>
      <c r="E224" s="75"/>
      <c r="F224" s="255" t="s">
        <v>190</v>
      </c>
      <c r="G224" t="s">
        <v>267</v>
      </c>
      <c r="H224" s="267"/>
      <c r="I224" s="267"/>
      <c r="J224" s="268">
        <f t="shared" ref="J224:Y224" si="72">hundred * $H32 * J57 / $H45 * J107 / hours_in_year</f>
        <v>6.8447890515174852E-3</v>
      </c>
      <c r="K224" s="268">
        <f t="shared" si="72"/>
        <v>6.8447890515174852E-3</v>
      </c>
      <c r="L224" s="268">
        <f t="shared" si="72"/>
        <v>7.8091495634990127E-3</v>
      </c>
      <c r="M224" s="268">
        <f t="shared" si="72"/>
        <v>7.8091495634990127E-3</v>
      </c>
      <c r="N224" s="268">
        <f t="shared" si="72"/>
        <v>6.3114569619331746E-3</v>
      </c>
      <c r="O224" s="268">
        <f t="shared" si="72"/>
        <v>5.2223235693843566E-3</v>
      </c>
      <c r="P224" s="268">
        <f t="shared" si="72"/>
        <v>4.8858535866787593E-3</v>
      </c>
      <c r="Q224" s="268">
        <f t="shared" si="72"/>
        <v>5.7361457994067897E-3</v>
      </c>
      <c r="R224" s="268">
        <f t="shared" si="72"/>
        <v>-4.7110341741912571E-3</v>
      </c>
      <c r="S224" s="268">
        <f t="shared" si="72"/>
        <v>-4.4459850645725101E-3</v>
      </c>
      <c r="T224" s="268">
        <f t="shared" si="72"/>
        <v>-4.7110341741912571E-3</v>
      </c>
      <c r="U224" s="268">
        <f t="shared" si="72"/>
        <v>-4.7110341741912571E-3</v>
      </c>
      <c r="V224" s="268">
        <f t="shared" si="72"/>
        <v>-4.4459850645725101E-3</v>
      </c>
      <c r="W224" s="268">
        <f t="shared" si="72"/>
        <v>-4.4459850645725101E-3</v>
      </c>
      <c r="X224" s="268">
        <f t="shared" si="72"/>
        <v>-4.377585294348319E-3</v>
      </c>
      <c r="Y224" s="268">
        <f t="shared" si="72"/>
        <v>-4.377585294348319E-3</v>
      </c>
      <c r="Z224" s="267"/>
      <c r="AA224" s="267"/>
    </row>
    <row r="225" spans="2:27" x14ac:dyDescent="0.25">
      <c r="C225" s="75"/>
      <c r="E225" s="75"/>
      <c r="F225" s="255" t="s">
        <v>191</v>
      </c>
      <c r="G225" t="s">
        <v>267</v>
      </c>
      <c r="H225" s="267"/>
      <c r="I225" s="267"/>
      <c r="J225" s="268">
        <f t="shared" ref="J225:Y225" si="73">hundred * $H33 * J58 / $H46 * J108 / hours_in_year</f>
        <v>4.2397658869621204E-3</v>
      </c>
      <c r="K225" s="268">
        <f t="shared" si="73"/>
        <v>4.2397658869621204E-3</v>
      </c>
      <c r="L225" s="268">
        <f t="shared" si="73"/>
        <v>4.8371053769974137E-3</v>
      </c>
      <c r="M225" s="268">
        <f t="shared" si="73"/>
        <v>4.8371053769974137E-3</v>
      </c>
      <c r="N225" s="268">
        <f t="shared" si="73"/>
        <v>3.9094119223880806E-3</v>
      </c>
      <c r="O225" s="268">
        <f t="shared" si="73"/>
        <v>3.2347862225564602E-3</v>
      </c>
      <c r="P225" s="268">
        <f t="shared" si="73"/>
        <v>3.0263716251269501E-3</v>
      </c>
      <c r="Q225" s="268">
        <f t="shared" si="73"/>
        <v>3.553055484971339E-3</v>
      </c>
      <c r="R225" s="268">
        <f t="shared" si="73"/>
        <v>-2.9180858363517725E-3</v>
      </c>
      <c r="S225" s="268">
        <f t="shared" si="73"/>
        <v>-2.7539104081722716E-3</v>
      </c>
      <c r="T225" s="268">
        <f t="shared" si="73"/>
        <v>-2.9180858363517725E-3</v>
      </c>
      <c r="U225" s="268">
        <f t="shared" si="73"/>
        <v>-2.9180858363517725E-3</v>
      </c>
      <c r="V225" s="268">
        <f t="shared" si="73"/>
        <v>-2.7539104081722716E-3</v>
      </c>
      <c r="W225" s="268">
        <f t="shared" si="73"/>
        <v>-2.7539104081722716E-3</v>
      </c>
      <c r="X225" s="268">
        <f t="shared" si="73"/>
        <v>-2.711542555738852E-3</v>
      </c>
      <c r="Y225" s="268">
        <f t="shared" si="73"/>
        <v>-2.711542555738852E-3</v>
      </c>
      <c r="Z225" s="267"/>
      <c r="AA225" s="267"/>
    </row>
    <row r="226" spans="2:27" x14ac:dyDescent="0.25">
      <c r="C226" s="75"/>
      <c r="E226" s="75"/>
      <c r="F226" s="255" t="s">
        <v>192</v>
      </c>
      <c r="G226" t="s">
        <v>267</v>
      </c>
      <c r="H226" s="267"/>
      <c r="I226" s="267"/>
      <c r="J226" s="268">
        <f t="shared" ref="J226:Y226" si="74">hundred * $H34 * J59 / $H47 * J109 / hours_in_year</f>
        <v>1.2717066567966959E-2</v>
      </c>
      <c r="K226" s="268">
        <f t="shared" si="74"/>
        <v>1.2717066567966959E-2</v>
      </c>
      <c r="L226" s="268">
        <f t="shared" si="74"/>
        <v>1.4508770699983842E-2</v>
      </c>
      <c r="M226" s="268">
        <f t="shared" si="74"/>
        <v>1.4508770699983842E-2</v>
      </c>
      <c r="N226" s="268">
        <f t="shared" si="74"/>
        <v>1.1726178516483046E-2</v>
      </c>
      <c r="O226" s="268">
        <f t="shared" si="74"/>
        <v>9.7026564254160709E-3</v>
      </c>
      <c r="P226" s="268">
        <f t="shared" si="74"/>
        <v>9.0775223071862098E-3</v>
      </c>
      <c r="Q226" s="268">
        <f t="shared" si="74"/>
        <v>1.0657296729757933E-2</v>
      </c>
      <c r="R226" s="268">
        <f t="shared" si="74"/>
        <v>-8.7527219241147168E-3</v>
      </c>
      <c r="S226" s="268">
        <f t="shared" si="74"/>
        <v>-8.2602820336472836E-3</v>
      </c>
      <c r="T226" s="268">
        <f t="shared" si="74"/>
        <v>-8.7527219241147168E-3</v>
      </c>
      <c r="U226" s="268">
        <f t="shared" si="74"/>
        <v>-8.7527219241147168E-3</v>
      </c>
      <c r="V226" s="268">
        <f t="shared" si="74"/>
        <v>-8.2602820336472836E-3</v>
      </c>
      <c r="W226" s="268">
        <f t="shared" si="74"/>
        <v>-8.2602820336472836E-3</v>
      </c>
      <c r="X226" s="268">
        <f t="shared" si="74"/>
        <v>-8.1332007715911713E-3</v>
      </c>
      <c r="Y226" s="268">
        <f t="shared" si="74"/>
        <v>-8.1332007715911713E-3</v>
      </c>
      <c r="Z226" s="267"/>
      <c r="AA226" s="267"/>
    </row>
    <row r="227" spans="2:27" x14ac:dyDescent="0.25">
      <c r="C227" s="75"/>
      <c r="E227" s="75"/>
      <c r="F227" s="255" t="s">
        <v>193</v>
      </c>
      <c r="G227" t="s">
        <v>267</v>
      </c>
      <c r="H227" s="267"/>
      <c r="I227" s="267"/>
      <c r="J227" s="268">
        <f t="shared" ref="J227:Y227" si="75">hundred * $H35 * J60 / $H48 * J110 / hours_in_year</f>
        <v>4.8391581460520633E-3</v>
      </c>
      <c r="K227" s="268">
        <f t="shared" si="75"/>
        <v>4.8391581460520633E-3</v>
      </c>
      <c r="L227" s="268">
        <f t="shared" si="75"/>
        <v>5.5209458523147945E-3</v>
      </c>
      <c r="M227" s="268">
        <f t="shared" si="75"/>
        <v>5.5209458523147945E-3</v>
      </c>
      <c r="N227" s="268">
        <f t="shared" si="75"/>
        <v>4.4621007515234911E-3</v>
      </c>
      <c r="O227" s="268">
        <f t="shared" si="75"/>
        <v>3.6921005821944652E-3</v>
      </c>
      <c r="P227" s="268">
        <f t="shared" si="75"/>
        <v>3.4542215992985912E-3</v>
      </c>
      <c r="Q227" s="268">
        <f t="shared" si="75"/>
        <v>4.0553648130306867E-3</v>
      </c>
      <c r="R227" s="268">
        <f t="shared" si="75"/>
        <v>-3.3306270257244964E-3</v>
      </c>
      <c r="S227" s="268">
        <f t="shared" si="75"/>
        <v>-3.1432414761828277E-3</v>
      </c>
      <c r="T227" s="268">
        <f t="shared" si="75"/>
        <v>-3.3306270257244964E-3</v>
      </c>
      <c r="U227" s="268">
        <f t="shared" si="75"/>
        <v>-3.3306270257244964E-3</v>
      </c>
      <c r="V227" s="268">
        <f t="shared" si="75"/>
        <v>-3.1432414761828277E-3</v>
      </c>
      <c r="W227" s="268">
        <f t="shared" si="75"/>
        <v>-3.1432414761828277E-3</v>
      </c>
      <c r="X227" s="268">
        <f t="shared" si="75"/>
        <v>-3.0948839150107843E-3</v>
      </c>
      <c r="Y227" s="268">
        <f t="shared" si="75"/>
        <v>-3.0948839150107843E-3</v>
      </c>
      <c r="Z227" s="267"/>
      <c r="AA227" s="267"/>
    </row>
    <row r="228" spans="2:27" x14ac:dyDescent="0.25">
      <c r="C228" s="75"/>
      <c r="E228" s="75"/>
      <c r="F228" s="255" t="s">
        <v>194</v>
      </c>
      <c r="G228" t="s">
        <v>267</v>
      </c>
      <c r="H228" s="267"/>
      <c r="I228" s="267"/>
      <c r="J228" s="268">
        <f t="shared" ref="J228:Y228" si="76">hundred * $H36 * J61 / $H49 * J111 / hours_in_year</f>
        <v>0</v>
      </c>
      <c r="K228" s="268">
        <f t="shared" si="76"/>
        <v>0</v>
      </c>
      <c r="L228" s="268">
        <f t="shared" si="76"/>
        <v>0</v>
      </c>
      <c r="M228" s="268">
        <f t="shared" si="76"/>
        <v>0</v>
      </c>
      <c r="N228" s="268">
        <f t="shared" si="76"/>
        <v>0</v>
      </c>
      <c r="O228" s="268">
        <f t="shared" si="76"/>
        <v>0</v>
      </c>
      <c r="P228" s="268">
        <f t="shared" si="76"/>
        <v>0</v>
      </c>
      <c r="Q228" s="268">
        <f t="shared" si="76"/>
        <v>0</v>
      </c>
      <c r="R228" s="268">
        <f t="shared" si="76"/>
        <v>0</v>
      </c>
      <c r="S228" s="268">
        <f t="shared" si="76"/>
        <v>0</v>
      </c>
      <c r="T228" s="268">
        <f t="shared" si="76"/>
        <v>0</v>
      </c>
      <c r="U228" s="268">
        <f t="shared" si="76"/>
        <v>0</v>
      </c>
      <c r="V228" s="268">
        <f t="shared" si="76"/>
        <v>0</v>
      </c>
      <c r="W228" s="268">
        <f t="shared" si="76"/>
        <v>0</v>
      </c>
      <c r="X228" s="268">
        <f t="shared" si="76"/>
        <v>0</v>
      </c>
      <c r="Y228" s="268">
        <f t="shared" si="76"/>
        <v>0</v>
      </c>
      <c r="Z228" s="267"/>
      <c r="AA228" s="267"/>
    </row>
    <row r="229" spans="2:27" x14ac:dyDescent="0.25">
      <c r="C229" s="75"/>
      <c r="E229" s="75"/>
      <c r="F229" s="255" t="s">
        <v>195</v>
      </c>
      <c r="G229" t="s">
        <v>267</v>
      </c>
      <c r="H229" s="267"/>
      <c r="I229" s="267"/>
      <c r="J229" s="268">
        <f t="shared" ref="J229:Y229" si="77">hundred * $H37 * J62 / $H50 * J112 / hours_in_year</f>
        <v>2.2396548720895672E-2</v>
      </c>
      <c r="K229" s="268">
        <f t="shared" si="77"/>
        <v>2.2396548720895672E-2</v>
      </c>
      <c r="L229" s="268">
        <f t="shared" si="77"/>
        <v>2.5551992523260025E-2</v>
      </c>
      <c r="M229" s="268">
        <f t="shared" si="77"/>
        <v>2.5551992523260025E-2</v>
      </c>
      <c r="N229" s="268">
        <f t="shared" si="77"/>
        <v>2.0651455038842179E-2</v>
      </c>
      <c r="O229" s="268">
        <f t="shared" si="77"/>
        <v>1.7087747098950865E-2</v>
      </c>
      <c r="P229" s="268">
        <f t="shared" si="77"/>
        <v>1.5986797704591639E-2</v>
      </c>
      <c r="Q229" s="268">
        <f t="shared" si="77"/>
        <v>1.8769003383397705E-2</v>
      </c>
      <c r="R229" s="268">
        <f t="shared" si="77"/>
        <v>-1.5414778397690331E-2</v>
      </c>
      <c r="S229" s="268">
        <f t="shared" si="77"/>
        <v>-1.454752226279305E-2</v>
      </c>
      <c r="T229" s="268">
        <f t="shared" si="77"/>
        <v>-1.5414778397690331E-2</v>
      </c>
      <c r="U229" s="268">
        <f t="shared" si="77"/>
        <v>-1.5414778397690331E-2</v>
      </c>
      <c r="V229" s="268">
        <f t="shared" si="77"/>
        <v>-1.454752226279305E-2</v>
      </c>
      <c r="W229" s="268">
        <f t="shared" si="77"/>
        <v>-1.454752226279305E-2</v>
      </c>
      <c r="X229" s="268">
        <f t="shared" si="77"/>
        <v>0</v>
      </c>
      <c r="Y229" s="268">
        <f t="shared" si="77"/>
        <v>0</v>
      </c>
      <c r="Z229" s="267"/>
      <c r="AA229" s="267"/>
    </row>
    <row r="230" spans="2:27" x14ac:dyDescent="0.25">
      <c r="C230" s="75"/>
      <c r="E230" s="75"/>
      <c r="F230" s="255" t="s">
        <v>196</v>
      </c>
      <c r="G230" t="s">
        <v>267</v>
      </c>
      <c r="H230" s="267"/>
      <c r="I230" s="267"/>
      <c r="J230" s="268">
        <f t="shared" ref="J230:Y230" si="78">hundred * $H38 * J63 / $H51 * J113 / hours_in_year</f>
        <v>6.8117048532416371E-3</v>
      </c>
      <c r="K230" s="268">
        <f t="shared" si="78"/>
        <v>6.8117048532416371E-3</v>
      </c>
      <c r="L230" s="268">
        <f t="shared" si="78"/>
        <v>7.7714041413128815E-3</v>
      </c>
      <c r="M230" s="268">
        <f t="shared" si="78"/>
        <v>7.7714041413128815E-3</v>
      </c>
      <c r="N230" s="268">
        <f t="shared" si="78"/>
        <v>6.2809506173305205E-3</v>
      </c>
      <c r="O230" s="268">
        <f t="shared" si="78"/>
        <v>5.1970815367768175E-3</v>
      </c>
      <c r="P230" s="268">
        <f t="shared" si="78"/>
        <v>0</v>
      </c>
      <c r="Q230" s="268">
        <f t="shared" si="78"/>
        <v>5.7084202137768483E-3</v>
      </c>
      <c r="R230" s="268">
        <f t="shared" si="78"/>
        <v>-4.6882634521821284E-3</v>
      </c>
      <c r="S230" s="268">
        <f t="shared" si="78"/>
        <v>0</v>
      </c>
      <c r="T230" s="268">
        <f t="shared" si="78"/>
        <v>-4.6882634521821284E-3</v>
      </c>
      <c r="U230" s="268">
        <f t="shared" si="78"/>
        <v>-4.6882634521821284E-3</v>
      </c>
      <c r="V230" s="268">
        <f t="shared" si="78"/>
        <v>0</v>
      </c>
      <c r="W230" s="268">
        <f t="shared" si="78"/>
        <v>0</v>
      </c>
      <c r="X230" s="268">
        <f t="shared" si="78"/>
        <v>0</v>
      </c>
      <c r="Y230" s="268">
        <f t="shared" si="78"/>
        <v>0</v>
      </c>
      <c r="Z230" s="267"/>
      <c r="AA230" s="267"/>
    </row>
    <row r="231" spans="2:27" x14ac:dyDescent="0.25">
      <c r="C231" s="75"/>
      <c r="E231" s="75"/>
      <c r="F231" s="257" t="s">
        <v>197</v>
      </c>
      <c r="G231" s="96" t="s">
        <v>267</v>
      </c>
      <c r="H231" s="269"/>
      <c r="I231" s="269"/>
      <c r="J231" s="270">
        <f t="shared" ref="J231:Y231" si="79">hundred * $H39 * J64 / $H52 * J114 / hours_in_year</f>
        <v>1.2732098699313542E-2</v>
      </c>
      <c r="K231" s="270">
        <f t="shared" si="79"/>
        <v>1.2732098699313542E-2</v>
      </c>
      <c r="L231" s="270">
        <f t="shared" si="79"/>
        <v>1.4525920704324386E-2</v>
      </c>
      <c r="M231" s="270">
        <f t="shared" si="79"/>
        <v>1.4525920704324386E-2</v>
      </c>
      <c r="N231" s="270">
        <f t="shared" si="79"/>
        <v>1.1740039374622868E-2</v>
      </c>
      <c r="O231" s="270">
        <f t="shared" si="79"/>
        <v>0</v>
      </c>
      <c r="P231" s="270">
        <f t="shared" si="79"/>
        <v>0</v>
      </c>
      <c r="Q231" s="270">
        <f t="shared" si="79"/>
        <v>1.066989412266966E-2</v>
      </c>
      <c r="R231" s="270">
        <f t="shared" si="79"/>
        <v>0</v>
      </c>
      <c r="S231" s="270">
        <f t="shared" si="79"/>
        <v>0</v>
      </c>
      <c r="T231" s="270">
        <f t="shared" si="79"/>
        <v>0</v>
      </c>
      <c r="U231" s="270">
        <f t="shared" si="79"/>
        <v>0</v>
      </c>
      <c r="V231" s="270">
        <f t="shared" si="79"/>
        <v>0</v>
      </c>
      <c r="W231" s="270">
        <f t="shared" si="79"/>
        <v>0</v>
      </c>
      <c r="X231" s="270">
        <f t="shared" si="79"/>
        <v>0</v>
      </c>
      <c r="Y231" s="270">
        <f t="shared" si="79"/>
        <v>0</v>
      </c>
      <c r="Z231" s="267"/>
      <c r="AA231" s="267"/>
    </row>
    <row r="232" spans="2:27" x14ac:dyDescent="0.25">
      <c r="J232" s="62"/>
      <c r="K232" s="62"/>
      <c r="L232" s="62"/>
      <c r="M232" s="62"/>
      <c r="N232" s="62"/>
      <c r="O232" s="62"/>
      <c r="P232" s="62"/>
      <c r="Q232" s="62"/>
      <c r="R232" s="62"/>
      <c r="S232" s="62"/>
      <c r="T232" s="62"/>
      <c r="U232" s="62"/>
      <c r="V232" s="62"/>
      <c r="W232" s="62"/>
      <c r="X232" s="62"/>
      <c r="Y232" s="62"/>
    </row>
    <row r="233" spans="2:27" x14ac:dyDescent="0.25">
      <c r="B233" s="85" t="s">
        <v>229</v>
      </c>
      <c r="C233" s="85"/>
      <c r="D233" s="85"/>
      <c r="E233" s="85"/>
      <c r="F233" s="85"/>
      <c r="G233" s="85"/>
      <c r="H233" s="85"/>
      <c r="I233" s="85"/>
      <c r="J233" s="271"/>
      <c r="K233" s="271"/>
      <c r="L233" s="271"/>
      <c r="M233" s="271"/>
      <c r="N233" s="271"/>
      <c r="O233" s="271"/>
      <c r="P233" s="271"/>
      <c r="Q233" s="271"/>
      <c r="R233" s="271"/>
      <c r="S233" s="271"/>
      <c r="T233" s="271"/>
      <c r="U233" s="271"/>
      <c r="V233" s="271"/>
      <c r="W233" s="271"/>
      <c r="X233" s="271"/>
      <c r="Y233" s="271"/>
      <c r="Z233" s="85"/>
      <c r="AA233" s="85"/>
    </row>
    <row r="234" spans="2:27" x14ac:dyDescent="0.25">
      <c r="C234" s="75"/>
      <c r="D234" s="75"/>
      <c r="E234" s="75"/>
      <c r="J234" s="272"/>
      <c r="K234" s="62"/>
      <c r="L234" s="272"/>
      <c r="M234" s="62"/>
      <c r="N234" s="62"/>
      <c r="O234" s="62"/>
      <c r="P234" s="62"/>
      <c r="Q234" s="62"/>
      <c r="R234" s="62"/>
      <c r="S234" s="62"/>
      <c r="T234" s="62"/>
      <c r="U234" s="62"/>
      <c r="V234" s="62"/>
      <c r="W234" s="62"/>
      <c r="X234" s="62"/>
      <c r="Y234" s="62"/>
    </row>
    <row r="235" spans="2:27" x14ac:dyDescent="0.25">
      <c r="D235" s="75" t="s">
        <v>584</v>
      </c>
      <c r="E235" s="75"/>
      <c r="J235" s="272"/>
      <c r="K235" s="62"/>
      <c r="L235" s="272"/>
      <c r="M235" s="62"/>
      <c r="N235" s="62"/>
      <c r="O235" s="62"/>
      <c r="P235" s="62"/>
      <c r="Q235" s="62"/>
      <c r="R235" s="62"/>
      <c r="S235" s="62"/>
      <c r="T235" s="62"/>
      <c r="U235" s="62"/>
      <c r="V235" s="62"/>
      <c r="W235" s="62"/>
      <c r="X235" s="62"/>
      <c r="Y235" s="62"/>
    </row>
    <row r="236" spans="2:27" x14ac:dyDescent="0.25">
      <c r="C236" s="75"/>
      <c r="D236" s="75"/>
      <c r="E236" s="75"/>
      <c r="J236" s="272"/>
      <c r="K236" s="62"/>
      <c r="L236" s="272"/>
      <c r="M236" s="62"/>
      <c r="N236" s="62"/>
      <c r="O236" s="62"/>
      <c r="P236" s="62"/>
      <c r="Q236" s="62"/>
      <c r="R236" s="62"/>
      <c r="S236" s="62"/>
      <c r="T236" s="62"/>
      <c r="U236" s="62"/>
      <c r="V236" s="62"/>
      <c r="W236" s="62"/>
      <c r="X236" s="62"/>
      <c r="Y236" s="62"/>
    </row>
    <row r="237" spans="2:27" x14ac:dyDescent="0.25">
      <c r="C237" s="75"/>
      <c r="D237" s="75"/>
      <c r="E237" t="s">
        <v>230</v>
      </c>
      <c r="G237" s="6" t="s">
        <v>54</v>
      </c>
      <c r="H237" s="273">
        <f t="array" ref="H237">SUM(IF(ISERROR(H18:Y232), 1))</f>
        <v>0</v>
      </c>
      <c r="J237" s="97"/>
      <c r="K237" s="97"/>
      <c r="L237" s="97"/>
      <c r="M237" s="97"/>
      <c r="N237" s="97"/>
      <c r="O237" s="97"/>
      <c r="P237" s="97"/>
      <c r="Q237" s="97"/>
      <c r="R237" s="97"/>
      <c r="S237" s="97"/>
      <c r="T237" s="97"/>
      <c r="U237" s="97"/>
      <c r="V237" s="97"/>
      <c r="W237" s="97"/>
      <c r="X237" s="97"/>
      <c r="Y237" s="97"/>
    </row>
    <row r="238" spans="2:27" x14ac:dyDescent="0.25">
      <c r="C238" s="75"/>
      <c r="D238" s="75"/>
      <c r="E238" s="75"/>
      <c r="J238" s="97"/>
      <c r="L238" s="97"/>
    </row>
    <row r="239" spans="2:27" x14ac:dyDescent="0.25">
      <c r="C239" s="75"/>
      <c r="D239" s="75"/>
      <c r="E239" t="s">
        <v>585</v>
      </c>
      <c r="G239" s="6" t="s">
        <v>54</v>
      </c>
      <c r="H239" s="273">
        <f>SUM(J239:Y239)</f>
        <v>0</v>
      </c>
      <c r="I239" s="274"/>
      <c r="J239" s="273">
        <f t="shared" ref="J239:K239" si="80">IF(ABS(IFERROR(SUM(J152:J231), 1)) &gt; 0, 0, 1)</f>
        <v>0</v>
      </c>
      <c r="K239" s="273">
        <f t="shared" si="80"/>
        <v>0</v>
      </c>
      <c r="L239" s="273">
        <f t="shared" ref="L239:M239" si="81">IF(ABS(IFERROR(SUM(L152:L231), 1)) &gt; 0, 0, 1)</f>
        <v>0</v>
      </c>
      <c r="M239" s="273">
        <f t="shared" si="81"/>
        <v>0</v>
      </c>
      <c r="N239" s="273">
        <f t="shared" ref="N239:P239" si="82">IF(ABS(IFERROR(SUM(N152:N231), 1)) &gt; 0, 0, 1)</f>
        <v>0</v>
      </c>
      <c r="O239" s="273">
        <f t="shared" si="82"/>
        <v>0</v>
      </c>
      <c r="P239" s="273">
        <f t="shared" si="82"/>
        <v>0</v>
      </c>
      <c r="Q239" s="273">
        <f t="shared" ref="Q239:S239" si="83">IF(ABS(IFERROR(SUM(Q152:Q231), 1)) &gt; 0, 0, 1)</f>
        <v>0</v>
      </c>
      <c r="R239" s="273">
        <f t="shared" si="83"/>
        <v>0</v>
      </c>
      <c r="S239" s="273">
        <f t="shared" si="83"/>
        <v>0</v>
      </c>
      <c r="T239" s="273">
        <f t="shared" ref="T239:U239" si="84">IF(ABS(IFERROR(SUM(T152:T231), 1)) &gt; 0, 0, 1)</f>
        <v>0</v>
      </c>
      <c r="U239" s="273">
        <f t="shared" si="84"/>
        <v>0</v>
      </c>
      <c r="V239" s="273">
        <f t="shared" ref="V239:W239" si="85">IF(ABS(IFERROR(SUM(V152:V231), 1)) &gt; 0, 0, 1)</f>
        <v>0</v>
      </c>
      <c r="W239" s="273">
        <f t="shared" si="85"/>
        <v>0</v>
      </c>
      <c r="X239" s="273">
        <f t="shared" ref="X239:Y239" si="86">IF(ABS(IFERROR(SUM(X152:X231), 1)) &gt; 0, 0, 1)</f>
        <v>0</v>
      </c>
      <c r="Y239" s="273">
        <f t="shared" si="86"/>
        <v>0</v>
      </c>
    </row>
    <row r="240" spans="2:27" x14ac:dyDescent="0.25">
      <c r="C240" s="75"/>
      <c r="D240" s="75"/>
      <c r="E240" s="75"/>
      <c r="J240" s="272"/>
      <c r="K240" s="62"/>
      <c r="L240" s="272"/>
      <c r="M240" s="62"/>
      <c r="N240" s="62"/>
      <c r="O240" s="62"/>
      <c r="P240" s="62"/>
      <c r="Q240" s="62"/>
      <c r="R240" s="62"/>
      <c r="S240" s="62"/>
      <c r="T240" s="62"/>
      <c r="U240" s="62"/>
      <c r="V240" s="62"/>
      <c r="W240" s="62"/>
      <c r="X240" s="62"/>
      <c r="Y240" s="62"/>
    </row>
    <row r="241" spans="2:27" x14ac:dyDescent="0.25">
      <c r="C241" s="75"/>
      <c r="D241" s="75"/>
      <c r="E241" t="s">
        <v>586</v>
      </c>
      <c r="G241" s="6" t="s">
        <v>54</v>
      </c>
      <c r="H241" s="113">
        <f>SUM(H239, H237)</f>
        <v>0</v>
      </c>
      <c r="J241" s="272"/>
      <c r="K241" s="62"/>
      <c r="L241" s="272"/>
      <c r="M241" s="62"/>
      <c r="N241" s="62"/>
      <c r="O241" s="62"/>
      <c r="P241" s="62"/>
      <c r="Q241" s="62"/>
      <c r="R241" s="62"/>
      <c r="S241" s="62"/>
      <c r="T241" s="62"/>
      <c r="U241" s="62"/>
      <c r="V241" s="62"/>
      <c r="W241" s="62"/>
      <c r="X241" s="62"/>
      <c r="Y241" s="62"/>
    </row>
    <row r="242" spans="2:27" x14ac:dyDescent="0.25">
      <c r="C242" s="75"/>
      <c r="D242" s="75"/>
      <c r="E242" s="75"/>
      <c r="J242" s="97"/>
      <c r="L242" s="97"/>
    </row>
    <row r="243" spans="2:27" x14ac:dyDescent="0.25">
      <c r="B243" s="85" t="s">
        <v>105</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H48 &amp; IF(H48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587</v>
      </c>
      <c r="D9"/>
      <c r="F9" s="86"/>
    </row>
    <row r="10" spans="1:27" x14ac:dyDescent="0.25">
      <c r="C10" s="86" t="s">
        <v>588</v>
      </c>
      <c r="D10"/>
      <c r="E10"/>
      <c r="F10" s="86"/>
    </row>
    <row r="11" spans="1:27" x14ac:dyDescent="0.25">
      <c r="C11" s="86" t="s">
        <v>589</v>
      </c>
    </row>
    <row r="13" spans="1:27" x14ac:dyDescent="0.25">
      <c r="B13" s="85" t="s">
        <v>590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C14" s="105"/>
    </row>
    <row r="15" spans="1:27" x14ac:dyDescent="0.25">
      <c r="B15" s="2"/>
      <c r="C15" s="86" t="s">
        <v>591</v>
      </c>
    </row>
    <row r="16" spans="1:27" x14ac:dyDescent="0.25">
      <c r="C16" s="105"/>
    </row>
    <row r="17" spans="2:27" x14ac:dyDescent="0.2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25">
      <c r="C18" s="105"/>
    </row>
    <row r="19" spans="2:27" x14ac:dyDescent="0.25">
      <c r="D19"/>
      <c r="E19" s="94" t="s">
        <v>523</v>
      </c>
      <c r="F19" s="94"/>
      <c r="G19" s="94" t="s">
        <v>165</v>
      </c>
      <c r="H19" s="242">
        <f>'Unit costs'!$H$121</f>
        <v>5.7006904129041573E-2</v>
      </c>
      <c r="I19" s="3"/>
      <c r="J19" s="3"/>
      <c r="K19" s="3"/>
      <c r="L19" s="3"/>
      <c r="M19" s="3"/>
      <c r="N19" s="3"/>
      <c r="P19" s="3"/>
    </row>
    <row r="20" spans="2:27" x14ac:dyDescent="0.25">
      <c r="C20" s="105"/>
      <c r="E20" t="s">
        <v>553</v>
      </c>
      <c r="G20" t="s">
        <v>313</v>
      </c>
      <c r="H20" s="167">
        <f>'Unit costs'!$H$122</f>
        <v>137682944.07248026</v>
      </c>
    </row>
    <row r="21" spans="2:27" x14ac:dyDescent="0.25">
      <c r="C21" s="105"/>
      <c r="E21" t="s">
        <v>592</v>
      </c>
      <c r="G21" t="s">
        <v>313</v>
      </c>
      <c r="H21" s="167">
        <f>'Unit costs'!$H$123</f>
        <v>7336264687.2869482</v>
      </c>
    </row>
    <row r="22" spans="2:27" x14ac:dyDescent="0.25">
      <c r="D22" s="105"/>
      <c r="E22"/>
    </row>
    <row r="23" spans="2:27" x14ac:dyDescent="0.25">
      <c r="D23"/>
      <c r="E23" s="75" t="s">
        <v>593</v>
      </c>
      <c r="H23" s="97"/>
      <c r="J23" s="97"/>
      <c r="K23" s="97"/>
      <c r="L23" s="97"/>
      <c r="M23" s="97"/>
      <c r="N23" s="97"/>
    </row>
    <row r="24" spans="2:27" x14ac:dyDescent="0.25">
      <c r="D24"/>
      <c r="E24" s="86" t="s">
        <v>594</v>
      </c>
      <c r="H24" s="97"/>
    </row>
    <row r="25" spans="2:27" x14ac:dyDescent="0.25">
      <c r="E25" s="105"/>
      <c r="F25" s="95" t="s">
        <v>332</v>
      </c>
      <c r="G25" s="95" t="s">
        <v>259</v>
      </c>
      <c r="H25" s="236"/>
      <c r="I25" s="95"/>
      <c r="J25" s="170">
        <f>'Inputs by customer type'!J187</f>
        <v>2494</v>
      </c>
      <c r="K25" s="170">
        <f>'Inputs by customer type'!K187</f>
        <v>0</v>
      </c>
      <c r="L25" s="170">
        <f>'Inputs by customer type'!L187</f>
        <v>2240</v>
      </c>
      <c r="M25" s="170">
        <f>'Inputs by customer type'!M187</f>
        <v>0</v>
      </c>
      <c r="N25" s="170">
        <f>'Inputs by customer type'!N187</f>
        <v>2965</v>
      </c>
      <c r="O25" s="170">
        <f>'Inputs by customer type'!O187</f>
        <v>2965</v>
      </c>
      <c r="P25" s="170">
        <f>'Inputs by customer type'!P187</f>
        <v>0</v>
      </c>
      <c r="Q25" s="117"/>
      <c r="R25" s="170">
        <f>'Inputs by customer type'!R187</f>
        <v>0</v>
      </c>
      <c r="S25" s="170">
        <f>'Inputs by customer type'!S187</f>
        <v>0</v>
      </c>
      <c r="T25" s="170">
        <f>'Inputs by customer type'!T187</f>
        <v>0</v>
      </c>
      <c r="U25" s="170">
        <f>'Inputs by customer type'!U187</f>
        <v>0</v>
      </c>
      <c r="V25" s="170">
        <f>'Inputs by customer type'!V187</f>
        <v>0</v>
      </c>
      <c r="W25" s="170">
        <f>'Inputs by customer type'!W187</f>
        <v>0</v>
      </c>
      <c r="X25" s="170">
        <f>'Inputs by customer type'!X187</f>
        <v>0</v>
      </c>
      <c r="Y25" s="170">
        <f>'Inputs by customer type'!Y187</f>
        <v>0</v>
      </c>
    </row>
    <row r="26" spans="2:27" x14ac:dyDescent="0.25">
      <c r="E26" s="105"/>
      <c r="F26" t="s">
        <v>333</v>
      </c>
      <c r="G26" t="s">
        <v>259</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61585</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13738.9272</v>
      </c>
      <c r="Y26" s="167">
        <f>'Inputs by customer type'!Y188</f>
        <v>13738.9272</v>
      </c>
    </row>
    <row r="27" spans="2:27" x14ac:dyDescent="0.25">
      <c r="E27" s="105"/>
      <c r="F27" s="96" t="s">
        <v>508</v>
      </c>
      <c r="G27" s="96" t="s">
        <v>262</v>
      </c>
      <c r="H27" s="96"/>
      <c r="I27" s="96"/>
      <c r="J27" s="121"/>
      <c r="K27" s="121"/>
      <c r="L27" s="121"/>
      <c r="M27" s="121"/>
      <c r="N27" s="121"/>
      <c r="O27" s="121"/>
      <c r="P27" s="121"/>
      <c r="Q27" s="171">
        <f>'Inputs by customer type'!Q190</f>
        <v>0</v>
      </c>
      <c r="R27" s="121"/>
      <c r="S27" s="121"/>
      <c r="T27" s="121"/>
      <c r="U27" s="121"/>
      <c r="V27" s="121"/>
      <c r="W27" s="121"/>
      <c r="X27" s="121"/>
      <c r="Y27" s="121"/>
    </row>
    <row r="28" spans="2:27" x14ac:dyDescent="0.25">
      <c r="D28" s="105"/>
      <c r="E28"/>
    </row>
    <row r="29" spans="2:27" x14ac:dyDescent="0.25">
      <c r="B29" s="85" t="s">
        <v>595</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25">
      <c r="C30" s="105"/>
    </row>
    <row r="31" spans="2:27" x14ac:dyDescent="0.25">
      <c r="C31" s="86" t="s">
        <v>596</v>
      </c>
    </row>
    <row r="32" spans="2:27" x14ac:dyDescent="0.25">
      <c r="C32" s="105"/>
    </row>
    <row r="33" spans="2:27" x14ac:dyDescent="0.2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25">
      <c r="C34" s="105"/>
    </row>
    <row r="35" spans="2:27" x14ac:dyDescent="0.25">
      <c r="D35"/>
      <c r="E35" t="s">
        <v>597</v>
      </c>
      <c r="G35" t="s">
        <v>275</v>
      </c>
      <c r="H35" s="168">
        <f>IF(H21 &lt;&gt; 0, H20  /H21, 0)</f>
        <v>1.8767445006594673E-2</v>
      </c>
      <c r="I35" t="s">
        <v>152</v>
      </c>
      <c r="J35" s="97"/>
      <c r="K35" s="97"/>
      <c r="L35" s="97"/>
      <c r="M35" s="97"/>
      <c r="N35" s="97"/>
      <c r="O35" s="97"/>
      <c r="P35" s="97"/>
      <c r="Q35" s="97"/>
      <c r="R35" s="97"/>
      <c r="S35" s="97"/>
      <c r="T35" s="97"/>
      <c r="U35" s="97"/>
      <c r="V35" s="97"/>
      <c r="W35" s="97"/>
      <c r="X35" s="97"/>
      <c r="Y35" s="97"/>
      <c r="AA35" t="s">
        <v>598</v>
      </c>
    </row>
    <row r="36" spans="2:27" x14ac:dyDescent="0.25">
      <c r="D36" s="105"/>
      <c r="E36"/>
      <c r="J36" s="97"/>
      <c r="K36" s="97"/>
      <c r="L36" s="97"/>
      <c r="M36" s="97"/>
      <c r="N36" s="97"/>
      <c r="O36" s="97"/>
      <c r="P36" s="97"/>
      <c r="Q36" s="97"/>
      <c r="R36" s="97"/>
      <c r="S36" s="97"/>
      <c r="T36" s="97"/>
      <c r="U36" s="97"/>
      <c r="V36" s="97"/>
      <c r="W36" s="97"/>
      <c r="X36" s="97"/>
      <c r="Y36" s="97"/>
    </row>
    <row r="37" spans="2:27" x14ac:dyDescent="0.2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25">
      <c r="C38" s="105"/>
    </row>
    <row r="39" spans="2:27" x14ac:dyDescent="0.25">
      <c r="D39"/>
      <c r="E39" s="86" t="s">
        <v>599</v>
      </c>
      <c r="H39" s="97"/>
      <c r="J39" s="97"/>
      <c r="K39" s="97"/>
      <c r="L39" s="97"/>
      <c r="M39" s="97"/>
      <c r="N39" s="97"/>
      <c r="O39" s="97"/>
      <c r="P39" s="97"/>
      <c r="Q39" s="97"/>
      <c r="R39" s="97"/>
      <c r="S39" s="97"/>
      <c r="T39" s="97"/>
      <c r="U39" s="97"/>
      <c r="V39" s="97"/>
      <c r="W39" s="97"/>
      <c r="X39" s="97"/>
      <c r="Y39" s="97"/>
    </row>
    <row r="40" spans="2:27" x14ac:dyDescent="0.25">
      <c r="D40"/>
      <c r="E40" s="86"/>
      <c r="H40" s="97"/>
      <c r="J40" s="97"/>
      <c r="K40" s="97"/>
      <c r="L40" s="97"/>
      <c r="M40" s="97"/>
      <c r="N40" s="97"/>
      <c r="O40" s="97"/>
      <c r="P40" s="97"/>
      <c r="Q40" s="97"/>
      <c r="R40" s="97"/>
      <c r="S40" s="97"/>
      <c r="T40" s="97"/>
      <c r="U40" s="97"/>
      <c r="V40" s="97"/>
      <c r="W40" s="97"/>
      <c r="X40" s="97"/>
      <c r="Y40" s="97"/>
    </row>
    <row r="41" spans="2:27" x14ac:dyDescent="0.25">
      <c r="D41"/>
      <c r="E41" s="75" t="s">
        <v>600</v>
      </c>
      <c r="H41" s="97"/>
      <c r="I41" t="s">
        <v>152</v>
      </c>
      <c r="J41" s="97"/>
      <c r="K41" s="97"/>
      <c r="L41" s="97"/>
      <c r="M41" s="97"/>
      <c r="N41" s="97"/>
      <c r="O41" s="97"/>
      <c r="P41" s="97"/>
      <c r="Q41" s="97"/>
      <c r="R41" s="97"/>
      <c r="S41" s="97"/>
      <c r="T41" s="97"/>
      <c r="U41" s="97"/>
      <c r="V41" s="97"/>
      <c r="W41" s="97"/>
      <c r="X41" s="97"/>
      <c r="Y41" s="97"/>
      <c r="AA41" t="s">
        <v>601</v>
      </c>
    </row>
    <row r="42" spans="2:27" x14ac:dyDescent="0.25">
      <c r="D42"/>
      <c r="E42" s="105"/>
      <c r="F42" s="95" t="s">
        <v>332</v>
      </c>
      <c r="G42" s="95" t="s">
        <v>268</v>
      </c>
      <c r="H42" s="236"/>
      <c r="I42" s="95"/>
      <c r="J42" s="149">
        <f t="shared" ref="J42:K42" si="0">J25 * $H$35 / days_in_year * hundred</f>
        <v>12.823563793547155</v>
      </c>
      <c r="K42" s="149">
        <f t="shared" si="0"/>
        <v>0</v>
      </c>
      <c r="L42" s="149">
        <f t="shared" ref="L42:M42" si="1">L25 * $H$35 / days_in_year * hundred</f>
        <v>11.517555291718375</v>
      </c>
      <c r="M42" s="149">
        <f t="shared" si="1"/>
        <v>0</v>
      </c>
      <c r="N42" s="149">
        <f t="shared" ref="N42:P42" si="2">N25 * $H$35 / days_in_year * hundred</f>
        <v>15.245335464261153</v>
      </c>
      <c r="O42" s="149">
        <f t="shared" si="2"/>
        <v>15.245335464261153</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25">
      <c r="D43"/>
      <c r="E43" s="105"/>
      <c r="F43" t="s">
        <v>333</v>
      </c>
      <c r="G43" t="s">
        <v>268</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316.6556440359268</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70.642345390577461</v>
      </c>
      <c r="Y43" s="151">
        <f t="shared" si="13"/>
        <v>70.642345390577461</v>
      </c>
    </row>
    <row r="44" spans="2:27" x14ac:dyDescent="0.25">
      <c r="D44"/>
      <c r="E44" s="105"/>
      <c r="F44" s="96" t="s">
        <v>508</v>
      </c>
      <c r="G44" s="96" t="s">
        <v>267</v>
      </c>
      <c r="H44" s="269"/>
      <c r="I44" s="269"/>
      <c r="J44" s="275"/>
      <c r="K44" s="275"/>
      <c r="L44" s="275"/>
      <c r="M44" s="275"/>
      <c r="N44" s="275"/>
      <c r="O44" s="275"/>
      <c r="P44" s="275"/>
      <c r="Q44" s="276">
        <f t="shared" ref="Q44" si="14">Q27*$H$35/ten</f>
        <v>0</v>
      </c>
      <c r="R44" s="275"/>
      <c r="S44" s="275"/>
      <c r="T44" s="275"/>
      <c r="U44" s="275"/>
      <c r="V44" s="275"/>
      <c r="W44" s="275"/>
      <c r="X44" s="275"/>
      <c r="Y44" s="275"/>
      <c r="Z44" s="267"/>
      <c r="AA44" s="267"/>
    </row>
    <row r="45" spans="2:27" x14ac:dyDescent="0.25">
      <c r="D45" s="105"/>
      <c r="E45"/>
    </row>
    <row r="46" spans="2:27" x14ac:dyDescent="0.25">
      <c r="B46" s="85" t="s">
        <v>229</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25">
      <c r="E48" t="s">
        <v>230</v>
      </c>
      <c r="G48" s="6" t="s">
        <v>54</v>
      </c>
      <c r="H48" s="113">
        <f t="array" ref="H48">SUM(IF(ISERROR(H19:Y45), 1))</f>
        <v>0</v>
      </c>
    </row>
    <row r="50" spans="2:27" x14ac:dyDescent="0.25">
      <c r="B50" s="85" t="s">
        <v>105</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H223 &amp; IF(H223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602</v>
      </c>
      <c r="D9"/>
    </row>
    <row r="10" spans="1:27" x14ac:dyDescent="0.25">
      <c r="C10" s="86" t="s">
        <v>603</v>
      </c>
      <c r="D10"/>
      <c r="E10"/>
    </row>
    <row r="11" spans="1:27" x14ac:dyDescent="0.25">
      <c r="C11" s="86" t="s">
        <v>604</v>
      </c>
      <c r="D11"/>
      <c r="E11"/>
    </row>
    <row r="12" spans="1:27" x14ac:dyDescent="0.25">
      <c r="C12" s="86" t="s">
        <v>605</v>
      </c>
    </row>
    <row r="13" spans="1:27" x14ac:dyDescent="0.25">
      <c r="C13" s="86" t="s">
        <v>606</v>
      </c>
      <c r="D13"/>
    </row>
    <row r="15" spans="1:27" x14ac:dyDescent="0.25">
      <c r="B15" s="85" t="s">
        <v>607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25">
      <c r="C17" s="86" t="s">
        <v>608</v>
      </c>
    </row>
    <row r="19" spans="3:27" x14ac:dyDescent="0.2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25">
      <c r="C20" s="75"/>
      <c r="D20"/>
      <c r="E20" s="75"/>
    </row>
    <row r="21" spans="3:27" x14ac:dyDescent="0.25">
      <c r="D21"/>
      <c r="E21" s="75" t="s">
        <v>576</v>
      </c>
    </row>
    <row r="22" spans="3:27" x14ac:dyDescent="0.25">
      <c r="D22"/>
      <c r="F22" s="95" t="s">
        <v>187</v>
      </c>
      <c r="G22" s="95" t="s">
        <v>267</v>
      </c>
      <c r="H22" s="265"/>
      <c r="I22" s="265"/>
      <c r="J22" s="277">
        <f>'Initial unit rates'!J152</f>
        <v>0</v>
      </c>
      <c r="K22" s="277">
        <f>'Initial unit rates'!K152</f>
        <v>0</v>
      </c>
      <c r="L22" s="277">
        <f>'Initial unit rates'!L152</f>
        <v>0</v>
      </c>
      <c r="M22" s="277">
        <f>'Initial unit rates'!M152</f>
        <v>0</v>
      </c>
      <c r="N22" s="277">
        <f>'Initial unit rates'!N152</f>
        <v>0</v>
      </c>
      <c r="O22" s="277">
        <f>'Initial unit rates'!O152</f>
        <v>0</v>
      </c>
      <c r="P22" s="277">
        <f>'Initial unit rates'!P152</f>
        <v>0</v>
      </c>
      <c r="Q22" s="277">
        <f>'Initial unit rates'!Q152</f>
        <v>0</v>
      </c>
      <c r="R22" s="277">
        <f>'Initial unit rates'!R152</f>
        <v>0</v>
      </c>
      <c r="S22" s="277">
        <f>'Initial unit rates'!S152</f>
        <v>0</v>
      </c>
      <c r="T22" s="277">
        <f>'Initial unit rates'!T152</f>
        <v>0</v>
      </c>
      <c r="U22" s="277">
        <f>'Initial unit rates'!U152</f>
        <v>0</v>
      </c>
      <c r="V22" s="277">
        <f>'Initial unit rates'!V152</f>
        <v>0</v>
      </c>
      <c r="W22" s="277">
        <f>'Initial unit rates'!W152</f>
        <v>0</v>
      </c>
      <c r="X22" s="277">
        <f>'Initial unit rates'!X152</f>
        <v>0</v>
      </c>
      <c r="Y22" s="277">
        <f>'Initial unit rates'!Y152</f>
        <v>0</v>
      </c>
      <c r="Z22" s="267"/>
      <c r="AA22" s="267"/>
    </row>
    <row r="23" spans="3:27" x14ac:dyDescent="0.25">
      <c r="D23"/>
      <c r="F23" t="s">
        <v>189</v>
      </c>
      <c r="G23" t="s">
        <v>267</v>
      </c>
      <c r="H23" s="267"/>
      <c r="I23" s="267"/>
      <c r="J23" s="278">
        <f>'Initial unit rates'!J153</f>
        <v>0</v>
      </c>
      <c r="K23" s="278">
        <f>'Initial unit rates'!K153</f>
        <v>0</v>
      </c>
      <c r="L23" s="278">
        <f>'Initial unit rates'!L153</f>
        <v>0</v>
      </c>
      <c r="M23" s="278">
        <f>'Initial unit rates'!M153</f>
        <v>0</v>
      </c>
      <c r="N23" s="278">
        <f>'Initial unit rates'!N153</f>
        <v>0</v>
      </c>
      <c r="O23" s="278">
        <f>'Initial unit rates'!O153</f>
        <v>0</v>
      </c>
      <c r="P23" s="278">
        <f>'Initial unit rates'!P153</f>
        <v>0</v>
      </c>
      <c r="Q23" s="278">
        <f>'Initial unit rates'!Q153</f>
        <v>0</v>
      </c>
      <c r="R23" s="278">
        <f>'Initial unit rates'!R153</f>
        <v>0</v>
      </c>
      <c r="S23" s="278">
        <f>'Initial unit rates'!S153</f>
        <v>0</v>
      </c>
      <c r="T23" s="278">
        <f>'Initial unit rates'!T153</f>
        <v>0</v>
      </c>
      <c r="U23" s="278">
        <f>'Initial unit rates'!U153</f>
        <v>0</v>
      </c>
      <c r="V23" s="278">
        <f>'Initial unit rates'!V153</f>
        <v>0</v>
      </c>
      <c r="W23" s="278">
        <f>'Initial unit rates'!W153</f>
        <v>0</v>
      </c>
      <c r="X23" s="278">
        <f>'Initial unit rates'!X153</f>
        <v>0</v>
      </c>
      <c r="Y23" s="278">
        <f>'Initial unit rates'!Y153</f>
        <v>0</v>
      </c>
      <c r="Z23" s="267"/>
      <c r="AA23" s="267"/>
    </row>
    <row r="24" spans="3:27" x14ac:dyDescent="0.25">
      <c r="D24"/>
      <c r="F24" t="s">
        <v>190</v>
      </c>
      <c r="G24" t="s">
        <v>267</v>
      </c>
      <c r="H24" s="267"/>
      <c r="I24" s="267"/>
      <c r="J24" s="278">
        <f>'Initial unit rates'!J154</f>
        <v>0.92923861923036977</v>
      </c>
      <c r="K24" s="278">
        <f>'Initial unit rates'!K154</f>
        <v>0.92923861923036977</v>
      </c>
      <c r="L24" s="278">
        <f>'Initial unit rates'!L154</f>
        <v>1.0601588015543728</v>
      </c>
      <c r="M24" s="278">
        <f>'Initial unit rates'!M154</f>
        <v>1.0601588015543728</v>
      </c>
      <c r="N24" s="278">
        <f>'Initial unit rates'!N154</f>
        <v>0.85683422944034404</v>
      </c>
      <c r="O24" s="278">
        <f>'Initial unit rates'!O154</f>
        <v>0.70897506208947059</v>
      </c>
      <c r="P24" s="278">
        <f>'Initial unit rates'!P154</f>
        <v>0.66329638597709284</v>
      </c>
      <c r="Q24" s="278">
        <f>'Initial unit rates'!Q154</f>
        <v>2.3826777477498724</v>
      </c>
      <c r="R24" s="278">
        <f>'Initial unit rates'!R154</f>
        <v>-0.63956315647186257</v>
      </c>
      <c r="S24" s="278">
        <f>'Initial unit rates'!S154</f>
        <v>-0.60358047434731132</v>
      </c>
      <c r="T24" s="278">
        <f>'Initial unit rates'!T154</f>
        <v>-0.63956315647186257</v>
      </c>
      <c r="U24" s="278">
        <f>'Initial unit rates'!U154</f>
        <v>-0.63956315647186257</v>
      </c>
      <c r="V24" s="278">
        <f>'Initial unit rates'!V154</f>
        <v>-0.60358047434731132</v>
      </c>
      <c r="W24" s="278">
        <f>'Initial unit rates'!W154</f>
        <v>-0.60358047434731132</v>
      </c>
      <c r="X24" s="278">
        <f>'Initial unit rates'!X154</f>
        <v>-0.5942946208958142</v>
      </c>
      <c r="Y24" s="278">
        <f>'Initial unit rates'!Y154</f>
        <v>-0.5942946208958142</v>
      </c>
      <c r="Z24" s="267"/>
      <c r="AA24" s="267"/>
    </row>
    <row r="25" spans="3:27" x14ac:dyDescent="0.25">
      <c r="D25"/>
      <c r="F25" t="s">
        <v>191</v>
      </c>
      <c r="G25" t="s">
        <v>267</v>
      </c>
      <c r="H25" s="267"/>
      <c r="I25" s="267"/>
      <c r="J25" s="278">
        <f>'Initial unit rates'!J155</f>
        <v>0.57558445833875127</v>
      </c>
      <c r="K25" s="278">
        <f>'Initial unit rates'!K155</f>
        <v>0.57558445833875127</v>
      </c>
      <c r="L25" s="278">
        <f>'Initial unit rates'!L155</f>
        <v>0.6566783998400032</v>
      </c>
      <c r="M25" s="278">
        <f>'Initial unit rates'!M155</f>
        <v>0.6566783998400032</v>
      </c>
      <c r="N25" s="278">
        <f>'Initial unit rates'!N155</f>
        <v>0.53073608396408689</v>
      </c>
      <c r="O25" s="278">
        <f>'Initial unit rates'!O155</f>
        <v>0.43914987888302942</v>
      </c>
      <c r="P25" s="278">
        <f>'Initial unit rates'!P155</f>
        <v>0.41085581586878434</v>
      </c>
      <c r="Q25" s="278">
        <f>'Initial unit rates'!Q155</f>
        <v>1.475866642273518</v>
      </c>
      <c r="R25" s="278">
        <f>'Initial unit rates'!R155</f>
        <v>-0.39615509447527258</v>
      </c>
      <c r="S25" s="278">
        <f>'Initial unit rates'!S155</f>
        <v>-0.37386687681876901</v>
      </c>
      <c r="T25" s="278">
        <f>'Initial unit rates'!T155</f>
        <v>-0.39615509447527258</v>
      </c>
      <c r="U25" s="278">
        <f>'Initial unit rates'!U155</f>
        <v>-0.39615509447527258</v>
      </c>
      <c r="V25" s="278">
        <f>'Initial unit rates'!V155</f>
        <v>-0.37386687681876901</v>
      </c>
      <c r="W25" s="278">
        <f>'Initial unit rates'!W155</f>
        <v>-0.37386687681876901</v>
      </c>
      <c r="X25" s="278">
        <f>'Initial unit rates'!X155</f>
        <v>-0.3681150787138649</v>
      </c>
      <c r="Y25" s="278">
        <f>'Initial unit rates'!Y155</f>
        <v>-0.3681150787138649</v>
      </c>
      <c r="Z25" s="267"/>
      <c r="AA25" s="267"/>
    </row>
    <row r="26" spans="3:27" x14ac:dyDescent="0.25">
      <c r="D26"/>
      <c r="F26" t="s">
        <v>192</v>
      </c>
      <c r="G26" t="s">
        <v>267</v>
      </c>
      <c r="H26" s="267"/>
      <c r="I26" s="267"/>
      <c r="J26" s="278">
        <f>'Initial unit rates'!J156</f>
        <v>1.6920581189106119</v>
      </c>
      <c r="K26" s="278">
        <f>'Initial unit rates'!K156</f>
        <v>1.6920581189106119</v>
      </c>
      <c r="L26" s="278">
        <f>'Initial unit rates'!L156</f>
        <v>1.9304517379942243</v>
      </c>
      <c r="M26" s="278">
        <f>'Initial unit rates'!M156</f>
        <v>1.9304517379942243</v>
      </c>
      <c r="N26" s="278">
        <f>'Initial unit rates'!N156</f>
        <v>1.5602163798205479</v>
      </c>
      <c r="O26" s="278">
        <f>'Initial unit rates'!O156</f>
        <v>1.2909784258721613</v>
      </c>
      <c r="P26" s="278">
        <f>'Initial unit rates'!P156</f>
        <v>1.2078017550176374</v>
      </c>
      <c r="Q26" s="278">
        <f>'Initial unit rates'!Q156</f>
        <v>4.1385671551061716</v>
      </c>
      <c r="R26" s="278">
        <f>'Initial unit rates'!R156</f>
        <v>-1.1645857254196059</v>
      </c>
      <c r="S26" s="278">
        <f>'Initial unit rates'!S156</f>
        <v>-1.0990645684540743</v>
      </c>
      <c r="T26" s="278">
        <f>'Initial unit rates'!T156</f>
        <v>-1.1645857254196059</v>
      </c>
      <c r="U26" s="278">
        <f>'Initial unit rates'!U156</f>
        <v>-1.1645857254196059</v>
      </c>
      <c r="V26" s="278">
        <f>'Initial unit rates'!V156</f>
        <v>-1.0990645684540743</v>
      </c>
      <c r="W26" s="278">
        <f>'Initial unit rates'!W156</f>
        <v>-1.0990645684540743</v>
      </c>
      <c r="X26" s="278">
        <f>'Initial unit rates'!X156</f>
        <v>-1.0821558827855502</v>
      </c>
      <c r="Y26" s="278">
        <f>'Initial unit rates'!Y156</f>
        <v>-1.0821558827855502</v>
      </c>
      <c r="Z26" s="267"/>
      <c r="AA26" s="267"/>
    </row>
    <row r="27" spans="3:27" x14ac:dyDescent="0.25">
      <c r="D27"/>
      <c r="F27" t="s">
        <v>193</v>
      </c>
      <c r="G27" t="s">
        <v>267</v>
      </c>
      <c r="H27" s="267"/>
      <c r="I27" s="267"/>
      <c r="J27" s="278">
        <f>'Initial unit rates'!J157</f>
        <v>0.64386993540986337</v>
      </c>
      <c r="K27" s="278">
        <f>'Initial unit rates'!K157</f>
        <v>0.64386993540986337</v>
      </c>
      <c r="L27" s="278">
        <f>'Initial unit rates'!L157</f>
        <v>0.73458459964392209</v>
      </c>
      <c r="M27" s="278">
        <f>'Initial unit rates'!M157</f>
        <v>0.73458459964392209</v>
      </c>
      <c r="N27" s="278">
        <f>'Initial unit rates'!N157</f>
        <v>0.59370089506573076</v>
      </c>
      <c r="O27" s="278">
        <f>'Initial unit rates'!O157</f>
        <v>0.49124919906238007</v>
      </c>
      <c r="P27" s="278">
        <f>'Initial unit rates'!P157</f>
        <v>0.45959841999505729</v>
      </c>
      <c r="Q27" s="278">
        <f>'Initial unit rates'!Q157</f>
        <v>1.5748270919696248</v>
      </c>
      <c r="R27" s="278">
        <f>'Initial unit rates'!R157</f>
        <v>-0.44315365259908257</v>
      </c>
      <c r="S27" s="278">
        <f>'Initial unit rates'!S157</f>
        <v>-0.41822123294287289</v>
      </c>
      <c r="T27" s="278">
        <f>'Initial unit rates'!T157</f>
        <v>-0.44315365259908257</v>
      </c>
      <c r="U27" s="278">
        <f>'Initial unit rates'!U157</f>
        <v>-0.44315365259908257</v>
      </c>
      <c r="V27" s="278">
        <f>'Initial unit rates'!V157</f>
        <v>-0.41822123294287289</v>
      </c>
      <c r="W27" s="278">
        <f>'Initial unit rates'!W157</f>
        <v>-0.41822123294287289</v>
      </c>
      <c r="X27" s="278">
        <f>'Initial unit rates'!X157</f>
        <v>-0.41178706012836724</v>
      </c>
      <c r="Y27" s="278">
        <f>'Initial unit rates'!Y157</f>
        <v>-0.41178706012836724</v>
      </c>
      <c r="Z27" s="267"/>
      <c r="AA27" s="267"/>
    </row>
    <row r="28" spans="3:27" x14ac:dyDescent="0.25">
      <c r="D28"/>
      <c r="F28" t="s">
        <v>194</v>
      </c>
      <c r="G28" t="s">
        <v>267</v>
      </c>
      <c r="H28" s="267"/>
      <c r="I28" s="267"/>
      <c r="J28" s="278">
        <f>'Initial unit rates'!J158</f>
        <v>0</v>
      </c>
      <c r="K28" s="278">
        <f>'Initial unit rates'!K158</f>
        <v>0</v>
      </c>
      <c r="L28" s="278">
        <f>'Initial unit rates'!L158</f>
        <v>0</v>
      </c>
      <c r="M28" s="278">
        <f>'Initial unit rates'!M158</f>
        <v>0</v>
      </c>
      <c r="N28" s="278">
        <f>'Initial unit rates'!N158</f>
        <v>0</v>
      </c>
      <c r="O28" s="278">
        <f>'Initial unit rates'!O158</f>
        <v>0</v>
      </c>
      <c r="P28" s="278">
        <f>'Initial unit rates'!P158</f>
        <v>0</v>
      </c>
      <c r="Q28" s="278">
        <f>'Initial unit rates'!Q158</f>
        <v>0</v>
      </c>
      <c r="R28" s="278">
        <f>'Initial unit rates'!R158</f>
        <v>0</v>
      </c>
      <c r="S28" s="278">
        <f>'Initial unit rates'!S158</f>
        <v>0</v>
      </c>
      <c r="T28" s="278">
        <f>'Initial unit rates'!T158</f>
        <v>0</v>
      </c>
      <c r="U28" s="278">
        <f>'Initial unit rates'!U158</f>
        <v>0</v>
      </c>
      <c r="V28" s="278">
        <f>'Initial unit rates'!V158</f>
        <v>0</v>
      </c>
      <c r="W28" s="278">
        <f>'Initial unit rates'!W158</f>
        <v>0</v>
      </c>
      <c r="X28" s="278">
        <f>'Initial unit rates'!X158</f>
        <v>0</v>
      </c>
      <c r="Y28" s="278">
        <f>'Initial unit rates'!Y158</f>
        <v>0</v>
      </c>
      <c r="Z28" s="267"/>
      <c r="AA28" s="267"/>
    </row>
    <row r="29" spans="3:27" x14ac:dyDescent="0.25">
      <c r="D29"/>
      <c r="F29" t="s">
        <v>195</v>
      </c>
      <c r="G29" t="s">
        <v>267</v>
      </c>
      <c r="H29" s="267"/>
      <c r="I29" s="267"/>
      <c r="J29" s="278">
        <f>'Initial unit rates'!J159</f>
        <v>2.9799531123180216</v>
      </c>
      <c r="K29" s="278">
        <f>'Initial unit rates'!K159</f>
        <v>2.9799531123180216</v>
      </c>
      <c r="L29" s="278">
        <f>'Initial unit rates'!L159</f>
        <v>3.3997979150499402</v>
      </c>
      <c r="M29" s="278">
        <f>'Initial unit rates'!M159</f>
        <v>3.3997979150499402</v>
      </c>
      <c r="N29" s="278">
        <f>'Initial unit rates'!N159</f>
        <v>2.7477612057020693</v>
      </c>
      <c r="O29" s="278">
        <f>'Initial unit rates'!O159</f>
        <v>2.2735951768547964</v>
      </c>
      <c r="P29" s="278">
        <f>'Initial unit rates'!P159</f>
        <v>2.1271093224890079</v>
      </c>
      <c r="Q29" s="278">
        <f>'Initial unit rates'!Q159</f>
        <v>7.2886007499174381</v>
      </c>
      <c r="R29" s="278">
        <f>'Initial unit rates'!R159</f>
        <v>-2.0509997961888153</v>
      </c>
      <c r="S29" s="278">
        <f>'Initial unit rates'!S159</f>
        <v>-1.9356077931364497</v>
      </c>
      <c r="T29" s="278">
        <f>'Initial unit rates'!T159</f>
        <v>-2.0509997961888153</v>
      </c>
      <c r="U29" s="278">
        <f>'Initial unit rates'!U159</f>
        <v>-2.0509997961888153</v>
      </c>
      <c r="V29" s="278">
        <f>'Initial unit rates'!V159</f>
        <v>-1.9356077931364497</v>
      </c>
      <c r="W29" s="278">
        <f>'Initial unit rates'!W159</f>
        <v>-1.9356077931364497</v>
      </c>
      <c r="X29" s="278">
        <f>'Initial unit rates'!X159</f>
        <v>0</v>
      </c>
      <c r="Y29" s="278">
        <f>'Initial unit rates'!Y159</f>
        <v>0</v>
      </c>
      <c r="Z29" s="267"/>
      <c r="AA29" s="267"/>
    </row>
    <row r="30" spans="3:27" x14ac:dyDescent="0.25">
      <c r="D30"/>
      <c r="F30" t="s">
        <v>196</v>
      </c>
      <c r="G30" t="s">
        <v>267</v>
      </c>
      <c r="H30" s="267"/>
      <c r="I30" s="267"/>
      <c r="J30" s="278">
        <f>'Initial unit rates'!J160</f>
        <v>0.90632540444371745</v>
      </c>
      <c r="K30" s="278">
        <f>'Initial unit rates'!K160</f>
        <v>0.90632540444371745</v>
      </c>
      <c r="L30" s="278">
        <f>'Initial unit rates'!L160</f>
        <v>1.0340173500205412</v>
      </c>
      <c r="M30" s="278">
        <f>'Initial unit rates'!M160</f>
        <v>1.0340173500205412</v>
      </c>
      <c r="N30" s="278">
        <f>'Initial unit rates'!N160</f>
        <v>0.8357063659083882</v>
      </c>
      <c r="O30" s="278">
        <f>'Initial unit rates'!O160</f>
        <v>0.69149311768912802</v>
      </c>
      <c r="P30" s="278">
        <f>'Initial unit rates'!P160</f>
        <v>0</v>
      </c>
      <c r="Q30" s="278">
        <f>'Initial unit rates'!Q160</f>
        <v>2.2167610608340089</v>
      </c>
      <c r="R30" s="278">
        <f>'Initial unit rates'!R160</f>
        <v>-0.62379277449397352</v>
      </c>
      <c r="S30" s="278">
        <f>'Initial unit rates'!S160</f>
        <v>0</v>
      </c>
      <c r="T30" s="278">
        <f>'Initial unit rates'!T160</f>
        <v>-0.62379277449397352</v>
      </c>
      <c r="U30" s="278">
        <f>'Initial unit rates'!U160</f>
        <v>-0.62379277449397352</v>
      </c>
      <c r="V30" s="278">
        <f>'Initial unit rates'!V160</f>
        <v>0</v>
      </c>
      <c r="W30" s="278">
        <f>'Initial unit rates'!W160</f>
        <v>0</v>
      </c>
      <c r="X30" s="278">
        <f>'Initial unit rates'!X160</f>
        <v>0</v>
      </c>
      <c r="Y30" s="278">
        <f>'Initial unit rates'!Y160</f>
        <v>0</v>
      </c>
      <c r="Z30" s="267"/>
      <c r="AA30" s="267"/>
    </row>
    <row r="31" spans="3:27" x14ac:dyDescent="0.25">
      <c r="D31"/>
      <c r="F31" t="s">
        <v>197</v>
      </c>
      <c r="G31" t="s">
        <v>267</v>
      </c>
      <c r="H31" s="267"/>
      <c r="I31" s="267"/>
      <c r="J31" s="278">
        <f>'Initial unit rates'!J161</f>
        <v>1.6940582059396119</v>
      </c>
      <c r="K31" s="278">
        <f>'Initial unit rates'!K161</f>
        <v>1.6940582059396119</v>
      </c>
      <c r="L31" s="278">
        <f>'Initial unit rates'!L161</f>
        <v>1.9327336167536604</v>
      </c>
      <c r="M31" s="278">
        <f>'Initial unit rates'!M161</f>
        <v>1.9327336167536604</v>
      </c>
      <c r="N31" s="278">
        <f>'Initial unit rates'!N161</f>
        <v>1.5620606241221098</v>
      </c>
      <c r="O31" s="278">
        <f>'Initial unit rates'!O161</f>
        <v>0</v>
      </c>
      <c r="P31" s="278">
        <f>'Initial unit rates'!P161</f>
        <v>0</v>
      </c>
      <c r="Q31" s="278">
        <f>'Initial unit rates'!Q161</f>
        <v>4.1434591232915796</v>
      </c>
      <c r="R31" s="278">
        <f>'Initial unit rates'!R161</f>
        <v>0</v>
      </c>
      <c r="S31" s="278">
        <f>'Initial unit rates'!S161</f>
        <v>0</v>
      </c>
      <c r="T31" s="278">
        <f>'Initial unit rates'!T161</f>
        <v>0</v>
      </c>
      <c r="U31" s="278">
        <f>'Initial unit rates'!U161</f>
        <v>0</v>
      </c>
      <c r="V31" s="278">
        <f>'Initial unit rates'!V161</f>
        <v>0</v>
      </c>
      <c r="W31" s="278">
        <f>'Initial unit rates'!W161</f>
        <v>0</v>
      </c>
      <c r="X31" s="278">
        <f>'Initial unit rates'!X161</f>
        <v>0</v>
      </c>
      <c r="Y31" s="278">
        <f>'Initial unit rates'!Y161</f>
        <v>0</v>
      </c>
      <c r="Z31" s="267"/>
      <c r="AA31" s="267"/>
    </row>
    <row r="32" spans="3:27" x14ac:dyDescent="0.25">
      <c r="D32"/>
      <c r="F32" s="95" t="s">
        <v>332</v>
      </c>
      <c r="G32" s="95" t="s">
        <v>267</v>
      </c>
      <c r="H32" s="265"/>
      <c r="I32" s="265"/>
      <c r="J32" s="279"/>
      <c r="K32" s="279"/>
      <c r="L32" s="279"/>
      <c r="M32" s="279"/>
      <c r="N32" s="279"/>
      <c r="O32" s="279"/>
      <c r="P32" s="279"/>
      <c r="Q32" s="279"/>
      <c r="R32" s="279"/>
      <c r="S32" s="279"/>
      <c r="T32" s="279"/>
      <c r="U32" s="279"/>
      <c r="V32" s="279"/>
      <c r="W32" s="279"/>
      <c r="X32" s="279"/>
      <c r="Y32" s="279"/>
      <c r="Z32" s="267"/>
      <c r="AA32" s="267"/>
    </row>
    <row r="33" spans="4:27" x14ac:dyDescent="0.25">
      <c r="D33"/>
      <c r="F33" s="96" t="s">
        <v>333</v>
      </c>
      <c r="G33" s="96" t="s">
        <v>267</v>
      </c>
      <c r="H33" s="269"/>
      <c r="I33" s="269"/>
      <c r="J33" s="275"/>
      <c r="K33" s="275"/>
      <c r="L33" s="275"/>
      <c r="M33" s="275"/>
      <c r="N33" s="275"/>
      <c r="O33" s="275"/>
      <c r="P33" s="275"/>
      <c r="Q33" s="275"/>
      <c r="R33" s="275"/>
      <c r="S33" s="275"/>
      <c r="T33" s="275"/>
      <c r="U33" s="275"/>
      <c r="V33" s="275"/>
      <c r="W33" s="275"/>
      <c r="X33" s="275"/>
      <c r="Y33" s="275"/>
      <c r="Z33" s="267"/>
      <c r="AA33" s="267"/>
    </row>
    <row r="34" spans="4:27" x14ac:dyDescent="0.25">
      <c r="D34"/>
      <c r="J34" s="106"/>
      <c r="K34" s="106"/>
      <c r="L34" s="106"/>
      <c r="M34" s="106"/>
      <c r="N34" s="106"/>
      <c r="O34" s="106"/>
      <c r="P34" s="106"/>
      <c r="Q34" s="106"/>
      <c r="R34" s="106"/>
      <c r="S34" s="106"/>
      <c r="T34" s="106"/>
      <c r="U34" s="106"/>
      <c r="V34" s="106"/>
      <c r="W34" s="106"/>
      <c r="X34" s="106"/>
      <c r="Y34" s="106"/>
    </row>
    <row r="35" spans="4:27" x14ac:dyDescent="0.25">
      <c r="D35"/>
      <c r="E35" s="75" t="s">
        <v>577</v>
      </c>
      <c r="J35" s="106"/>
      <c r="K35" s="106"/>
      <c r="L35" s="106"/>
      <c r="M35" s="106"/>
      <c r="N35" s="106"/>
      <c r="O35" s="106"/>
      <c r="P35" s="106"/>
      <c r="Q35" s="106"/>
      <c r="R35" s="106"/>
      <c r="S35" s="106"/>
      <c r="T35" s="106"/>
      <c r="U35" s="106"/>
      <c r="V35" s="106"/>
      <c r="W35" s="106"/>
      <c r="X35" s="106"/>
      <c r="Y35" s="106"/>
    </row>
    <row r="36" spans="4:27" x14ac:dyDescent="0.25">
      <c r="D36"/>
      <c r="F36" s="95" t="s">
        <v>187</v>
      </c>
      <c r="G36" s="95" t="s">
        <v>267</v>
      </c>
      <c r="H36" s="265"/>
      <c r="I36" s="265"/>
      <c r="J36" s="277">
        <f>'Initial unit rates'!J164</f>
        <v>0.96825387035645483</v>
      </c>
      <c r="K36" s="277">
        <f>'Initial unit rates'!K164</f>
        <v>0.96825387035645483</v>
      </c>
      <c r="L36" s="277">
        <f>'Initial unit rates'!L164</f>
        <v>1.1046709010519498</v>
      </c>
      <c r="M36" s="277">
        <f>'Initial unit rates'!M164</f>
        <v>1.1046709010519498</v>
      </c>
      <c r="N36" s="277">
        <f>'Initial unit rates'!N164</f>
        <v>0.89280949127645703</v>
      </c>
      <c r="O36" s="277">
        <f>'Initial unit rates'!O164</f>
        <v>0.73874227098190992</v>
      </c>
      <c r="P36" s="277">
        <f>'Initial unit rates'!P164</f>
        <v>0.69114571825232096</v>
      </c>
      <c r="Q36" s="277">
        <f>'Initial unit rates'!Q164</f>
        <v>2.3641846543740601</v>
      </c>
      <c r="R36" s="277">
        <f>'Initial unit rates'!R164</f>
        <v>-0.66641601928271754</v>
      </c>
      <c r="S36" s="277">
        <f>'Initial unit rates'!S164</f>
        <v>-0.62892255903269156</v>
      </c>
      <c r="T36" s="277">
        <f>'Initial unit rates'!T164</f>
        <v>-0.66641601928271754</v>
      </c>
      <c r="U36" s="277">
        <f>'Initial unit rates'!U164</f>
        <v>-0.66641601928271754</v>
      </c>
      <c r="V36" s="277">
        <f>'Initial unit rates'!V164</f>
        <v>-0.62892255903269156</v>
      </c>
      <c r="W36" s="277">
        <f>'Initial unit rates'!W164</f>
        <v>-0.62892255903269156</v>
      </c>
      <c r="X36" s="277">
        <f>'Initial unit rates'!X164</f>
        <v>-0.61924682735526559</v>
      </c>
      <c r="Y36" s="277">
        <f>'Initial unit rates'!Y164</f>
        <v>-0.61924682735526559</v>
      </c>
      <c r="Z36" s="267"/>
      <c r="AA36" s="267"/>
    </row>
    <row r="37" spans="4:27" x14ac:dyDescent="0.25">
      <c r="D37"/>
      <c r="F37" t="s">
        <v>189</v>
      </c>
      <c r="G37" t="s">
        <v>267</v>
      </c>
      <c r="H37" s="267"/>
      <c r="I37" s="267"/>
      <c r="J37" s="278">
        <f>'Initial unit rates'!J165</f>
        <v>0</v>
      </c>
      <c r="K37" s="278">
        <f>'Initial unit rates'!K165</f>
        <v>0</v>
      </c>
      <c r="L37" s="278">
        <f>'Initial unit rates'!L165</f>
        <v>0</v>
      </c>
      <c r="M37" s="278">
        <f>'Initial unit rates'!M165</f>
        <v>0</v>
      </c>
      <c r="N37" s="278">
        <f>'Initial unit rates'!N165</f>
        <v>0</v>
      </c>
      <c r="O37" s="278">
        <f>'Initial unit rates'!O165</f>
        <v>0</v>
      </c>
      <c r="P37" s="278">
        <f>'Initial unit rates'!P165</f>
        <v>0</v>
      </c>
      <c r="Q37" s="278">
        <f>'Initial unit rates'!Q165</f>
        <v>0</v>
      </c>
      <c r="R37" s="278">
        <f>'Initial unit rates'!R165</f>
        <v>0</v>
      </c>
      <c r="S37" s="278">
        <f>'Initial unit rates'!S165</f>
        <v>0</v>
      </c>
      <c r="T37" s="278">
        <f>'Initial unit rates'!T165</f>
        <v>0</v>
      </c>
      <c r="U37" s="278">
        <f>'Initial unit rates'!U165</f>
        <v>0</v>
      </c>
      <c r="V37" s="278">
        <f>'Initial unit rates'!V165</f>
        <v>0</v>
      </c>
      <c r="W37" s="278">
        <f>'Initial unit rates'!W165</f>
        <v>0</v>
      </c>
      <c r="X37" s="278">
        <f>'Initial unit rates'!X165</f>
        <v>0</v>
      </c>
      <c r="Y37" s="278">
        <f>'Initial unit rates'!Y165</f>
        <v>0</v>
      </c>
      <c r="Z37" s="267"/>
      <c r="AA37" s="267"/>
    </row>
    <row r="38" spans="4:27" x14ac:dyDescent="0.25">
      <c r="D38"/>
      <c r="F38" t="s">
        <v>190</v>
      </c>
      <c r="G38" t="s">
        <v>267</v>
      </c>
      <c r="H38" s="267"/>
      <c r="I38" s="267"/>
      <c r="J38" s="278">
        <f>'Initial unit rates'!J166</f>
        <v>0.30591794013114276</v>
      </c>
      <c r="K38" s="278">
        <f>'Initial unit rates'!K166</f>
        <v>0.30591794013114276</v>
      </c>
      <c r="L38" s="278">
        <f>'Initial unit rates'!L166</f>
        <v>0.34901863748627876</v>
      </c>
      <c r="M38" s="278">
        <f>'Initial unit rates'!M166</f>
        <v>0.34901863748627876</v>
      </c>
      <c r="N38" s="278">
        <f>'Initial unit rates'!N166</f>
        <v>0.28208143428363258</v>
      </c>
      <c r="O38" s="278">
        <f>'Initial unit rates'!O166</f>
        <v>0.2334041936164844</v>
      </c>
      <c r="P38" s="278">
        <f>'Initial unit rates'!P166</f>
        <v>0.21836615471557225</v>
      </c>
      <c r="Q38" s="278">
        <f>'Initial unit rates'!Q166</f>
        <v>0.7844097882970652</v>
      </c>
      <c r="R38" s="278">
        <f>'Initial unit rates'!R166</f>
        <v>-0.2105528540921941</v>
      </c>
      <c r="S38" s="278">
        <f>'Initial unit rates'!S166</f>
        <v>-0.19870686774580926</v>
      </c>
      <c r="T38" s="278">
        <f>'Initial unit rates'!T166</f>
        <v>-0.2105528540921941</v>
      </c>
      <c r="U38" s="278">
        <f>'Initial unit rates'!U166</f>
        <v>-0.2105528540921941</v>
      </c>
      <c r="V38" s="278">
        <f>'Initial unit rates'!V166</f>
        <v>-0.19870686774580926</v>
      </c>
      <c r="W38" s="278">
        <f>'Initial unit rates'!W166</f>
        <v>-0.19870686774580926</v>
      </c>
      <c r="X38" s="278">
        <f>'Initial unit rates'!X166</f>
        <v>-0.1956498390112584</v>
      </c>
      <c r="Y38" s="278">
        <f>'Initial unit rates'!Y166</f>
        <v>-0.1956498390112584</v>
      </c>
      <c r="Z38" s="267"/>
      <c r="AA38" s="267"/>
    </row>
    <row r="39" spans="4:27" x14ac:dyDescent="0.25">
      <c r="D39"/>
      <c r="F39" t="s">
        <v>191</v>
      </c>
      <c r="G39" t="s">
        <v>267</v>
      </c>
      <c r="H39" s="267"/>
      <c r="I39" s="267"/>
      <c r="J39" s="278">
        <f>'Initial unit rates'!J167</f>
        <v>0.18949020006543385</v>
      </c>
      <c r="K39" s="278">
        <f>'Initial unit rates'!K167</f>
        <v>0.18949020006543385</v>
      </c>
      <c r="L39" s="278">
        <f>'Initial unit rates'!L167</f>
        <v>0.21618742403759872</v>
      </c>
      <c r="M39" s="278">
        <f>'Initial unit rates'!M167</f>
        <v>0.21618742403759872</v>
      </c>
      <c r="N39" s="278">
        <f>'Initial unit rates'!N167</f>
        <v>0.17472550774314211</v>
      </c>
      <c r="O39" s="278">
        <f>'Initial unit rates'!O167</f>
        <v>0.14457408848117587</v>
      </c>
      <c r="P39" s="278">
        <f>'Initial unit rates'!P167</f>
        <v>0.13525929968943629</v>
      </c>
      <c r="Q39" s="278">
        <f>'Initial unit rates'!Q167</f>
        <v>0.48587528947787917</v>
      </c>
      <c r="R39" s="278">
        <f>'Initial unit rates'!R167</f>
        <v>-0.13041962308315222</v>
      </c>
      <c r="S39" s="278">
        <f>'Initial unit rates'!S167</f>
        <v>-0.12308203993328339</v>
      </c>
      <c r="T39" s="278">
        <f>'Initial unit rates'!T167</f>
        <v>-0.13041962308315222</v>
      </c>
      <c r="U39" s="278">
        <f>'Initial unit rates'!U167</f>
        <v>-0.13041962308315222</v>
      </c>
      <c r="V39" s="278">
        <f>'Initial unit rates'!V167</f>
        <v>-0.12308203993328339</v>
      </c>
      <c r="W39" s="278">
        <f>'Initial unit rates'!W167</f>
        <v>-0.12308203993328339</v>
      </c>
      <c r="X39" s="278">
        <f>'Initial unit rates'!X167</f>
        <v>-0.12118847008815593</v>
      </c>
      <c r="Y39" s="278">
        <f>'Initial unit rates'!Y167</f>
        <v>-0.12118847008815593</v>
      </c>
      <c r="Z39" s="267"/>
      <c r="AA39" s="267"/>
    </row>
    <row r="40" spans="4:27" x14ac:dyDescent="0.25">
      <c r="D40"/>
      <c r="F40" t="s">
        <v>192</v>
      </c>
      <c r="G40" t="s">
        <v>267</v>
      </c>
      <c r="H40" s="267"/>
      <c r="I40" s="267"/>
      <c r="J40" s="278">
        <f>'Initial unit rates'!J168</f>
        <v>0.55704845193372599</v>
      </c>
      <c r="K40" s="278">
        <f>'Initial unit rates'!K168</f>
        <v>0.55704845193372599</v>
      </c>
      <c r="L40" s="278">
        <f>'Initial unit rates'!L168</f>
        <v>0.63553086041441254</v>
      </c>
      <c r="M40" s="278">
        <f>'Initial unit rates'!M168</f>
        <v>0.63553086041441254</v>
      </c>
      <c r="N40" s="278">
        <f>'Initial unit rates'!N168</f>
        <v>0.51364436560857418</v>
      </c>
      <c r="O40" s="278">
        <f>'Initial unit rates'!O168</f>
        <v>0.4250075842991281</v>
      </c>
      <c r="P40" s="278">
        <f>'Initial unit rates'!P168</f>
        <v>0.39762469761297553</v>
      </c>
      <c r="Q40" s="278">
        <f>'Initial unit rates'!Q168</f>
        <v>1.3624723649917643</v>
      </c>
      <c r="R40" s="278">
        <f>'Initial unit rates'!R168</f>
        <v>-0.38339739530151323</v>
      </c>
      <c r="S40" s="278">
        <f>'Initial unit rates'!S168</f>
        <v>-0.36182694293427747</v>
      </c>
      <c r="T40" s="278">
        <f>'Initial unit rates'!T168</f>
        <v>-0.38339739530151323</v>
      </c>
      <c r="U40" s="278">
        <f>'Initial unit rates'!U168</f>
        <v>-0.38339739530151323</v>
      </c>
      <c r="V40" s="278">
        <f>'Initial unit rates'!V168</f>
        <v>-0.36182694293427747</v>
      </c>
      <c r="W40" s="278">
        <f>'Initial unit rates'!W168</f>
        <v>-0.36182694293427747</v>
      </c>
      <c r="X40" s="278">
        <f>'Initial unit rates'!X168</f>
        <v>-0.35626037458144239</v>
      </c>
      <c r="Y40" s="278">
        <f>'Initial unit rates'!Y168</f>
        <v>-0.35626037458144239</v>
      </c>
      <c r="Z40" s="267"/>
      <c r="AA40" s="267"/>
    </row>
    <row r="41" spans="4:27" x14ac:dyDescent="0.25">
      <c r="D41"/>
      <c r="F41" t="s">
        <v>193</v>
      </c>
      <c r="G41" t="s">
        <v>267</v>
      </c>
      <c r="H41" s="267"/>
      <c r="I41" s="267"/>
      <c r="J41" s="278">
        <f>'Initial unit rates'!J169</f>
        <v>0.2119707040545693</v>
      </c>
      <c r="K41" s="278">
        <f>'Initial unit rates'!K169</f>
        <v>0.2119707040545693</v>
      </c>
      <c r="L41" s="278">
        <f>'Initial unit rates'!L169</f>
        <v>0.2418352002645483</v>
      </c>
      <c r="M41" s="278">
        <f>'Initial unit rates'!M169</f>
        <v>0.2418352002645483</v>
      </c>
      <c r="N41" s="278">
        <f>'Initial unit rates'!N169</f>
        <v>0.19545437642588692</v>
      </c>
      <c r="O41" s="278">
        <f>'Initial unit rates'!O169</f>
        <v>0.16172589037755036</v>
      </c>
      <c r="P41" s="278">
        <f>'Initial unit rates'!P169</f>
        <v>0.1513060251939006</v>
      </c>
      <c r="Q41" s="278">
        <f>'Initial unit rates'!Q169</f>
        <v>0.51845440995240122</v>
      </c>
      <c r="R41" s="278">
        <f>'Initial unit rates'!R169</f>
        <v>-0.14589218502023346</v>
      </c>
      <c r="S41" s="278">
        <f>'Initial unit rates'!S169</f>
        <v>-0.13768409475593721</v>
      </c>
      <c r="T41" s="278">
        <f>'Initial unit rates'!T169</f>
        <v>-0.14589218502023346</v>
      </c>
      <c r="U41" s="278">
        <f>'Initial unit rates'!U169</f>
        <v>-0.14589218502023346</v>
      </c>
      <c r="V41" s="278">
        <f>'Initial unit rates'!V169</f>
        <v>-0.13768409475593721</v>
      </c>
      <c r="W41" s="278">
        <f>'Initial unit rates'!W169</f>
        <v>-0.13768409475593721</v>
      </c>
      <c r="X41" s="278">
        <f>'Initial unit rates'!X169</f>
        <v>-0.13556587791353816</v>
      </c>
      <c r="Y41" s="278">
        <f>'Initial unit rates'!Y169</f>
        <v>-0.13556587791353816</v>
      </c>
      <c r="Z41" s="267"/>
      <c r="AA41" s="267"/>
    </row>
    <row r="42" spans="4:27" x14ac:dyDescent="0.25">
      <c r="D42"/>
      <c r="F42" t="s">
        <v>194</v>
      </c>
      <c r="G42" t="s">
        <v>267</v>
      </c>
      <c r="H42" s="267"/>
      <c r="I42" s="267"/>
      <c r="J42" s="278">
        <f>'Initial unit rates'!J170</f>
        <v>0</v>
      </c>
      <c r="K42" s="278">
        <f>'Initial unit rates'!K170</f>
        <v>0</v>
      </c>
      <c r="L42" s="278">
        <f>'Initial unit rates'!L170</f>
        <v>0</v>
      </c>
      <c r="M42" s="278">
        <f>'Initial unit rates'!M170</f>
        <v>0</v>
      </c>
      <c r="N42" s="278">
        <f>'Initial unit rates'!N170</f>
        <v>0</v>
      </c>
      <c r="O42" s="278">
        <f>'Initial unit rates'!O170</f>
        <v>0</v>
      </c>
      <c r="P42" s="278">
        <f>'Initial unit rates'!P170</f>
        <v>0</v>
      </c>
      <c r="Q42" s="278">
        <f>'Initial unit rates'!Q170</f>
        <v>0</v>
      </c>
      <c r="R42" s="278">
        <f>'Initial unit rates'!R170</f>
        <v>0</v>
      </c>
      <c r="S42" s="278">
        <f>'Initial unit rates'!S170</f>
        <v>0</v>
      </c>
      <c r="T42" s="278">
        <f>'Initial unit rates'!T170</f>
        <v>0</v>
      </c>
      <c r="U42" s="278">
        <f>'Initial unit rates'!U170</f>
        <v>0</v>
      </c>
      <c r="V42" s="278">
        <f>'Initial unit rates'!V170</f>
        <v>0</v>
      </c>
      <c r="W42" s="278">
        <f>'Initial unit rates'!W170</f>
        <v>0</v>
      </c>
      <c r="X42" s="278">
        <f>'Initial unit rates'!X170</f>
        <v>0</v>
      </c>
      <c r="Y42" s="278">
        <f>'Initial unit rates'!Y170</f>
        <v>0</v>
      </c>
      <c r="Z42" s="267"/>
      <c r="AA42" s="267"/>
    </row>
    <row r="43" spans="4:27" x14ac:dyDescent="0.25">
      <c r="D43"/>
      <c r="F43" t="s">
        <v>195</v>
      </c>
      <c r="G43" t="s">
        <v>267</v>
      </c>
      <c r="H43" s="267"/>
      <c r="I43" s="267"/>
      <c r="J43" s="278">
        <f>'Initial unit rates'!J171</f>
        <v>0.98104092849988933</v>
      </c>
      <c r="K43" s="278">
        <f>'Initial unit rates'!K171</f>
        <v>0.98104092849988933</v>
      </c>
      <c r="L43" s="278">
        <f>'Initial unit rates'!L171</f>
        <v>1.1192595244218839</v>
      </c>
      <c r="M43" s="278">
        <f>'Initial unit rates'!M171</f>
        <v>1.1192595244218839</v>
      </c>
      <c r="N43" s="278">
        <f>'Initial unit rates'!N171</f>
        <v>0.90460020776670902</v>
      </c>
      <c r="O43" s="278">
        <f>'Initial unit rates'!O171</f>
        <v>0.74849832841814901</v>
      </c>
      <c r="P43" s="278">
        <f>'Initial unit rates'!P171</f>
        <v>0.70027320098742707</v>
      </c>
      <c r="Q43" s="278">
        <f>'Initial unit rates'!Q171</f>
        <v>2.3995060920948137</v>
      </c>
      <c r="R43" s="278">
        <f>'Initial unit rates'!R171</f>
        <v>-0.6752169140141242</v>
      </c>
      <c r="S43" s="278">
        <f>'Initial unit rates'!S171</f>
        <v>-0.63722830360679583</v>
      </c>
      <c r="T43" s="278">
        <f>'Initial unit rates'!T171</f>
        <v>-0.6752169140141242</v>
      </c>
      <c r="U43" s="278">
        <f>'Initial unit rates'!U171</f>
        <v>-0.6752169140141242</v>
      </c>
      <c r="V43" s="278">
        <f>'Initial unit rates'!V171</f>
        <v>-0.63722830360679583</v>
      </c>
      <c r="W43" s="278">
        <f>'Initial unit rates'!W171</f>
        <v>-0.63722830360679583</v>
      </c>
      <c r="X43" s="278">
        <f>'Initial unit rates'!X171</f>
        <v>0</v>
      </c>
      <c r="Y43" s="278">
        <f>'Initial unit rates'!Y171</f>
        <v>0</v>
      </c>
      <c r="Z43" s="267"/>
      <c r="AA43" s="267"/>
    </row>
    <row r="44" spans="4:27" x14ac:dyDescent="0.25">
      <c r="D44"/>
      <c r="F44" t="s">
        <v>196</v>
      </c>
      <c r="G44" t="s">
        <v>267</v>
      </c>
      <c r="H44" s="267"/>
      <c r="I44" s="267"/>
      <c r="J44" s="278">
        <f>'Initial unit rates'!J172</f>
        <v>0.29837459946034633</v>
      </c>
      <c r="K44" s="278">
        <f>'Initial unit rates'!K172</f>
        <v>0.29837459946034633</v>
      </c>
      <c r="L44" s="278">
        <f>'Initial unit rates'!L172</f>
        <v>0.34041251755134599</v>
      </c>
      <c r="M44" s="278">
        <f>'Initial unit rates'!M172</f>
        <v>0.34041251755134599</v>
      </c>
      <c r="N44" s="278">
        <f>'Initial unit rates'!N172</f>
        <v>0.27512585542874046</v>
      </c>
      <c r="O44" s="278">
        <f>'Initial unit rates'!O172</f>
        <v>0.22764890072425678</v>
      </c>
      <c r="P44" s="278">
        <f>'Initial unit rates'!P172</f>
        <v>0</v>
      </c>
      <c r="Q44" s="278">
        <f>'Initial unit rates'!Q172</f>
        <v>0.72978776759723307</v>
      </c>
      <c r="R44" s="278">
        <f>'Initial unit rates'!R172</f>
        <v>-0.20536103073281528</v>
      </c>
      <c r="S44" s="278">
        <f>'Initial unit rates'!S172</f>
        <v>0</v>
      </c>
      <c r="T44" s="278">
        <f>'Initial unit rates'!T172</f>
        <v>-0.20536103073281528</v>
      </c>
      <c r="U44" s="278">
        <f>'Initial unit rates'!U172</f>
        <v>-0.20536103073281528</v>
      </c>
      <c r="V44" s="278">
        <f>'Initial unit rates'!V172</f>
        <v>0</v>
      </c>
      <c r="W44" s="278">
        <f>'Initial unit rates'!W172</f>
        <v>0</v>
      </c>
      <c r="X44" s="278">
        <f>'Initial unit rates'!X172</f>
        <v>0</v>
      </c>
      <c r="Y44" s="278">
        <f>'Initial unit rates'!Y172</f>
        <v>0</v>
      </c>
      <c r="Z44" s="267"/>
      <c r="AA44" s="267"/>
    </row>
    <row r="45" spans="4:27" x14ac:dyDescent="0.25">
      <c r="D45"/>
      <c r="F45" t="s">
        <v>197</v>
      </c>
      <c r="G45" t="s">
        <v>267</v>
      </c>
      <c r="H45" s="267"/>
      <c r="I45" s="267"/>
      <c r="J45" s="278">
        <f>'Initial unit rates'!J173</f>
        <v>0.55770690767516029</v>
      </c>
      <c r="K45" s="278">
        <f>'Initial unit rates'!K173</f>
        <v>0.55770690767516029</v>
      </c>
      <c r="L45" s="278">
        <f>'Initial unit rates'!L173</f>
        <v>0.63628208581041878</v>
      </c>
      <c r="M45" s="278">
        <f>'Initial unit rates'!M173</f>
        <v>0.63628208581041878</v>
      </c>
      <c r="N45" s="278">
        <f>'Initial unit rates'!N173</f>
        <v>0.51425151581322204</v>
      </c>
      <c r="O45" s="278">
        <f>'Initial unit rates'!O173</f>
        <v>0</v>
      </c>
      <c r="P45" s="278">
        <f>'Initial unit rates'!P173</f>
        <v>0</v>
      </c>
      <c r="Q45" s="278">
        <f>'Initial unit rates'!Q173</f>
        <v>1.3640828671808649</v>
      </c>
      <c r="R45" s="278">
        <f>'Initial unit rates'!R173</f>
        <v>0</v>
      </c>
      <c r="S45" s="278">
        <f>'Initial unit rates'!S173</f>
        <v>0</v>
      </c>
      <c r="T45" s="278">
        <f>'Initial unit rates'!T173</f>
        <v>0</v>
      </c>
      <c r="U45" s="278">
        <f>'Initial unit rates'!U173</f>
        <v>0</v>
      </c>
      <c r="V45" s="278">
        <f>'Initial unit rates'!V173</f>
        <v>0</v>
      </c>
      <c r="W45" s="278">
        <f>'Initial unit rates'!W173</f>
        <v>0</v>
      </c>
      <c r="X45" s="278">
        <f>'Initial unit rates'!X173</f>
        <v>0</v>
      </c>
      <c r="Y45" s="278">
        <f>'Initial unit rates'!Y173</f>
        <v>0</v>
      </c>
      <c r="Z45" s="267"/>
      <c r="AA45" s="267"/>
    </row>
    <row r="46" spans="4:27" x14ac:dyDescent="0.25">
      <c r="D46"/>
      <c r="F46" s="95" t="s">
        <v>332</v>
      </c>
      <c r="G46" s="95" t="s">
        <v>267</v>
      </c>
      <c r="H46" s="265"/>
      <c r="I46" s="265" t="s">
        <v>152</v>
      </c>
      <c r="J46" s="279"/>
      <c r="K46" s="279"/>
      <c r="L46" s="279"/>
      <c r="M46" s="279"/>
      <c r="N46" s="279"/>
      <c r="O46" s="279"/>
      <c r="P46" s="279"/>
      <c r="Q46" s="277">
        <f>'Service model charges'!$Q$44</f>
        <v>0</v>
      </c>
      <c r="R46" s="279"/>
      <c r="S46" s="279"/>
      <c r="T46" s="279"/>
      <c r="U46" s="279"/>
      <c r="V46" s="279"/>
      <c r="W46" s="279"/>
      <c r="X46" s="279"/>
      <c r="Y46" s="279"/>
      <c r="Z46" s="267"/>
      <c r="AA46" s="267" t="s">
        <v>609</v>
      </c>
    </row>
    <row r="47" spans="4:27" x14ac:dyDescent="0.25">
      <c r="D47"/>
      <c r="F47" s="96" t="s">
        <v>333</v>
      </c>
      <c r="G47" s="96" t="s">
        <v>267</v>
      </c>
      <c r="H47" s="269"/>
      <c r="I47" s="269"/>
      <c r="J47" s="275"/>
      <c r="K47" s="275"/>
      <c r="L47" s="275"/>
      <c r="M47" s="275"/>
      <c r="N47" s="275"/>
      <c r="O47" s="275"/>
      <c r="P47" s="275"/>
      <c r="Q47" s="275"/>
      <c r="R47" s="275"/>
      <c r="S47" s="275"/>
      <c r="T47" s="275"/>
      <c r="U47" s="275"/>
      <c r="V47" s="275"/>
      <c r="W47" s="275"/>
      <c r="X47" s="275"/>
      <c r="Y47" s="275"/>
      <c r="Z47" s="267"/>
      <c r="AA47" s="267"/>
    </row>
    <row r="48" spans="4:27" x14ac:dyDescent="0.25">
      <c r="J48" s="106"/>
      <c r="K48" s="106"/>
      <c r="L48" s="106"/>
      <c r="M48" s="106"/>
      <c r="N48" s="106"/>
      <c r="O48" s="106"/>
      <c r="P48" s="106"/>
      <c r="Q48" s="106"/>
      <c r="R48" s="106"/>
      <c r="S48" s="106"/>
      <c r="T48" s="106"/>
      <c r="U48" s="106"/>
      <c r="V48" s="106"/>
      <c r="W48" s="106"/>
      <c r="X48" s="106"/>
      <c r="Y48" s="106"/>
    </row>
    <row r="49" spans="3:27" x14ac:dyDescent="0.2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25">
      <c r="C50" s="75"/>
      <c r="D50"/>
      <c r="E50" s="75"/>
      <c r="J50" s="106"/>
      <c r="K50" s="106"/>
      <c r="L50" s="106"/>
      <c r="M50" s="106"/>
      <c r="N50" s="106"/>
      <c r="O50" s="106"/>
      <c r="P50" s="106"/>
      <c r="Q50" s="106"/>
      <c r="R50" s="106"/>
      <c r="S50" s="106"/>
      <c r="T50" s="106"/>
      <c r="U50" s="106"/>
      <c r="V50" s="106"/>
      <c r="W50" s="106"/>
      <c r="X50" s="106"/>
      <c r="Y50" s="106"/>
    </row>
    <row r="51" spans="3:27" x14ac:dyDescent="0.25">
      <c r="D51"/>
      <c r="E51" s="75" t="s">
        <v>576</v>
      </c>
      <c r="J51" s="106"/>
      <c r="K51" s="106"/>
      <c r="L51" s="106"/>
      <c r="M51" s="106"/>
      <c r="N51" s="106"/>
      <c r="O51" s="106"/>
      <c r="P51" s="106"/>
      <c r="Q51" s="106"/>
      <c r="R51" s="106"/>
      <c r="S51" s="106"/>
      <c r="T51" s="106"/>
      <c r="U51" s="106"/>
      <c r="V51" s="106"/>
      <c r="W51" s="106"/>
      <c r="X51" s="106"/>
      <c r="Y51" s="106"/>
    </row>
    <row r="52" spans="3:27" x14ac:dyDescent="0.25">
      <c r="D52"/>
      <c r="F52" s="95" t="s">
        <v>187</v>
      </c>
      <c r="G52" s="95" t="s">
        <v>267</v>
      </c>
      <c r="H52" s="265"/>
      <c r="I52" s="265"/>
      <c r="J52" s="277">
        <f>'Initial unit rates'!J181</f>
        <v>0</v>
      </c>
      <c r="K52" s="277">
        <f>'Initial unit rates'!K181</f>
        <v>0</v>
      </c>
      <c r="L52" s="277">
        <f>'Initial unit rates'!L181</f>
        <v>0</v>
      </c>
      <c r="M52" s="277">
        <f>'Initial unit rates'!M181</f>
        <v>0</v>
      </c>
      <c r="N52" s="277">
        <f>'Initial unit rates'!N181</f>
        <v>0</v>
      </c>
      <c r="O52" s="277">
        <f>'Initial unit rates'!O181</f>
        <v>0</v>
      </c>
      <c r="P52" s="277">
        <f>'Initial unit rates'!P181</f>
        <v>0</v>
      </c>
      <c r="Q52" s="277">
        <f>'Initial unit rates'!Q181</f>
        <v>0</v>
      </c>
      <c r="R52" s="277">
        <f>'Initial unit rates'!R181</f>
        <v>0</v>
      </c>
      <c r="S52" s="277">
        <f>'Initial unit rates'!S181</f>
        <v>0</v>
      </c>
      <c r="T52" s="277">
        <f>'Initial unit rates'!T181</f>
        <v>0</v>
      </c>
      <c r="U52" s="277">
        <f>'Initial unit rates'!U181</f>
        <v>0</v>
      </c>
      <c r="V52" s="277">
        <f>'Initial unit rates'!V181</f>
        <v>0</v>
      </c>
      <c r="W52" s="277">
        <f>'Initial unit rates'!W181</f>
        <v>0</v>
      </c>
      <c r="X52" s="277">
        <f>'Initial unit rates'!X181</f>
        <v>0</v>
      </c>
      <c r="Y52" s="277">
        <f>'Initial unit rates'!Y181</f>
        <v>0</v>
      </c>
      <c r="Z52" s="267"/>
      <c r="AA52" s="267"/>
    </row>
    <row r="53" spans="3:27" x14ac:dyDescent="0.25">
      <c r="D53"/>
      <c r="F53" t="s">
        <v>189</v>
      </c>
      <c r="G53" t="s">
        <v>267</v>
      </c>
      <c r="H53" s="267"/>
      <c r="I53" s="267"/>
      <c r="J53" s="278">
        <f>'Initial unit rates'!J182</f>
        <v>0</v>
      </c>
      <c r="K53" s="278">
        <f>'Initial unit rates'!K182</f>
        <v>0</v>
      </c>
      <c r="L53" s="278">
        <f>'Initial unit rates'!L182</f>
        <v>0</v>
      </c>
      <c r="M53" s="278">
        <f>'Initial unit rates'!M182</f>
        <v>0</v>
      </c>
      <c r="N53" s="278">
        <f>'Initial unit rates'!N182</f>
        <v>0</v>
      </c>
      <c r="O53" s="278">
        <f>'Initial unit rates'!O182</f>
        <v>0</v>
      </c>
      <c r="P53" s="278">
        <f>'Initial unit rates'!P182</f>
        <v>0</v>
      </c>
      <c r="Q53" s="278">
        <f>'Initial unit rates'!Q182</f>
        <v>0</v>
      </c>
      <c r="R53" s="278">
        <f>'Initial unit rates'!R182</f>
        <v>0</v>
      </c>
      <c r="S53" s="278">
        <f>'Initial unit rates'!S182</f>
        <v>0</v>
      </c>
      <c r="T53" s="278">
        <f>'Initial unit rates'!T182</f>
        <v>0</v>
      </c>
      <c r="U53" s="278">
        <f>'Initial unit rates'!U182</f>
        <v>0</v>
      </c>
      <c r="V53" s="278">
        <f>'Initial unit rates'!V182</f>
        <v>0</v>
      </c>
      <c r="W53" s="278">
        <f>'Initial unit rates'!W182</f>
        <v>0</v>
      </c>
      <c r="X53" s="278">
        <f>'Initial unit rates'!X182</f>
        <v>0</v>
      </c>
      <c r="Y53" s="278">
        <f>'Initial unit rates'!Y182</f>
        <v>0</v>
      </c>
      <c r="Z53" s="267"/>
      <c r="AA53" s="267"/>
    </row>
    <row r="54" spans="3:27" x14ac:dyDescent="0.25">
      <c r="D54"/>
      <c r="F54" t="s">
        <v>190</v>
      </c>
      <c r="G54" t="s">
        <v>267</v>
      </c>
      <c r="H54" s="267"/>
      <c r="I54" s="267"/>
      <c r="J54" s="278">
        <f>'Initial unit rates'!J183</f>
        <v>0.12228378103254511</v>
      </c>
      <c r="K54" s="278">
        <f>'Initial unit rates'!K183</f>
        <v>0.12228378103254511</v>
      </c>
      <c r="L54" s="278">
        <f>'Initial unit rates'!L183</f>
        <v>0.13951231047238785</v>
      </c>
      <c r="M54" s="278">
        <f>'Initial unit rates'!M183</f>
        <v>0.13951231047238785</v>
      </c>
      <c r="N54" s="278">
        <f>'Initial unit rates'!N183</f>
        <v>0.11275567666446401</v>
      </c>
      <c r="O54" s="278">
        <f>'Initial unit rates'!O183</f>
        <v>9.3298050098142599E-2</v>
      </c>
      <c r="P54" s="278">
        <f>'Initial unit rates'!P183</f>
        <v>8.7286933995145408E-2</v>
      </c>
      <c r="Q54" s="278">
        <f>'Initial unit rates'!Q183</f>
        <v>8.442242080411301E-2</v>
      </c>
      <c r="R54" s="278">
        <f>'Initial unit rates'!R183</f>
        <v>-8.4163743697247106E-2</v>
      </c>
      <c r="S54" s="278">
        <f>'Initial unit rates'!S183</f>
        <v>-7.9428578443862974E-2</v>
      </c>
      <c r="T54" s="278">
        <f>'Initial unit rates'!T183</f>
        <v>-8.4163743697247106E-2</v>
      </c>
      <c r="U54" s="278">
        <f>'Initial unit rates'!U183</f>
        <v>-8.4163743697247106E-2</v>
      </c>
      <c r="V54" s="278">
        <f>'Initial unit rates'!V183</f>
        <v>-7.9428578443862974E-2</v>
      </c>
      <c r="W54" s="278">
        <f>'Initial unit rates'!W183</f>
        <v>-7.9428578443862974E-2</v>
      </c>
      <c r="X54" s="278">
        <f>'Initial unit rates'!X183</f>
        <v>-7.8206600313957375E-2</v>
      </c>
      <c r="Y54" s="278">
        <f>'Initial unit rates'!Y183</f>
        <v>-7.8206600313957375E-2</v>
      </c>
      <c r="Z54" s="267"/>
      <c r="AA54" s="267"/>
    </row>
    <row r="55" spans="3:27" x14ac:dyDescent="0.25">
      <c r="D55"/>
      <c r="F55" t="s">
        <v>191</v>
      </c>
      <c r="G55" t="s">
        <v>267</v>
      </c>
      <c r="H55" s="267"/>
      <c r="I55" s="267"/>
      <c r="J55" s="278">
        <f>'Initial unit rates'!J184</f>
        <v>7.5744423889234316E-2</v>
      </c>
      <c r="K55" s="278">
        <f>'Initial unit rates'!K184</f>
        <v>7.5744423889234316E-2</v>
      </c>
      <c r="L55" s="278">
        <f>'Initial unit rates'!L184</f>
        <v>8.6416035658683069E-2</v>
      </c>
      <c r="M55" s="278">
        <f>'Initial unit rates'!M184</f>
        <v>8.6416035658683069E-2</v>
      </c>
      <c r="N55" s="278">
        <f>'Initial unit rates'!N184</f>
        <v>6.9842571901809078E-2</v>
      </c>
      <c r="O55" s="278">
        <f>'Initial unit rates'!O184</f>
        <v>5.7790223650280664E-2</v>
      </c>
      <c r="P55" s="278">
        <f>'Initial unit rates'!P184</f>
        <v>5.4066847399495271E-2</v>
      </c>
      <c r="Q55" s="278">
        <f>'Initial unit rates'!Q184</f>
        <v>5.2292524594411943E-2</v>
      </c>
      <c r="R55" s="278">
        <f>'Initial unit rates'!R184</f>
        <v>-5.2132296081133664E-2</v>
      </c>
      <c r="S55" s="278">
        <f>'Initial unit rates'!S184</f>
        <v>-4.9199263089273138E-2</v>
      </c>
      <c r="T55" s="278">
        <f>'Initial unit rates'!T184</f>
        <v>-5.2132296081133664E-2</v>
      </c>
      <c r="U55" s="278">
        <f>'Initial unit rates'!U184</f>
        <v>-5.2132296081133664E-2</v>
      </c>
      <c r="V55" s="278">
        <f>'Initial unit rates'!V184</f>
        <v>-4.9199263089273138E-2</v>
      </c>
      <c r="W55" s="278">
        <f>'Initial unit rates'!W184</f>
        <v>-4.9199263089273138E-2</v>
      </c>
      <c r="X55" s="278">
        <f>'Initial unit rates'!X184</f>
        <v>-4.8442351349438161E-2</v>
      </c>
      <c r="Y55" s="278">
        <f>'Initial unit rates'!Y184</f>
        <v>-4.8442351349438161E-2</v>
      </c>
      <c r="Z55" s="267"/>
      <c r="AA55" s="267"/>
    </row>
    <row r="56" spans="3:27" x14ac:dyDescent="0.25">
      <c r="D56"/>
      <c r="F56" t="s">
        <v>192</v>
      </c>
      <c r="G56" t="s">
        <v>267</v>
      </c>
      <c r="H56" s="267"/>
      <c r="I56" s="267"/>
      <c r="J56" s="278">
        <f>'Initial unit rates'!J185</f>
        <v>0.28859644915631105</v>
      </c>
      <c r="K56" s="278">
        <f>'Initial unit rates'!K185</f>
        <v>0.28859644915631105</v>
      </c>
      <c r="L56" s="278">
        <f>'Initial unit rates'!L185</f>
        <v>0.32925672624735297</v>
      </c>
      <c r="M56" s="278">
        <f>'Initial unit rates'!M185</f>
        <v>0.32925672624735297</v>
      </c>
      <c r="N56" s="278">
        <f>'Initial unit rates'!N185</f>
        <v>0.26610959877762419</v>
      </c>
      <c r="O56" s="278">
        <f>'Initial unit rates'!O185</f>
        <v>0.22018852986207141</v>
      </c>
      <c r="P56" s="278">
        <f>'Initial unit rates'!P185</f>
        <v>0.20600196523229763</v>
      </c>
      <c r="Q56" s="278">
        <f>'Initial unit rates'!Q185</f>
        <v>0.21656914195774613</v>
      </c>
      <c r="R56" s="278">
        <f>'Initial unit rates'!R185</f>
        <v>-0.19863106434583416</v>
      </c>
      <c r="S56" s="278">
        <f>'Initial unit rates'!S185</f>
        <v>-0.18745581390169466</v>
      </c>
      <c r="T56" s="278">
        <f>'Initial unit rates'!T185</f>
        <v>-0.19863106434583416</v>
      </c>
      <c r="U56" s="278">
        <f>'Initial unit rates'!U185</f>
        <v>-0.19863106434583416</v>
      </c>
      <c r="V56" s="278">
        <f>'Initial unit rates'!V185</f>
        <v>-0.18745581390169466</v>
      </c>
      <c r="W56" s="278">
        <f>'Initial unit rates'!W185</f>
        <v>-0.18745581390169466</v>
      </c>
      <c r="X56" s="278">
        <f>'Initial unit rates'!X185</f>
        <v>-0.18457187830320707</v>
      </c>
      <c r="Y56" s="278">
        <f>'Initial unit rates'!Y185</f>
        <v>-0.18457187830320707</v>
      </c>
      <c r="Z56" s="267"/>
      <c r="AA56" s="267"/>
    </row>
    <row r="57" spans="3:27" x14ac:dyDescent="0.25">
      <c r="D57"/>
      <c r="F57" t="s">
        <v>193</v>
      </c>
      <c r="G57" t="s">
        <v>267</v>
      </c>
      <c r="H57" s="267"/>
      <c r="I57" s="267"/>
      <c r="J57" s="278">
        <f>'Initial unit rates'!J186</f>
        <v>0.1098180818974613</v>
      </c>
      <c r="K57" s="278">
        <f>'Initial unit rates'!K186</f>
        <v>0.1098180818974613</v>
      </c>
      <c r="L57" s="278">
        <f>'Initial unit rates'!L186</f>
        <v>0.12529032229616088</v>
      </c>
      <c r="M57" s="278">
        <f>'Initial unit rates'!M186</f>
        <v>0.12529032229616088</v>
      </c>
      <c r="N57" s="278">
        <f>'Initial unit rates'!N186</f>
        <v>0.10126127953997607</v>
      </c>
      <c r="O57" s="278">
        <f>'Initial unit rates'!O186</f>
        <v>8.3787177825523793E-2</v>
      </c>
      <c r="P57" s="278">
        <f>'Initial unit rates'!P186</f>
        <v>7.8388839346617889E-2</v>
      </c>
      <c r="Q57" s="278">
        <f>'Initial unit rates'!Q186</f>
        <v>8.2409911270589165E-2</v>
      </c>
      <c r="R57" s="278">
        <f>'Initial unit rates'!R186</f>
        <v>-7.5584029379017439E-2</v>
      </c>
      <c r="S57" s="278">
        <f>'Initial unit rates'!S186</f>
        <v>-7.1331570375842229E-2</v>
      </c>
      <c r="T57" s="278">
        <f>'Initial unit rates'!T186</f>
        <v>-7.5584029379017439E-2</v>
      </c>
      <c r="U57" s="278">
        <f>'Initial unit rates'!U186</f>
        <v>-7.5584029379017439E-2</v>
      </c>
      <c r="V57" s="278">
        <f>'Initial unit rates'!V186</f>
        <v>-7.1331570375842229E-2</v>
      </c>
      <c r="W57" s="278">
        <f>'Initial unit rates'!W186</f>
        <v>-7.1331570375842229E-2</v>
      </c>
      <c r="X57" s="278">
        <f>'Initial unit rates'!X186</f>
        <v>-7.0234161600829279E-2</v>
      </c>
      <c r="Y57" s="278">
        <f>'Initial unit rates'!Y186</f>
        <v>-7.0234161600829279E-2</v>
      </c>
      <c r="Z57" s="267"/>
      <c r="AA57" s="267"/>
    </row>
    <row r="58" spans="3:27" x14ac:dyDescent="0.25">
      <c r="D58"/>
      <c r="F58" t="s">
        <v>194</v>
      </c>
      <c r="G58" t="s">
        <v>267</v>
      </c>
      <c r="H58" s="267"/>
      <c r="I58" s="267"/>
      <c r="J58" s="278">
        <f>'Initial unit rates'!J187</f>
        <v>0</v>
      </c>
      <c r="K58" s="278">
        <f>'Initial unit rates'!K187</f>
        <v>0</v>
      </c>
      <c r="L58" s="278">
        <f>'Initial unit rates'!L187</f>
        <v>0</v>
      </c>
      <c r="M58" s="278">
        <f>'Initial unit rates'!M187</f>
        <v>0</v>
      </c>
      <c r="N58" s="278">
        <f>'Initial unit rates'!N187</f>
        <v>0</v>
      </c>
      <c r="O58" s="278">
        <f>'Initial unit rates'!O187</f>
        <v>0</v>
      </c>
      <c r="P58" s="278">
        <f>'Initial unit rates'!P187</f>
        <v>0</v>
      </c>
      <c r="Q58" s="278">
        <f>'Initial unit rates'!Q187</f>
        <v>0</v>
      </c>
      <c r="R58" s="278">
        <f>'Initial unit rates'!R187</f>
        <v>0</v>
      </c>
      <c r="S58" s="278">
        <f>'Initial unit rates'!S187</f>
        <v>0</v>
      </c>
      <c r="T58" s="278">
        <f>'Initial unit rates'!T187</f>
        <v>0</v>
      </c>
      <c r="U58" s="278">
        <f>'Initial unit rates'!U187</f>
        <v>0</v>
      </c>
      <c r="V58" s="278">
        <f>'Initial unit rates'!V187</f>
        <v>0</v>
      </c>
      <c r="W58" s="278">
        <f>'Initial unit rates'!W187</f>
        <v>0</v>
      </c>
      <c r="X58" s="278">
        <f>'Initial unit rates'!X187</f>
        <v>0</v>
      </c>
      <c r="Y58" s="278">
        <f>'Initial unit rates'!Y187</f>
        <v>0</v>
      </c>
      <c r="Z58" s="267"/>
      <c r="AA58" s="267"/>
    </row>
    <row r="59" spans="3:27" x14ac:dyDescent="0.25">
      <c r="D59"/>
      <c r="F59" t="s">
        <v>195</v>
      </c>
      <c r="G59" t="s">
        <v>267</v>
      </c>
      <c r="H59" s="267"/>
      <c r="I59" s="267"/>
      <c r="J59" s="278">
        <f>'Initial unit rates'!J188</f>
        <v>0.50825907056961495</v>
      </c>
      <c r="K59" s="278">
        <f>'Initial unit rates'!K188</f>
        <v>0.50825907056961495</v>
      </c>
      <c r="L59" s="278">
        <f>'Initial unit rates'!L188</f>
        <v>0.5798675560648846</v>
      </c>
      <c r="M59" s="278">
        <f>'Initial unit rates'!M188</f>
        <v>0.5798675560648846</v>
      </c>
      <c r="N59" s="278">
        <f>'Initial unit rates'!N188</f>
        <v>0.46865655395195882</v>
      </c>
      <c r="O59" s="278">
        <f>'Initial unit rates'!O188</f>
        <v>0.38778307170775883</v>
      </c>
      <c r="P59" s="278">
        <f>'Initial unit rates'!P188</f>
        <v>0.36279852954036979</v>
      </c>
      <c r="Q59" s="278">
        <f>'Initial unit rates'!Q188</f>
        <v>0.38140881887941958</v>
      </c>
      <c r="R59" s="278">
        <f>'Initial unit rates'!R188</f>
        <v>-0.34981733297760276</v>
      </c>
      <c r="S59" s="278">
        <f>'Initial unit rates'!S188</f>
        <v>-0.33013614001516051</v>
      </c>
      <c r="T59" s="278">
        <f>'Initial unit rates'!T188</f>
        <v>-0.34981733297760276</v>
      </c>
      <c r="U59" s="278">
        <f>'Initial unit rates'!U188</f>
        <v>-0.34981733297760276</v>
      </c>
      <c r="V59" s="278">
        <f>'Initial unit rates'!V188</f>
        <v>-0.33013614001516051</v>
      </c>
      <c r="W59" s="278">
        <f>'Initial unit rates'!W188</f>
        <v>-0.33013614001516051</v>
      </c>
      <c r="X59" s="278">
        <f>'Initial unit rates'!X188</f>
        <v>0</v>
      </c>
      <c r="Y59" s="278">
        <f>'Initial unit rates'!Y188</f>
        <v>0</v>
      </c>
      <c r="Z59" s="267"/>
      <c r="AA59" s="267"/>
    </row>
    <row r="60" spans="3:27" x14ac:dyDescent="0.25">
      <c r="D60"/>
      <c r="F60" t="s">
        <v>196</v>
      </c>
      <c r="G60" t="s">
        <v>267</v>
      </c>
      <c r="H60" s="267"/>
      <c r="I60" s="267"/>
      <c r="J60" s="278">
        <f>'Initial unit rates'!J189</f>
        <v>0.15458233412869674</v>
      </c>
      <c r="K60" s="278">
        <f>'Initial unit rates'!K189</f>
        <v>0.15458233412869674</v>
      </c>
      <c r="L60" s="278">
        <f>'Initial unit rates'!L189</f>
        <v>0.17636139813806903</v>
      </c>
      <c r="M60" s="278">
        <f>'Initial unit rates'!M189</f>
        <v>0.17636139813806903</v>
      </c>
      <c r="N60" s="278">
        <f>'Initial unit rates'!N189</f>
        <v>0.14253759196744634</v>
      </c>
      <c r="O60" s="278">
        <f>'Initial unit rates'!O189</f>
        <v>0.11794066418332756</v>
      </c>
      <c r="P60" s="278">
        <f>'Initial unit rates'!P189</f>
        <v>0</v>
      </c>
      <c r="Q60" s="278">
        <f>'Initial unit rates'!Q189</f>
        <v>0.11600199365566373</v>
      </c>
      <c r="R60" s="278">
        <f>'Initial unit rates'!R189</f>
        <v>-0.10639373300263957</v>
      </c>
      <c r="S60" s="278">
        <f>'Initial unit rates'!S189</f>
        <v>0</v>
      </c>
      <c r="T60" s="278">
        <f>'Initial unit rates'!T189</f>
        <v>-0.10639373300263957</v>
      </c>
      <c r="U60" s="278">
        <f>'Initial unit rates'!U189</f>
        <v>-0.10639373300263957</v>
      </c>
      <c r="V60" s="278">
        <f>'Initial unit rates'!V189</f>
        <v>0</v>
      </c>
      <c r="W60" s="278">
        <f>'Initial unit rates'!W189</f>
        <v>0</v>
      </c>
      <c r="X60" s="278">
        <f>'Initial unit rates'!X189</f>
        <v>0</v>
      </c>
      <c r="Y60" s="278">
        <f>'Initial unit rates'!Y189</f>
        <v>0</v>
      </c>
      <c r="Z60" s="267"/>
      <c r="AA60" s="267"/>
    </row>
    <row r="61" spans="3:27" x14ac:dyDescent="0.25">
      <c r="D61"/>
      <c r="F61" t="s">
        <v>197</v>
      </c>
      <c r="G61" t="s">
        <v>267</v>
      </c>
      <c r="H61" s="267"/>
      <c r="I61" s="267"/>
      <c r="J61" s="278">
        <f>'Initial unit rates'!J190</f>
        <v>0.2889375828373128</v>
      </c>
      <c r="K61" s="278">
        <f>'Initial unit rates'!K190</f>
        <v>0.2889375828373128</v>
      </c>
      <c r="L61" s="278">
        <f>'Initial unit rates'!L190</f>
        <v>0.32964592216209043</v>
      </c>
      <c r="M61" s="278">
        <f>'Initial unit rates'!M190</f>
        <v>0.32964592216209043</v>
      </c>
      <c r="N61" s="278">
        <f>'Initial unit rates'!N190</f>
        <v>0.26642415201362657</v>
      </c>
      <c r="O61" s="278">
        <f>'Initial unit rates'!O190</f>
        <v>0</v>
      </c>
      <c r="P61" s="278">
        <f>'Initial unit rates'!P190</f>
        <v>0</v>
      </c>
      <c r="Q61" s="278">
        <f>'Initial unit rates'!Q190</f>
        <v>0.21682513619746541</v>
      </c>
      <c r="R61" s="278">
        <f>'Initial unit rates'!R190</f>
        <v>0</v>
      </c>
      <c r="S61" s="278">
        <f>'Initial unit rates'!S190</f>
        <v>0</v>
      </c>
      <c r="T61" s="278">
        <f>'Initial unit rates'!T190</f>
        <v>0</v>
      </c>
      <c r="U61" s="278">
        <f>'Initial unit rates'!U190</f>
        <v>0</v>
      </c>
      <c r="V61" s="278">
        <f>'Initial unit rates'!V190</f>
        <v>0</v>
      </c>
      <c r="W61" s="278">
        <f>'Initial unit rates'!W190</f>
        <v>0</v>
      </c>
      <c r="X61" s="278">
        <f>'Initial unit rates'!X190</f>
        <v>0</v>
      </c>
      <c r="Y61" s="278">
        <f>'Initial unit rates'!Y190</f>
        <v>0</v>
      </c>
      <c r="Z61" s="267"/>
      <c r="AA61" s="267"/>
    </row>
    <row r="62" spans="3:27" x14ac:dyDescent="0.25">
      <c r="D62"/>
      <c r="F62" s="95" t="s">
        <v>332</v>
      </c>
      <c r="G62" s="95" t="s">
        <v>267</v>
      </c>
      <c r="H62" s="265"/>
      <c r="I62" s="265"/>
      <c r="J62" s="279"/>
      <c r="K62" s="279"/>
      <c r="L62" s="279"/>
      <c r="M62" s="279"/>
      <c r="N62" s="279"/>
      <c r="O62" s="279"/>
      <c r="P62" s="279"/>
      <c r="Q62" s="279"/>
      <c r="R62" s="279"/>
      <c r="S62" s="279"/>
      <c r="T62" s="279"/>
      <c r="U62" s="279"/>
      <c r="V62" s="279"/>
      <c r="W62" s="279"/>
      <c r="X62" s="279"/>
      <c r="Y62" s="279"/>
      <c r="Z62" s="267"/>
      <c r="AA62" s="267"/>
    </row>
    <row r="63" spans="3:27" x14ac:dyDescent="0.25">
      <c r="D63"/>
      <c r="F63" s="96" t="s">
        <v>333</v>
      </c>
      <c r="G63" s="96" t="s">
        <v>267</v>
      </c>
      <c r="H63" s="269"/>
      <c r="I63" s="269"/>
      <c r="J63" s="275"/>
      <c r="K63" s="275"/>
      <c r="L63" s="275"/>
      <c r="M63" s="275"/>
      <c r="N63" s="275"/>
      <c r="O63" s="275"/>
      <c r="P63" s="275"/>
      <c r="Q63" s="275"/>
      <c r="R63" s="275"/>
      <c r="S63" s="275"/>
      <c r="T63" s="275"/>
      <c r="U63" s="275"/>
      <c r="V63" s="275"/>
      <c r="W63" s="275"/>
      <c r="X63" s="275"/>
      <c r="Y63" s="275"/>
      <c r="Z63" s="267"/>
      <c r="AA63" s="267"/>
    </row>
    <row r="64" spans="3:27" x14ac:dyDescent="0.25">
      <c r="D64"/>
      <c r="J64" s="106"/>
      <c r="K64" s="106"/>
      <c r="L64" s="106"/>
      <c r="M64" s="106"/>
      <c r="N64" s="106"/>
      <c r="O64" s="106"/>
      <c r="P64" s="106"/>
      <c r="Q64" s="106"/>
      <c r="R64" s="106"/>
      <c r="S64" s="106"/>
      <c r="T64" s="106"/>
      <c r="U64" s="106"/>
      <c r="V64" s="106"/>
      <c r="W64" s="106"/>
      <c r="X64" s="106"/>
      <c r="Y64" s="106"/>
    </row>
    <row r="65" spans="3:27" x14ac:dyDescent="0.25">
      <c r="D65"/>
      <c r="E65" s="75" t="s">
        <v>577</v>
      </c>
      <c r="J65" s="106"/>
      <c r="K65" s="106"/>
      <c r="L65" s="106"/>
      <c r="M65" s="106"/>
      <c r="N65" s="106"/>
      <c r="O65" s="106"/>
      <c r="P65" s="106"/>
      <c r="Q65" s="106"/>
      <c r="R65" s="106"/>
      <c r="S65" s="106"/>
      <c r="T65" s="106"/>
      <c r="U65" s="106"/>
      <c r="V65" s="106"/>
      <c r="W65" s="106"/>
      <c r="X65" s="106"/>
      <c r="Y65" s="106"/>
    </row>
    <row r="66" spans="3:27" x14ac:dyDescent="0.25">
      <c r="D66"/>
      <c r="F66" s="95" t="s">
        <v>187</v>
      </c>
      <c r="G66" s="95" t="s">
        <v>267</v>
      </c>
      <c r="H66" s="265"/>
      <c r="I66" s="265"/>
      <c r="J66" s="277">
        <f>'Initial unit rates'!J193</f>
        <v>2.8078979541620367E-2</v>
      </c>
      <c r="K66" s="277">
        <f>'Initial unit rates'!K193</f>
        <v>2.8078979541620367E-2</v>
      </c>
      <c r="L66" s="277">
        <f>'Initial unit rates'!L193</f>
        <v>3.2035019513469126E-2</v>
      </c>
      <c r="M66" s="277">
        <f>'Initial unit rates'!M193</f>
        <v>3.2035019513469126E-2</v>
      </c>
      <c r="N66" s="277">
        <f>'Initial unit rates'!N193</f>
        <v>2.5891122367408776E-2</v>
      </c>
      <c r="O66" s="277">
        <f>'Initial unit rates'!O193</f>
        <v>2.1423233873358857E-2</v>
      </c>
      <c r="P66" s="277">
        <f>'Initial unit rates'!P193</f>
        <v>2.0042952656560035E-2</v>
      </c>
      <c r="Q66" s="277">
        <f>'Initial unit rates'!Q193</f>
        <v>3.0502106696874844E-2</v>
      </c>
      <c r="R66" s="277">
        <f>'Initial unit rates'!R193</f>
        <v>-1.9325801160762449E-2</v>
      </c>
      <c r="S66" s="277">
        <f>'Initial unit rates'!S193</f>
        <v>-1.8238505632661474E-2</v>
      </c>
      <c r="T66" s="277">
        <f>'Initial unit rates'!T193</f>
        <v>-1.9325801160762449E-2</v>
      </c>
      <c r="U66" s="277">
        <f>'Initial unit rates'!U193</f>
        <v>-1.9325801160762449E-2</v>
      </c>
      <c r="V66" s="277">
        <f>'Initial unit rates'!V193</f>
        <v>-1.8238505632661474E-2</v>
      </c>
      <c r="W66" s="277">
        <f>'Initial unit rates'!W193</f>
        <v>-1.8238505632661474E-2</v>
      </c>
      <c r="X66" s="277">
        <f>'Initial unit rates'!X193</f>
        <v>-1.7957913238312841E-2</v>
      </c>
      <c r="Y66" s="277">
        <f>'Initial unit rates'!Y193</f>
        <v>-1.7957913238312841E-2</v>
      </c>
      <c r="Z66" s="267"/>
      <c r="AA66" s="267"/>
    </row>
    <row r="67" spans="3:27" x14ac:dyDescent="0.25">
      <c r="D67"/>
      <c r="F67" t="s">
        <v>189</v>
      </c>
      <c r="G67" t="s">
        <v>267</v>
      </c>
      <c r="H67" s="267"/>
      <c r="I67" s="267"/>
      <c r="J67" s="278">
        <f>'Initial unit rates'!J194</f>
        <v>0</v>
      </c>
      <c r="K67" s="278">
        <f>'Initial unit rates'!K194</f>
        <v>0</v>
      </c>
      <c r="L67" s="278">
        <f>'Initial unit rates'!L194</f>
        <v>0</v>
      </c>
      <c r="M67" s="278">
        <f>'Initial unit rates'!M194</f>
        <v>0</v>
      </c>
      <c r="N67" s="278">
        <f>'Initial unit rates'!N194</f>
        <v>0</v>
      </c>
      <c r="O67" s="278">
        <f>'Initial unit rates'!O194</f>
        <v>0</v>
      </c>
      <c r="P67" s="278">
        <f>'Initial unit rates'!P194</f>
        <v>0</v>
      </c>
      <c r="Q67" s="278">
        <f>'Initial unit rates'!Q194</f>
        <v>0</v>
      </c>
      <c r="R67" s="278">
        <f>'Initial unit rates'!R194</f>
        <v>0</v>
      </c>
      <c r="S67" s="278">
        <f>'Initial unit rates'!S194</f>
        <v>0</v>
      </c>
      <c r="T67" s="278">
        <f>'Initial unit rates'!T194</f>
        <v>0</v>
      </c>
      <c r="U67" s="278">
        <f>'Initial unit rates'!U194</f>
        <v>0</v>
      </c>
      <c r="V67" s="278">
        <f>'Initial unit rates'!V194</f>
        <v>0</v>
      </c>
      <c r="W67" s="278">
        <f>'Initial unit rates'!W194</f>
        <v>0</v>
      </c>
      <c r="X67" s="278">
        <f>'Initial unit rates'!X194</f>
        <v>0</v>
      </c>
      <c r="Y67" s="278">
        <f>'Initial unit rates'!Y194</f>
        <v>0</v>
      </c>
      <c r="Z67" s="267"/>
      <c r="AA67" s="267"/>
    </row>
    <row r="68" spans="3:27" x14ac:dyDescent="0.25">
      <c r="D68"/>
      <c r="F68" t="s">
        <v>190</v>
      </c>
      <c r="G68" t="s">
        <v>267</v>
      </c>
      <c r="H68" s="267"/>
      <c r="I68" s="267"/>
      <c r="J68" s="278">
        <f>'Initial unit rates'!J195</f>
        <v>4.0257477068599751E-2</v>
      </c>
      <c r="K68" s="278">
        <f>'Initial unit rates'!K195</f>
        <v>4.0257477068599751E-2</v>
      </c>
      <c r="L68" s="278">
        <f>'Initial unit rates'!L195</f>
        <v>4.592934232328609E-2</v>
      </c>
      <c r="M68" s="278">
        <f>'Initial unit rates'!M195</f>
        <v>4.592934232328609E-2</v>
      </c>
      <c r="N68" s="278">
        <f>'Initial unit rates'!N195</f>
        <v>3.712069605098333E-2</v>
      </c>
      <c r="O68" s="278">
        <f>'Initial unit rates'!O195</f>
        <v>3.0714981828795621E-2</v>
      </c>
      <c r="P68" s="278">
        <f>'Initial unit rates'!P195</f>
        <v>2.8736040986193655E-2</v>
      </c>
      <c r="Q68" s="278">
        <f>'Initial unit rates'!Q195</f>
        <v>2.779300444343254E-2</v>
      </c>
      <c r="R68" s="278">
        <f>'Initial unit rates'!R195</f>
        <v>-2.7707844436030946E-2</v>
      </c>
      <c r="S68" s="278">
        <f>'Initial unit rates'!S195</f>
        <v>-2.6148963896072762E-2</v>
      </c>
      <c r="T68" s="278">
        <f>'Initial unit rates'!T195</f>
        <v>-2.7707844436030946E-2</v>
      </c>
      <c r="U68" s="278">
        <f>'Initial unit rates'!U195</f>
        <v>-2.7707844436030946E-2</v>
      </c>
      <c r="V68" s="278">
        <f>'Initial unit rates'!V195</f>
        <v>-2.6148963896072762E-2</v>
      </c>
      <c r="W68" s="278">
        <f>'Initial unit rates'!W195</f>
        <v>-2.6148963896072762E-2</v>
      </c>
      <c r="X68" s="278">
        <f>'Initial unit rates'!X195</f>
        <v>-2.5746672143825491E-2</v>
      </c>
      <c r="Y68" s="278">
        <f>'Initial unit rates'!Y195</f>
        <v>-2.5746672143825491E-2</v>
      </c>
      <c r="Z68" s="267"/>
      <c r="AA68" s="267"/>
    </row>
    <row r="69" spans="3:27" x14ac:dyDescent="0.25">
      <c r="D69"/>
      <c r="F69" t="s">
        <v>191</v>
      </c>
      <c r="G69" t="s">
        <v>267</v>
      </c>
      <c r="H69" s="267"/>
      <c r="I69" s="267"/>
      <c r="J69" s="278">
        <f>'Initial unit rates'!J196</f>
        <v>2.4936090314246998E-2</v>
      </c>
      <c r="K69" s="278">
        <f>'Initial unit rates'!K196</f>
        <v>2.4936090314246998E-2</v>
      </c>
      <c r="L69" s="278">
        <f>'Initial unit rates'!L196</f>
        <v>2.8449329457377874E-2</v>
      </c>
      <c r="M69" s="278">
        <f>'Initial unit rates'!M196</f>
        <v>2.8449329457377874E-2</v>
      </c>
      <c r="N69" s="278">
        <f>'Initial unit rates'!N196</f>
        <v>2.2993120698490618E-2</v>
      </c>
      <c r="O69" s="278">
        <f>'Initial unit rates'!O196</f>
        <v>1.9025324403170389E-2</v>
      </c>
      <c r="P69" s="278">
        <f>'Initial unit rates'!P196</f>
        <v>1.7799538507705895E-2</v>
      </c>
      <c r="Q69" s="278">
        <f>'Initial unit rates'!Q196</f>
        <v>1.7215407406796241E-2</v>
      </c>
      <c r="R69" s="278">
        <f>'Initial unit rates'!R196</f>
        <v>-1.7162658009905088E-2</v>
      </c>
      <c r="S69" s="278">
        <f>'Initial unit rates'!S196</f>
        <v>-1.6197063820600082E-2</v>
      </c>
      <c r="T69" s="278">
        <f>'Initial unit rates'!T196</f>
        <v>-1.7162658009905088E-2</v>
      </c>
      <c r="U69" s="278">
        <f>'Initial unit rates'!U196</f>
        <v>-1.7162658009905088E-2</v>
      </c>
      <c r="V69" s="278">
        <f>'Initial unit rates'!V196</f>
        <v>-1.6197063820600082E-2</v>
      </c>
      <c r="W69" s="278">
        <f>'Initial unit rates'!W196</f>
        <v>-1.6197063820600082E-2</v>
      </c>
      <c r="X69" s="278">
        <f>'Initial unit rates'!X196</f>
        <v>-1.5947878223360079E-2</v>
      </c>
      <c r="Y69" s="278">
        <f>'Initial unit rates'!Y196</f>
        <v>-1.5947878223360079E-2</v>
      </c>
      <c r="Z69" s="267"/>
      <c r="AA69" s="267"/>
    </row>
    <row r="70" spans="3:27" x14ac:dyDescent="0.25">
      <c r="D70"/>
      <c r="F70" t="s">
        <v>192</v>
      </c>
      <c r="G70" t="s">
        <v>267</v>
      </c>
      <c r="H70" s="267"/>
      <c r="I70" s="267"/>
      <c r="J70" s="278">
        <f>'Initial unit rates'!J197</f>
        <v>9.5009860145699912E-2</v>
      </c>
      <c r="K70" s="278">
        <f>'Initial unit rates'!K197</f>
        <v>9.5009860145699912E-2</v>
      </c>
      <c r="L70" s="278">
        <f>'Initial unit rates'!L197</f>
        <v>0.10839577411379915</v>
      </c>
      <c r="M70" s="278">
        <f>'Initial unit rates'!M197</f>
        <v>0.10839577411379915</v>
      </c>
      <c r="N70" s="278">
        <f>'Initial unit rates'!N197</f>
        <v>8.7606884413177474E-2</v>
      </c>
      <c r="O70" s="278">
        <f>'Initial unit rates'!O197</f>
        <v>7.2489046518212155E-2</v>
      </c>
      <c r="P70" s="278">
        <f>'Initial unit rates'!P197</f>
        <v>6.7818637282883329E-2</v>
      </c>
      <c r="Q70" s="278">
        <f>'Initial unit rates'!Q197</f>
        <v>7.1297494994940522E-2</v>
      </c>
      <c r="R70" s="278">
        <f>'Initial unit rates'!R197</f>
        <v>-6.5392036871069509E-2</v>
      </c>
      <c r="S70" s="278">
        <f>'Initial unit rates'!S197</f>
        <v>-6.1712993054366873E-2</v>
      </c>
      <c r="T70" s="278">
        <f>'Initial unit rates'!T197</f>
        <v>-6.5392036871069509E-2</v>
      </c>
      <c r="U70" s="278">
        <f>'Initial unit rates'!U197</f>
        <v>-6.5392036871069509E-2</v>
      </c>
      <c r="V70" s="278">
        <f>'Initial unit rates'!V197</f>
        <v>-6.1712993054366873E-2</v>
      </c>
      <c r="W70" s="278">
        <f>'Initial unit rates'!W197</f>
        <v>-6.1712993054366873E-2</v>
      </c>
      <c r="X70" s="278">
        <f>'Initial unit rates'!X197</f>
        <v>-6.0763562391991988E-2</v>
      </c>
      <c r="Y70" s="278">
        <f>'Initial unit rates'!Y197</f>
        <v>-6.0763562391991988E-2</v>
      </c>
      <c r="Z70" s="267"/>
      <c r="AA70" s="267"/>
    </row>
    <row r="71" spans="3:27" x14ac:dyDescent="0.25">
      <c r="D71"/>
      <c r="F71" t="s">
        <v>193</v>
      </c>
      <c r="G71" t="s">
        <v>267</v>
      </c>
      <c r="H71" s="267"/>
      <c r="I71" s="267"/>
      <c r="J71" s="278">
        <f>'Initial unit rates'!J198</f>
        <v>3.6153600063511565E-2</v>
      </c>
      <c r="K71" s="278">
        <f>'Initial unit rates'!K198</f>
        <v>3.6153600063511565E-2</v>
      </c>
      <c r="L71" s="278">
        <f>'Initial unit rates'!L198</f>
        <v>4.1247271176647463E-2</v>
      </c>
      <c r="M71" s="278">
        <f>'Initial unit rates'!M198</f>
        <v>4.1247271176647463E-2</v>
      </c>
      <c r="N71" s="278">
        <f>'Initial unit rates'!N198</f>
        <v>3.3336584824218946E-2</v>
      </c>
      <c r="O71" s="278">
        <f>'Initial unit rates'!O198</f>
        <v>2.7583873850416784E-2</v>
      </c>
      <c r="P71" s="278">
        <f>'Initial unit rates'!P198</f>
        <v>2.5806667701833146E-2</v>
      </c>
      <c r="Q71" s="278">
        <f>'Initial unit rates'!Q198</f>
        <v>2.7130459045244273E-2</v>
      </c>
      <c r="R71" s="278">
        <f>'Initial unit rates'!R198</f>
        <v>-2.4883286268915211E-2</v>
      </c>
      <c r="S71" s="278">
        <f>'Initial unit rates'!S198</f>
        <v>-2.3483319164856461E-2</v>
      </c>
      <c r="T71" s="278">
        <f>'Initial unit rates'!T198</f>
        <v>-2.4883286268915211E-2</v>
      </c>
      <c r="U71" s="278">
        <f>'Initial unit rates'!U198</f>
        <v>-2.4883286268915211E-2</v>
      </c>
      <c r="V71" s="278">
        <f>'Initial unit rates'!V198</f>
        <v>-2.3483319164856461E-2</v>
      </c>
      <c r="W71" s="278">
        <f>'Initial unit rates'!W198</f>
        <v>-2.3483319164856461E-2</v>
      </c>
      <c r="X71" s="278">
        <f>'Initial unit rates'!X198</f>
        <v>-2.3122037331550976E-2</v>
      </c>
      <c r="Y71" s="278">
        <f>'Initial unit rates'!Y198</f>
        <v>-2.3122037331550976E-2</v>
      </c>
      <c r="Z71" s="267"/>
      <c r="AA71" s="267"/>
    </row>
    <row r="72" spans="3:27" x14ac:dyDescent="0.25">
      <c r="D72"/>
      <c r="F72" t="s">
        <v>194</v>
      </c>
      <c r="G72" t="s">
        <v>267</v>
      </c>
      <c r="H72" s="267"/>
      <c r="I72" s="267"/>
      <c r="J72" s="278">
        <f>'Initial unit rates'!J199</f>
        <v>0</v>
      </c>
      <c r="K72" s="278">
        <f>'Initial unit rates'!K199</f>
        <v>0</v>
      </c>
      <c r="L72" s="278">
        <f>'Initial unit rates'!L199</f>
        <v>0</v>
      </c>
      <c r="M72" s="278">
        <f>'Initial unit rates'!M199</f>
        <v>0</v>
      </c>
      <c r="N72" s="278">
        <f>'Initial unit rates'!N199</f>
        <v>0</v>
      </c>
      <c r="O72" s="278">
        <f>'Initial unit rates'!O199</f>
        <v>0</v>
      </c>
      <c r="P72" s="278">
        <f>'Initial unit rates'!P199</f>
        <v>0</v>
      </c>
      <c r="Q72" s="278">
        <f>'Initial unit rates'!Q199</f>
        <v>0</v>
      </c>
      <c r="R72" s="278">
        <f>'Initial unit rates'!R199</f>
        <v>0</v>
      </c>
      <c r="S72" s="278">
        <f>'Initial unit rates'!S199</f>
        <v>0</v>
      </c>
      <c r="T72" s="278">
        <f>'Initial unit rates'!T199</f>
        <v>0</v>
      </c>
      <c r="U72" s="278">
        <f>'Initial unit rates'!U199</f>
        <v>0</v>
      </c>
      <c r="V72" s="278">
        <f>'Initial unit rates'!V199</f>
        <v>0</v>
      </c>
      <c r="W72" s="278">
        <f>'Initial unit rates'!W199</f>
        <v>0</v>
      </c>
      <c r="X72" s="278">
        <f>'Initial unit rates'!X199</f>
        <v>0</v>
      </c>
      <c r="Y72" s="278">
        <f>'Initial unit rates'!Y199</f>
        <v>0</v>
      </c>
      <c r="Z72" s="267"/>
      <c r="AA72" s="267"/>
    </row>
    <row r="73" spans="3:27" x14ac:dyDescent="0.25">
      <c r="D73"/>
      <c r="F73" t="s">
        <v>195</v>
      </c>
      <c r="G73" t="s">
        <v>267</v>
      </c>
      <c r="H73" s="267"/>
      <c r="I73" s="267"/>
      <c r="J73" s="278">
        <f>'Initial unit rates'!J200</f>
        <v>0.16732577047906674</v>
      </c>
      <c r="K73" s="278">
        <f>'Initial unit rates'!K200</f>
        <v>0.16732577047906674</v>
      </c>
      <c r="L73" s="278">
        <f>'Initial unit rates'!L200</f>
        <v>0.19090025385209672</v>
      </c>
      <c r="M73" s="278">
        <f>'Initial unit rates'!M200</f>
        <v>0.19090025385209672</v>
      </c>
      <c r="N73" s="278">
        <f>'Initial unit rates'!N200</f>
        <v>0.15428808558633497</v>
      </c>
      <c r="O73" s="278">
        <f>'Initial unit rates'!O200</f>
        <v>0.12766343978774627</v>
      </c>
      <c r="P73" s="278">
        <f>'Initial unit rates'!P200</f>
        <v>0.11943819008676236</v>
      </c>
      <c r="Q73" s="278">
        <f>'Initial unit rates'!Q200</f>
        <v>0.12556494941641874</v>
      </c>
      <c r="R73" s="278">
        <f>'Initial unit rates'!R200</f>
        <v>-0.11516460434598864</v>
      </c>
      <c r="S73" s="278">
        <f>'Initial unit rates'!S200</f>
        <v>-0.1086852890379566</v>
      </c>
      <c r="T73" s="278">
        <f>'Initial unit rates'!T200</f>
        <v>-0.11516460434598864</v>
      </c>
      <c r="U73" s="278">
        <f>'Initial unit rates'!U200</f>
        <v>-0.11516460434598864</v>
      </c>
      <c r="V73" s="278">
        <f>'Initial unit rates'!V200</f>
        <v>-0.1086852890379566</v>
      </c>
      <c r="W73" s="278">
        <f>'Initial unit rates'!W200</f>
        <v>-0.1086852890379566</v>
      </c>
      <c r="X73" s="278">
        <f>'Initial unit rates'!X200</f>
        <v>0</v>
      </c>
      <c r="Y73" s="278">
        <f>'Initial unit rates'!Y200</f>
        <v>0</v>
      </c>
      <c r="Z73" s="267"/>
      <c r="AA73" s="267"/>
    </row>
    <row r="74" spans="3:27" x14ac:dyDescent="0.25">
      <c r="D74"/>
      <c r="F74" t="s">
        <v>196</v>
      </c>
      <c r="G74" t="s">
        <v>267</v>
      </c>
      <c r="H74" s="267"/>
      <c r="I74" s="267"/>
      <c r="J74" s="278">
        <f>'Initial unit rates'!J201</f>
        <v>5.0890598236739124E-2</v>
      </c>
      <c r="K74" s="278">
        <f>'Initial unit rates'!K201</f>
        <v>5.0890598236739124E-2</v>
      </c>
      <c r="L74" s="278">
        <f>'Initial unit rates'!L201</f>
        <v>5.8060561109407605E-2</v>
      </c>
      <c r="M74" s="278">
        <f>'Initial unit rates'!M201</f>
        <v>5.8060561109407605E-2</v>
      </c>
      <c r="N74" s="278">
        <f>'Initial unit rates'!N201</f>
        <v>4.6925305969364076E-2</v>
      </c>
      <c r="O74" s="278">
        <f>'Initial unit rates'!O201</f>
        <v>3.8827664173649343E-2</v>
      </c>
      <c r="P74" s="278">
        <f>'Initial unit rates'!P201</f>
        <v>0</v>
      </c>
      <c r="Q74" s="278">
        <f>'Initial unit rates'!Q201</f>
        <v>3.8189427576350923E-2</v>
      </c>
      <c r="R74" s="278">
        <f>'Initial unit rates'!R201</f>
        <v>-3.5026258024001999E-2</v>
      </c>
      <c r="S74" s="278">
        <f>'Initial unit rates'!S201</f>
        <v>0</v>
      </c>
      <c r="T74" s="278">
        <f>'Initial unit rates'!T201</f>
        <v>-3.5026258024001999E-2</v>
      </c>
      <c r="U74" s="278">
        <f>'Initial unit rates'!U201</f>
        <v>-3.5026258024001999E-2</v>
      </c>
      <c r="V74" s="278">
        <f>'Initial unit rates'!V201</f>
        <v>0</v>
      </c>
      <c r="W74" s="278">
        <f>'Initial unit rates'!W201</f>
        <v>0</v>
      </c>
      <c r="X74" s="278">
        <f>'Initial unit rates'!X201</f>
        <v>0</v>
      </c>
      <c r="Y74" s="278">
        <f>'Initial unit rates'!Y201</f>
        <v>0</v>
      </c>
      <c r="Z74" s="267"/>
      <c r="AA74" s="267"/>
    </row>
    <row r="75" spans="3:27" x14ac:dyDescent="0.25">
      <c r="D75"/>
      <c r="F75" t="s">
        <v>197</v>
      </c>
      <c r="G75" t="s">
        <v>267</v>
      </c>
      <c r="H75" s="267"/>
      <c r="I75" s="267"/>
      <c r="J75" s="278">
        <f>'Initial unit rates'!J202</f>
        <v>9.5122165974194081E-2</v>
      </c>
      <c r="K75" s="278">
        <f>'Initial unit rates'!K202</f>
        <v>9.5122165974194081E-2</v>
      </c>
      <c r="L75" s="278">
        <f>'Initial unit rates'!L202</f>
        <v>0.10852390268064946</v>
      </c>
      <c r="M75" s="278">
        <f>'Initial unit rates'!M202</f>
        <v>0.10852390268064946</v>
      </c>
      <c r="N75" s="278">
        <f>'Initial unit rates'!N202</f>
        <v>8.7710439599141599E-2</v>
      </c>
      <c r="O75" s="278">
        <f>'Initial unit rates'!O202</f>
        <v>0</v>
      </c>
      <c r="P75" s="278">
        <f>'Initial unit rates'!P202</f>
        <v>0</v>
      </c>
      <c r="Q75" s="278">
        <f>'Initial unit rates'!Q202</f>
        <v>7.1381771766137594E-2</v>
      </c>
      <c r="R75" s="278">
        <f>'Initial unit rates'!R202</f>
        <v>0</v>
      </c>
      <c r="S75" s="278">
        <f>'Initial unit rates'!S202</f>
        <v>0</v>
      </c>
      <c r="T75" s="278">
        <f>'Initial unit rates'!T202</f>
        <v>0</v>
      </c>
      <c r="U75" s="278">
        <f>'Initial unit rates'!U202</f>
        <v>0</v>
      </c>
      <c r="V75" s="278">
        <f>'Initial unit rates'!V202</f>
        <v>0</v>
      </c>
      <c r="W75" s="278">
        <f>'Initial unit rates'!W202</f>
        <v>0</v>
      </c>
      <c r="X75" s="278">
        <f>'Initial unit rates'!X202</f>
        <v>0</v>
      </c>
      <c r="Y75" s="278">
        <f>'Initial unit rates'!Y202</f>
        <v>0</v>
      </c>
      <c r="Z75" s="267"/>
      <c r="AA75" s="267"/>
    </row>
    <row r="76" spans="3:27" x14ac:dyDescent="0.25">
      <c r="D76"/>
      <c r="F76" s="95" t="s">
        <v>332</v>
      </c>
      <c r="G76" s="95" t="s">
        <v>267</v>
      </c>
      <c r="H76" s="265"/>
      <c r="I76" s="265" t="s">
        <v>152</v>
      </c>
      <c r="J76" s="279"/>
      <c r="K76" s="279"/>
      <c r="L76" s="279"/>
      <c r="M76" s="279"/>
      <c r="N76" s="279"/>
      <c r="O76" s="279"/>
      <c r="P76" s="279"/>
      <c r="Q76" s="277">
        <f>'Service model charges'!$Q$44</f>
        <v>0</v>
      </c>
      <c r="R76" s="279"/>
      <c r="S76" s="279"/>
      <c r="T76" s="279"/>
      <c r="U76" s="279"/>
      <c r="V76" s="279"/>
      <c r="W76" s="279"/>
      <c r="X76" s="279"/>
      <c r="Y76" s="279"/>
      <c r="Z76" s="267"/>
      <c r="AA76" s="267" t="s">
        <v>609</v>
      </c>
    </row>
    <row r="77" spans="3:27" x14ac:dyDescent="0.25">
      <c r="D77"/>
      <c r="F77" s="96" t="s">
        <v>333</v>
      </c>
      <c r="G77" s="96" t="s">
        <v>267</v>
      </c>
      <c r="H77" s="269"/>
      <c r="I77" s="269"/>
      <c r="J77" s="275"/>
      <c r="K77" s="275"/>
      <c r="L77" s="275"/>
      <c r="M77" s="275"/>
      <c r="N77" s="275"/>
      <c r="O77" s="275"/>
      <c r="P77" s="275"/>
      <c r="Q77" s="275"/>
      <c r="R77" s="275"/>
      <c r="S77" s="275"/>
      <c r="T77" s="275"/>
      <c r="U77" s="275"/>
      <c r="V77" s="275"/>
      <c r="W77" s="275"/>
      <c r="X77" s="275"/>
      <c r="Y77" s="275"/>
      <c r="Z77" s="267"/>
      <c r="AA77" s="267"/>
    </row>
    <row r="78" spans="3:27" x14ac:dyDescent="0.25">
      <c r="J78" s="106"/>
      <c r="K78" s="106"/>
      <c r="L78" s="106"/>
      <c r="M78" s="106"/>
      <c r="N78" s="106"/>
      <c r="O78" s="106"/>
      <c r="P78" s="106"/>
      <c r="Q78" s="106"/>
      <c r="R78" s="106"/>
      <c r="S78" s="106"/>
      <c r="T78" s="106"/>
      <c r="U78" s="106"/>
      <c r="V78" s="106"/>
      <c r="W78" s="106"/>
      <c r="X78" s="106"/>
      <c r="Y78" s="106"/>
    </row>
    <row r="79" spans="3:27" x14ac:dyDescent="0.2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25">
      <c r="D80" s="75"/>
      <c r="E80" s="75"/>
      <c r="J80" s="106"/>
      <c r="K80" s="106"/>
      <c r="L80" s="106"/>
      <c r="M80" s="106"/>
      <c r="N80" s="106"/>
      <c r="O80" s="106"/>
      <c r="P80" s="106"/>
      <c r="Q80" s="106"/>
      <c r="R80" s="106"/>
      <c r="S80" s="106"/>
      <c r="T80" s="106"/>
      <c r="U80" s="106"/>
      <c r="V80" s="106"/>
      <c r="W80" s="106"/>
      <c r="X80" s="106"/>
      <c r="Y80" s="106"/>
    </row>
    <row r="81" spans="4:27" x14ac:dyDescent="0.25">
      <c r="D81"/>
      <c r="E81" s="75" t="s">
        <v>576</v>
      </c>
      <c r="J81" s="106"/>
      <c r="K81" s="106"/>
      <c r="L81" s="106"/>
      <c r="M81" s="106"/>
      <c r="N81" s="106"/>
      <c r="O81" s="106"/>
      <c r="P81" s="106"/>
      <c r="Q81" s="106"/>
      <c r="R81" s="106"/>
      <c r="S81" s="106"/>
      <c r="T81" s="106"/>
      <c r="U81" s="106"/>
      <c r="V81" s="106"/>
      <c r="W81" s="106"/>
      <c r="X81" s="106"/>
      <c r="Y81" s="106"/>
    </row>
    <row r="82" spans="4:27" x14ac:dyDescent="0.25">
      <c r="D82"/>
      <c r="F82" s="95" t="s">
        <v>187</v>
      </c>
      <c r="G82" s="95" t="s">
        <v>267</v>
      </c>
      <c r="H82" s="265"/>
      <c r="I82" s="265"/>
      <c r="J82" s="277">
        <f>'Initial unit rates'!J210</f>
        <v>0</v>
      </c>
      <c r="K82" s="277">
        <f>'Initial unit rates'!K210</f>
        <v>0</v>
      </c>
      <c r="L82" s="277">
        <f>'Initial unit rates'!L210</f>
        <v>0</v>
      </c>
      <c r="M82" s="277">
        <f>'Initial unit rates'!M210</f>
        <v>0</v>
      </c>
      <c r="N82" s="277">
        <f>'Initial unit rates'!N210</f>
        <v>0</v>
      </c>
      <c r="O82" s="277">
        <f>'Initial unit rates'!O210</f>
        <v>0</v>
      </c>
      <c r="P82" s="277">
        <f>'Initial unit rates'!P210</f>
        <v>0</v>
      </c>
      <c r="Q82" s="277">
        <f>'Initial unit rates'!Q210</f>
        <v>0</v>
      </c>
      <c r="R82" s="277">
        <f>'Initial unit rates'!R210</f>
        <v>0</v>
      </c>
      <c r="S82" s="277">
        <f>'Initial unit rates'!S210</f>
        <v>0</v>
      </c>
      <c r="T82" s="277">
        <f>'Initial unit rates'!T210</f>
        <v>0</v>
      </c>
      <c r="U82" s="277">
        <f>'Initial unit rates'!U210</f>
        <v>0</v>
      </c>
      <c r="V82" s="277">
        <f>'Initial unit rates'!V210</f>
        <v>0</v>
      </c>
      <c r="W82" s="277">
        <f>'Initial unit rates'!W210</f>
        <v>0</v>
      </c>
      <c r="X82" s="277">
        <f>'Initial unit rates'!X210</f>
        <v>0</v>
      </c>
      <c r="Y82" s="277">
        <f>'Initial unit rates'!Y210</f>
        <v>0</v>
      </c>
      <c r="Z82" s="267"/>
      <c r="AA82" s="267"/>
    </row>
    <row r="83" spans="4:27" x14ac:dyDescent="0.25">
      <c r="D83"/>
      <c r="F83" t="s">
        <v>189</v>
      </c>
      <c r="G83" t="s">
        <v>267</v>
      </c>
      <c r="H83" s="267"/>
      <c r="I83" s="267"/>
      <c r="J83" s="278">
        <f>'Initial unit rates'!J211</f>
        <v>0</v>
      </c>
      <c r="K83" s="278">
        <f>'Initial unit rates'!K211</f>
        <v>0</v>
      </c>
      <c r="L83" s="278">
        <f>'Initial unit rates'!L211</f>
        <v>0</v>
      </c>
      <c r="M83" s="278">
        <f>'Initial unit rates'!M211</f>
        <v>0</v>
      </c>
      <c r="N83" s="278">
        <f>'Initial unit rates'!N211</f>
        <v>0</v>
      </c>
      <c r="O83" s="278">
        <f>'Initial unit rates'!O211</f>
        <v>0</v>
      </c>
      <c r="P83" s="278">
        <f>'Initial unit rates'!P211</f>
        <v>0</v>
      </c>
      <c r="Q83" s="278">
        <f>'Initial unit rates'!Q211</f>
        <v>0</v>
      </c>
      <c r="R83" s="278">
        <f>'Initial unit rates'!R211</f>
        <v>0</v>
      </c>
      <c r="S83" s="278">
        <f>'Initial unit rates'!S211</f>
        <v>0</v>
      </c>
      <c r="T83" s="278">
        <f>'Initial unit rates'!T211</f>
        <v>0</v>
      </c>
      <c r="U83" s="278">
        <f>'Initial unit rates'!U211</f>
        <v>0</v>
      </c>
      <c r="V83" s="278">
        <f>'Initial unit rates'!V211</f>
        <v>0</v>
      </c>
      <c r="W83" s="278">
        <f>'Initial unit rates'!W211</f>
        <v>0</v>
      </c>
      <c r="X83" s="278">
        <f>'Initial unit rates'!X211</f>
        <v>0</v>
      </c>
      <c r="Y83" s="278">
        <f>'Initial unit rates'!Y211</f>
        <v>0</v>
      </c>
      <c r="Z83" s="267"/>
      <c r="AA83" s="267"/>
    </row>
    <row r="84" spans="4:27" x14ac:dyDescent="0.25">
      <c r="D84"/>
      <c r="F84" t="s">
        <v>190</v>
      </c>
      <c r="G84" t="s">
        <v>267</v>
      </c>
      <c r="H84" s="267"/>
      <c r="I84" s="267"/>
      <c r="J84" s="278">
        <f>'Initial unit rates'!J212</f>
        <v>2.0791334841064327E-2</v>
      </c>
      <c r="K84" s="278">
        <f>'Initial unit rates'!K212</f>
        <v>2.0791334841064327E-2</v>
      </c>
      <c r="L84" s="278">
        <f>'Initial unit rates'!L212</f>
        <v>2.3720620486129322E-2</v>
      </c>
      <c r="M84" s="278">
        <f>'Initial unit rates'!M212</f>
        <v>2.3720620486129322E-2</v>
      </c>
      <c r="N84" s="278">
        <f>'Initial unit rates'!N212</f>
        <v>1.9171316171011442E-2</v>
      </c>
      <c r="O84" s="278">
        <f>'Initial unit rates'!O212</f>
        <v>1.5863027649534431E-2</v>
      </c>
      <c r="P84" s="278">
        <f>'Initial unit rates'!P212</f>
        <v>1.4840985915049088E-2</v>
      </c>
      <c r="Q84" s="278">
        <f>'Initial unit rates'!Q212</f>
        <v>1.7423784299998385E-2</v>
      </c>
      <c r="R84" s="278">
        <f>'Initial unit rates'!R212</f>
        <v>-1.4309964591471559E-2</v>
      </c>
      <c r="S84" s="278">
        <f>'Initial unit rates'!S212</f>
        <v>-1.3504866765091127E-2</v>
      </c>
      <c r="T84" s="278">
        <f>'Initial unit rates'!T212</f>
        <v>-1.4309964591471559E-2</v>
      </c>
      <c r="U84" s="278">
        <f>'Initial unit rates'!U212</f>
        <v>-1.4309964591471559E-2</v>
      </c>
      <c r="V84" s="278">
        <f>'Initial unit rates'!V212</f>
        <v>-1.3504866765091127E-2</v>
      </c>
      <c r="W84" s="278">
        <f>'Initial unit rates'!W212</f>
        <v>-1.3504866765091127E-2</v>
      </c>
      <c r="X84" s="278">
        <f>'Initial unit rates'!X212</f>
        <v>-1.3297099584089722E-2</v>
      </c>
      <c r="Y84" s="278">
        <f>'Initial unit rates'!Y212</f>
        <v>-1.3297099584089722E-2</v>
      </c>
      <c r="Z84" s="267"/>
      <c r="AA84" s="267"/>
    </row>
    <row r="85" spans="4:27" x14ac:dyDescent="0.25">
      <c r="D85"/>
      <c r="F85" t="s">
        <v>191</v>
      </c>
      <c r="G85" t="s">
        <v>267</v>
      </c>
      <c r="H85" s="267"/>
      <c r="I85" s="267"/>
      <c r="J85" s="278">
        <f>'Initial unit rates'!J213</f>
        <v>1.287846733333713E-2</v>
      </c>
      <c r="K85" s="278">
        <f>'Initial unit rates'!K213</f>
        <v>1.287846733333713E-2</v>
      </c>
      <c r="L85" s="278">
        <f>'Initial unit rates'!L213</f>
        <v>1.4692911176330509E-2</v>
      </c>
      <c r="M85" s="278">
        <f>'Initial unit rates'!M213</f>
        <v>1.4692911176330509E-2</v>
      </c>
      <c r="N85" s="278">
        <f>'Initial unit rates'!N213</f>
        <v>1.1875003261349517E-2</v>
      </c>
      <c r="O85" s="278">
        <f>'Initial unit rates'!O213</f>
        <v>9.825799303124251E-3</v>
      </c>
      <c r="P85" s="278">
        <f>'Initial unit rates'!P213</f>
        <v>9.192731191264486E-3</v>
      </c>
      <c r="Q85" s="278">
        <f>'Initial unit rates'!Q213</f>
        <v>1.0792555583658462E-2</v>
      </c>
      <c r="R85" s="278">
        <f>'Initial unit rates'!R213</f>
        <v>-8.8638085501124789E-3</v>
      </c>
      <c r="S85" s="278">
        <f>'Initial unit rates'!S213</f>
        <v>-8.3651187768756588E-3</v>
      </c>
      <c r="T85" s="278">
        <f>'Initial unit rates'!T213</f>
        <v>-8.8638085501124789E-3</v>
      </c>
      <c r="U85" s="278">
        <f>'Initial unit rates'!U213</f>
        <v>-8.8638085501124789E-3</v>
      </c>
      <c r="V85" s="278">
        <f>'Initial unit rates'!V213</f>
        <v>-8.3651187768756588E-3</v>
      </c>
      <c r="W85" s="278">
        <f>'Initial unit rates'!W213</f>
        <v>-8.3651187768756588E-3</v>
      </c>
      <c r="X85" s="278">
        <f>'Initial unit rates'!X213</f>
        <v>-8.236424641846804E-3</v>
      </c>
      <c r="Y85" s="278">
        <f>'Initial unit rates'!Y213</f>
        <v>-8.236424641846804E-3</v>
      </c>
      <c r="Z85" s="267"/>
      <c r="AA85" s="267"/>
    </row>
    <row r="86" spans="4:27" x14ac:dyDescent="0.25">
      <c r="D86"/>
      <c r="F86" t="s">
        <v>192</v>
      </c>
      <c r="G86" t="s">
        <v>267</v>
      </c>
      <c r="H86" s="267"/>
      <c r="I86" s="267"/>
      <c r="J86" s="278">
        <f>'Initial unit rates'!J214</f>
        <v>3.8628624961362025E-2</v>
      </c>
      <c r="K86" s="278">
        <f>'Initial unit rates'!K214</f>
        <v>3.8628624961362025E-2</v>
      </c>
      <c r="L86" s="278">
        <f>'Initial unit rates'!L214</f>
        <v>4.4071001675166345E-2</v>
      </c>
      <c r="M86" s="278">
        <f>'Initial unit rates'!M214</f>
        <v>4.4071001675166345E-2</v>
      </c>
      <c r="N86" s="278">
        <f>'Initial unit rates'!N214</f>
        <v>3.5618760798514754E-2</v>
      </c>
      <c r="O86" s="278">
        <f>'Initial unit rates'!O214</f>
        <v>2.947222727688097E-2</v>
      </c>
      <c r="P86" s="278">
        <f>'Initial unit rates'!P214</f>
        <v>2.7573356080871064E-2</v>
      </c>
      <c r="Q86" s="278">
        <f>'Initial unit rates'!Q214</f>
        <v>3.2371987382117072E-2</v>
      </c>
      <c r="R86" s="278">
        <f>'Initial unit rates'!R214</f>
        <v>-2.6586761246447606E-2</v>
      </c>
      <c r="S86" s="278">
        <f>'Initial unit rates'!S214</f>
        <v>-2.5090954352364345E-2</v>
      </c>
      <c r="T86" s="278">
        <f>'Initial unit rates'!T214</f>
        <v>-2.6586761246447606E-2</v>
      </c>
      <c r="U86" s="278">
        <f>'Initial unit rates'!U214</f>
        <v>-2.6586761246447606E-2</v>
      </c>
      <c r="V86" s="278">
        <f>'Initial unit rates'!V214</f>
        <v>-2.5090954352364345E-2</v>
      </c>
      <c r="W86" s="278">
        <f>'Initial unit rates'!W214</f>
        <v>-2.5090954352364345E-2</v>
      </c>
      <c r="X86" s="278">
        <f>'Initial unit rates'!X214</f>
        <v>-2.4704939670020281E-2</v>
      </c>
      <c r="Y86" s="278">
        <f>'Initial unit rates'!Y214</f>
        <v>-2.4704939670020281E-2</v>
      </c>
      <c r="Z86" s="267"/>
      <c r="AA86" s="267"/>
    </row>
    <row r="87" spans="4:27" x14ac:dyDescent="0.25">
      <c r="D87"/>
      <c r="F87" t="s">
        <v>193</v>
      </c>
      <c r="G87" t="s">
        <v>267</v>
      </c>
      <c r="H87" s="267"/>
      <c r="I87" s="267"/>
      <c r="J87" s="278">
        <f>'Initial unit rates'!J215</f>
        <v>1.4699146548735028E-2</v>
      </c>
      <c r="K87" s="278">
        <f>'Initial unit rates'!K215</f>
        <v>1.4699146548735028E-2</v>
      </c>
      <c r="L87" s="278">
        <f>'Initial unit rates'!L215</f>
        <v>1.6770105402943544E-2</v>
      </c>
      <c r="M87" s="278">
        <f>'Initial unit rates'!M215</f>
        <v>1.6770105402943544E-2</v>
      </c>
      <c r="N87" s="278">
        <f>'Initial unit rates'!N215</f>
        <v>1.3553818842513778E-2</v>
      </c>
      <c r="O87" s="278">
        <f>'Initial unit rates'!O215</f>
        <v>1.1214910918879993E-2</v>
      </c>
      <c r="P87" s="278">
        <f>'Initial unit rates'!P215</f>
        <v>1.0492343496010558E-2</v>
      </c>
      <c r="Q87" s="278">
        <f>'Initial unit rates'!Q215</f>
        <v>1.2318341309831653E-2</v>
      </c>
      <c r="R87" s="278">
        <f>'Initial unit rates'!R215</f>
        <v>-1.0116919776685289E-2</v>
      </c>
      <c r="S87" s="278">
        <f>'Initial unit rates'!S215</f>
        <v>-9.5477282828971884E-3</v>
      </c>
      <c r="T87" s="278">
        <f>'Initial unit rates'!T215</f>
        <v>-1.0116919776685289E-2</v>
      </c>
      <c r="U87" s="278">
        <f>'Initial unit rates'!U215</f>
        <v>-1.0116919776685289E-2</v>
      </c>
      <c r="V87" s="278">
        <f>'Initial unit rates'!V215</f>
        <v>-9.5477282828971884E-3</v>
      </c>
      <c r="W87" s="278">
        <f>'Initial unit rates'!W215</f>
        <v>-9.5477282828971884E-3</v>
      </c>
      <c r="X87" s="278">
        <f>'Initial unit rates'!X215</f>
        <v>-9.4008401554680019E-3</v>
      </c>
      <c r="Y87" s="278">
        <f>'Initial unit rates'!Y215</f>
        <v>-9.4008401554680019E-3</v>
      </c>
      <c r="Z87" s="267"/>
      <c r="AA87" s="267"/>
    </row>
    <row r="88" spans="4:27" x14ac:dyDescent="0.25">
      <c r="D88"/>
      <c r="F88" t="s">
        <v>194</v>
      </c>
      <c r="G88" t="s">
        <v>267</v>
      </c>
      <c r="H88" s="267"/>
      <c r="I88" s="267"/>
      <c r="J88" s="278">
        <f>'Initial unit rates'!J216</f>
        <v>0</v>
      </c>
      <c r="K88" s="278">
        <f>'Initial unit rates'!K216</f>
        <v>0</v>
      </c>
      <c r="L88" s="278">
        <f>'Initial unit rates'!L216</f>
        <v>0</v>
      </c>
      <c r="M88" s="278">
        <f>'Initial unit rates'!M216</f>
        <v>0</v>
      </c>
      <c r="N88" s="278">
        <f>'Initial unit rates'!N216</f>
        <v>0</v>
      </c>
      <c r="O88" s="278">
        <f>'Initial unit rates'!O216</f>
        <v>0</v>
      </c>
      <c r="P88" s="278">
        <f>'Initial unit rates'!P216</f>
        <v>0</v>
      </c>
      <c r="Q88" s="278">
        <f>'Initial unit rates'!Q216</f>
        <v>0</v>
      </c>
      <c r="R88" s="278">
        <f>'Initial unit rates'!R216</f>
        <v>0</v>
      </c>
      <c r="S88" s="278">
        <f>'Initial unit rates'!S216</f>
        <v>0</v>
      </c>
      <c r="T88" s="278">
        <f>'Initial unit rates'!T216</f>
        <v>0</v>
      </c>
      <c r="U88" s="278">
        <f>'Initial unit rates'!U216</f>
        <v>0</v>
      </c>
      <c r="V88" s="278">
        <f>'Initial unit rates'!V216</f>
        <v>0</v>
      </c>
      <c r="W88" s="278">
        <f>'Initial unit rates'!W216</f>
        <v>0</v>
      </c>
      <c r="X88" s="278">
        <f>'Initial unit rates'!X216</f>
        <v>0</v>
      </c>
      <c r="Y88" s="278">
        <f>'Initial unit rates'!Y216</f>
        <v>0</v>
      </c>
      <c r="Z88" s="267"/>
      <c r="AA88" s="267"/>
    </row>
    <row r="89" spans="4:27" x14ac:dyDescent="0.25">
      <c r="D89"/>
      <c r="F89" t="s">
        <v>195</v>
      </c>
      <c r="G89" t="s">
        <v>267</v>
      </c>
      <c r="H89" s="267"/>
      <c r="I89" s="267"/>
      <c r="J89" s="278">
        <f>'Initial unit rates'!J217</f>
        <v>6.8030459410157812E-2</v>
      </c>
      <c r="K89" s="278">
        <f>'Initial unit rates'!K217</f>
        <v>6.8030459410157812E-2</v>
      </c>
      <c r="L89" s="278">
        <f>'Initial unit rates'!L217</f>
        <v>7.7615252772427132E-2</v>
      </c>
      <c r="M89" s="278">
        <f>'Initial unit rates'!M217</f>
        <v>7.7615252772427132E-2</v>
      </c>
      <c r="N89" s="278">
        <f>'Initial unit rates'!N217</f>
        <v>6.2729663899950508E-2</v>
      </c>
      <c r="O89" s="278">
        <f>'Initial unit rates'!O217</f>
        <v>5.1904751036110953E-2</v>
      </c>
      <c r="P89" s="278">
        <f>'Initial unit rates'!P217</f>
        <v>4.856057091179946E-2</v>
      </c>
      <c r="Q89" s="278">
        <f>'Initial unit rates'!Q217</f>
        <v>5.7011637764172826E-2</v>
      </c>
      <c r="R89" s="278">
        <f>'Initial unit rates'!R217</f>
        <v>-4.6823038190801719E-2</v>
      </c>
      <c r="S89" s="278">
        <f>'Initial unit rates'!S217</f>
        <v>-4.4188711178252078E-2</v>
      </c>
      <c r="T89" s="278">
        <f>'Initial unit rates'!T217</f>
        <v>-4.6823038190801719E-2</v>
      </c>
      <c r="U89" s="278">
        <f>'Initial unit rates'!U217</f>
        <v>-4.6823038190801719E-2</v>
      </c>
      <c r="V89" s="278">
        <f>'Initial unit rates'!V217</f>
        <v>-4.4188711178252078E-2</v>
      </c>
      <c r="W89" s="278">
        <f>'Initial unit rates'!W217</f>
        <v>-4.4188711178252078E-2</v>
      </c>
      <c r="X89" s="278">
        <f>'Initial unit rates'!X217</f>
        <v>0</v>
      </c>
      <c r="Y89" s="278">
        <f>'Initial unit rates'!Y217</f>
        <v>0</v>
      </c>
      <c r="Z89" s="267"/>
      <c r="AA89" s="267"/>
    </row>
    <row r="90" spans="4:27" x14ac:dyDescent="0.25">
      <c r="D90"/>
      <c r="F90" t="s">
        <v>196</v>
      </c>
      <c r="G90" t="s">
        <v>267</v>
      </c>
      <c r="H90" s="267"/>
      <c r="I90" s="267"/>
      <c r="J90" s="278">
        <f>'Initial unit rates'!J218</f>
        <v>2.0690840196287977E-2</v>
      </c>
      <c r="K90" s="278">
        <f>'Initial unit rates'!K218</f>
        <v>2.0690840196287977E-2</v>
      </c>
      <c r="L90" s="278">
        <f>'Initial unit rates'!L218</f>
        <v>2.3605967177534628E-2</v>
      </c>
      <c r="M90" s="278">
        <f>'Initial unit rates'!M218</f>
        <v>2.3605967177534628E-2</v>
      </c>
      <c r="N90" s="278">
        <f>'Initial unit rates'!N218</f>
        <v>1.9078651865269244E-2</v>
      </c>
      <c r="O90" s="278">
        <f>'Initial unit rates'!O218</f>
        <v>1.578635391305221E-2</v>
      </c>
      <c r="P90" s="278">
        <f>'Initial unit rates'!P218</f>
        <v>0</v>
      </c>
      <c r="Q90" s="278">
        <f>'Initial unit rates'!Q218</f>
        <v>1.7339566666677908E-2</v>
      </c>
      <c r="R90" s="278">
        <f>'Initial unit rates'!R218</f>
        <v>-1.4240797564949444E-2</v>
      </c>
      <c r="S90" s="278">
        <f>'Initial unit rates'!S218</f>
        <v>0</v>
      </c>
      <c r="T90" s="278">
        <f>'Initial unit rates'!T218</f>
        <v>-1.4240797564949444E-2</v>
      </c>
      <c r="U90" s="278">
        <f>'Initial unit rates'!U218</f>
        <v>-1.4240797564949444E-2</v>
      </c>
      <c r="V90" s="278">
        <f>'Initial unit rates'!V218</f>
        <v>0</v>
      </c>
      <c r="W90" s="278">
        <f>'Initial unit rates'!W218</f>
        <v>0</v>
      </c>
      <c r="X90" s="278">
        <f>'Initial unit rates'!X218</f>
        <v>0</v>
      </c>
      <c r="Y90" s="278">
        <f>'Initial unit rates'!Y218</f>
        <v>0</v>
      </c>
      <c r="Z90" s="267"/>
      <c r="AA90" s="267"/>
    </row>
    <row r="91" spans="4:27" x14ac:dyDescent="0.25">
      <c r="D91"/>
      <c r="F91" t="s">
        <v>197</v>
      </c>
      <c r="G91" t="s">
        <v>267</v>
      </c>
      <c r="H91" s="267"/>
      <c r="I91" s="267"/>
      <c r="J91" s="278">
        <f>'Initial unit rates'!J219</f>
        <v>3.8674285693029484E-2</v>
      </c>
      <c r="K91" s="278">
        <f>'Initial unit rates'!K219</f>
        <v>3.8674285693029484E-2</v>
      </c>
      <c r="L91" s="278">
        <f>'Initial unit rates'!L219</f>
        <v>4.4123095535194209E-2</v>
      </c>
      <c r="M91" s="278">
        <f>'Initial unit rates'!M219</f>
        <v>4.4123095535194209E-2</v>
      </c>
      <c r="N91" s="278">
        <f>'Initial unit rates'!N219</f>
        <v>3.5660863738517803E-2</v>
      </c>
      <c r="O91" s="278">
        <f>'Initial unit rates'!O219</f>
        <v>0</v>
      </c>
      <c r="P91" s="278">
        <f>'Initial unit rates'!P219</f>
        <v>0</v>
      </c>
      <c r="Q91" s="278">
        <f>'Initial unit rates'!Q219</f>
        <v>3.2410252493310532E-2</v>
      </c>
      <c r="R91" s="278">
        <f>'Initial unit rates'!R219</f>
        <v>0</v>
      </c>
      <c r="S91" s="278">
        <f>'Initial unit rates'!S219</f>
        <v>0</v>
      </c>
      <c r="T91" s="278">
        <f>'Initial unit rates'!T219</f>
        <v>0</v>
      </c>
      <c r="U91" s="278">
        <f>'Initial unit rates'!U219</f>
        <v>0</v>
      </c>
      <c r="V91" s="278">
        <f>'Initial unit rates'!V219</f>
        <v>0</v>
      </c>
      <c r="W91" s="278">
        <f>'Initial unit rates'!W219</f>
        <v>0</v>
      </c>
      <c r="X91" s="278">
        <f>'Initial unit rates'!X219</f>
        <v>0</v>
      </c>
      <c r="Y91" s="278">
        <f>'Initial unit rates'!Y219</f>
        <v>0</v>
      </c>
      <c r="Z91" s="267"/>
      <c r="AA91" s="267"/>
    </row>
    <row r="92" spans="4:27" x14ac:dyDescent="0.25">
      <c r="D92"/>
      <c r="F92" s="95" t="s">
        <v>332</v>
      </c>
      <c r="G92" s="95" t="s">
        <v>267</v>
      </c>
      <c r="H92" s="265"/>
      <c r="I92" s="265"/>
      <c r="J92" s="279"/>
      <c r="K92" s="279"/>
      <c r="L92" s="279"/>
      <c r="M92" s="279"/>
      <c r="N92" s="279"/>
      <c r="O92" s="279"/>
      <c r="P92" s="279"/>
      <c r="Q92" s="279"/>
      <c r="R92" s="279"/>
      <c r="S92" s="279"/>
      <c r="T92" s="279"/>
      <c r="U92" s="279"/>
      <c r="V92" s="279"/>
      <c r="W92" s="279"/>
      <c r="X92" s="279"/>
      <c r="Y92" s="279"/>
      <c r="Z92" s="267"/>
      <c r="AA92" s="267"/>
    </row>
    <row r="93" spans="4:27" x14ac:dyDescent="0.25">
      <c r="D93"/>
      <c r="F93" s="96" t="s">
        <v>333</v>
      </c>
      <c r="G93" s="96" t="s">
        <v>267</v>
      </c>
      <c r="H93" s="269"/>
      <c r="I93" s="269"/>
      <c r="J93" s="275"/>
      <c r="K93" s="275"/>
      <c r="L93" s="275"/>
      <c r="M93" s="275"/>
      <c r="N93" s="275"/>
      <c r="O93" s="275"/>
      <c r="P93" s="275"/>
      <c r="Q93" s="275"/>
      <c r="R93" s="275"/>
      <c r="S93" s="275"/>
      <c r="T93" s="275"/>
      <c r="U93" s="275"/>
      <c r="V93" s="275"/>
      <c r="W93" s="275"/>
      <c r="X93" s="275"/>
      <c r="Y93" s="275"/>
      <c r="Z93" s="267"/>
      <c r="AA93" s="267"/>
    </row>
    <row r="94" spans="4:27" x14ac:dyDescent="0.25">
      <c r="D94"/>
      <c r="J94" s="106"/>
      <c r="K94" s="106"/>
      <c r="L94" s="106"/>
      <c r="M94" s="106"/>
      <c r="N94" s="106"/>
      <c r="O94" s="106"/>
      <c r="P94" s="106"/>
      <c r="Q94" s="106"/>
      <c r="R94" s="106"/>
      <c r="S94" s="106"/>
      <c r="T94" s="106"/>
      <c r="U94" s="106"/>
      <c r="V94" s="106"/>
      <c r="W94" s="106"/>
      <c r="X94" s="106"/>
      <c r="Y94" s="106"/>
    </row>
    <row r="95" spans="4:27" x14ac:dyDescent="0.25">
      <c r="D95"/>
      <c r="E95" s="75" t="s">
        <v>577</v>
      </c>
      <c r="J95" s="106"/>
      <c r="K95" s="106"/>
      <c r="L95" s="106"/>
      <c r="M95" s="106"/>
      <c r="N95" s="106"/>
      <c r="O95" s="106"/>
      <c r="P95" s="106"/>
      <c r="Q95" s="106"/>
      <c r="R95" s="106"/>
      <c r="S95" s="106"/>
      <c r="T95" s="106"/>
      <c r="U95" s="106"/>
      <c r="V95" s="106"/>
      <c r="W95" s="106"/>
      <c r="X95" s="106"/>
      <c r="Y95" s="106"/>
    </row>
    <row r="96" spans="4:27" x14ac:dyDescent="0.25">
      <c r="D96"/>
      <c r="F96" s="95" t="s">
        <v>187</v>
      </c>
      <c r="G96" s="95" t="s">
        <v>267</v>
      </c>
      <c r="H96" s="265"/>
      <c r="I96" s="265"/>
      <c r="J96" s="277">
        <f>'Initial unit rates'!J222</f>
        <v>6.0734972407177363E-3</v>
      </c>
      <c r="K96" s="277">
        <f>'Initial unit rates'!K222</f>
        <v>6.0734972407177363E-3</v>
      </c>
      <c r="L96" s="277">
        <f>'Initial unit rates'!L222</f>
        <v>6.9291906542756692E-3</v>
      </c>
      <c r="M96" s="277">
        <f>'Initial unit rates'!M222</f>
        <v>6.9291906542756692E-3</v>
      </c>
      <c r="N96" s="277">
        <f>'Initial unit rates'!N222</f>
        <v>5.600262645743855E-3</v>
      </c>
      <c r="O96" s="277">
        <f>'Initial unit rates'!O222</f>
        <v>4.6338561422516432E-3</v>
      </c>
      <c r="P96" s="277">
        <f>'Initial unit rates'!P222</f>
        <v>4.3353006285366171E-3</v>
      </c>
      <c r="Q96" s="277">
        <f>'Initial unit rates'!Q222</f>
        <v>5.0897793084402083E-3</v>
      </c>
      <c r="R96" s="277">
        <f>'Initial unit rates'!R222</f>
        <v>-4.180180403300259E-3</v>
      </c>
      <c r="S96" s="277">
        <f>'Initial unit rates'!S222</f>
        <v>-3.9449978397751986E-3</v>
      </c>
      <c r="T96" s="277">
        <f>'Initial unit rates'!T222</f>
        <v>-4.180180403300259E-3</v>
      </c>
      <c r="U96" s="277">
        <f>'Initial unit rates'!U222</f>
        <v>-4.180180403300259E-3</v>
      </c>
      <c r="V96" s="277">
        <f>'Initial unit rates'!V222</f>
        <v>-3.9449978397751986E-3</v>
      </c>
      <c r="W96" s="277">
        <f>'Initial unit rates'!W222</f>
        <v>-3.9449978397751986E-3</v>
      </c>
      <c r="X96" s="277">
        <f>'Initial unit rates'!X222</f>
        <v>-3.8843055653171189E-3</v>
      </c>
      <c r="Y96" s="277">
        <f>'Initial unit rates'!Y222</f>
        <v>-3.8843055653171189E-3</v>
      </c>
      <c r="Z96" s="267"/>
      <c r="AA96" s="267"/>
    </row>
    <row r="97" spans="3:42" x14ac:dyDescent="0.25">
      <c r="D97"/>
      <c r="F97" t="s">
        <v>189</v>
      </c>
      <c r="G97" t="s">
        <v>267</v>
      </c>
      <c r="H97" s="267"/>
      <c r="I97" s="267"/>
      <c r="J97" s="278">
        <f>'Initial unit rates'!J223</f>
        <v>0</v>
      </c>
      <c r="K97" s="278">
        <f>'Initial unit rates'!K223</f>
        <v>0</v>
      </c>
      <c r="L97" s="278">
        <f>'Initial unit rates'!L223</f>
        <v>0</v>
      </c>
      <c r="M97" s="278">
        <f>'Initial unit rates'!M223</f>
        <v>0</v>
      </c>
      <c r="N97" s="278">
        <f>'Initial unit rates'!N223</f>
        <v>0</v>
      </c>
      <c r="O97" s="278">
        <f>'Initial unit rates'!O223</f>
        <v>0</v>
      </c>
      <c r="P97" s="278">
        <f>'Initial unit rates'!P223</f>
        <v>0</v>
      </c>
      <c r="Q97" s="278">
        <f>'Initial unit rates'!Q223</f>
        <v>0</v>
      </c>
      <c r="R97" s="278">
        <f>'Initial unit rates'!R223</f>
        <v>0</v>
      </c>
      <c r="S97" s="278">
        <f>'Initial unit rates'!S223</f>
        <v>0</v>
      </c>
      <c r="T97" s="278">
        <f>'Initial unit rates'!T223</f>
        <v>0</v>
      </c>
      <c r="U97" s="278">
        <f>'Initial unit rates'!U223</f>
        <v>0</v>
      </c>
      <c r="V97" s="278">
        <f>'Initial unit rates'!V223</f>
        <v>0</v>
      </c>
      <c r="W97" s="278">
        <f>'Initial unit rates'!W223</f>
        <v>0</v>
      </c>
      <c r="X97" s="278">
        <f>'Initial unit rates'!X223</f>
        <v>0</v>
      </c>
      <c r="Y97" s="278">
        <f>'Initial unit rates'!Y223</f>
        <v>0</v>
      </c>
      <c r="Z97" s="267"/>
      <c r="AA97" s="267"/>
    </row>
    <row r="98" spans="3:42" x14ac:dyDescent="0.25">
      <c r="D98"/>
      <c r="F98" t="s">
        <v>190</v>
      </c>
      <c r="G98" t="s">
        <v>267</v>
      </c>
      <c r="H98" s="267"/>
      <c r="I98" s="267"/>
      <c r="J98" s="278">
        <f>'Initial unit rates'!J224</f>
        <v>6.8447890515174852E-3</v>
      </c>
      <c r="K98" s="278">
        <f>'Initial unit rates'!K224</f>
        <v>6.8447890515174852E-3</v>
      </c>
      <c r="L98" s="278">
        <f>'Initial unit rates'!L224</f>
        <v>7.8091495634990127E-3</v>
      </c>
      <c r="M98" s="278">
        <f>'Initial unit rates'!M224</f>
        <v>7.8091495634990127E-3</v>
      </c>
      <c r="N98" s="278">
        <f>'Initial unit rates'!N224</f>
        <v>6.3114569619331746E-3</v>
      </c>
      <c r="O98" s="278">
        <f>'Initial unit rates'!O224</f>
        <v>5.2223235693843566E-3</v>
      </c>
      <c r="P98" s="278">
        <f>'Initial unit rates'!P224</f>
        <v>4.8858535866787593E-3</v>
      </c>
      <c r="Q98" s="278">
        <f>'Initial unit rates'!Q224</f>
        <v>5.7361457994067897E-3</v>
      </c>
      <c r="R98" s="278">
        <f>'Initial unit rates'!R224</f>
        <v>-4.7110341741912571E-3</v>
      </c>
      <c r="S98" s="278">
        <f>'Initial unit rates'!S224</f>
        <v>-4.4459850645725101E-3</v>
      </c>
      <c r="T98" s="278">
        <f>'Initial unit rates'!T224</f>
        <v>-4.7110341741912571E-3</v>
      </c>
      <c r="U98" s="278">
        <f>'Initial unit rates'!U224</f>
        <v>-4.7110341741912571E-3</v>
      </c>
      <c r="V98" s="278">
        <f>'Initial unit rates'!V224</f>
        <v>-4.4459850645725101E-3</v>
      </c>
      <c r="W98" s="278">
        <f>'Initial unit rates'!W224</f>
        <v>-4.4459850645725101E-3</v>
      </c>
      <c r="X98" s="278">
        <f>'Initial unit rates'!X224</f>
        <v>-4.377585294348319E-3</v>
      </c>
      <c r="Y98" s="278">
        <f>'Initial unit rates'!Y224</f>
        <v>-4.377585294348319E-3</v>
      </c>
      <c r="Z98" s="267"/>
      <c r="AA98" s="267"/>
    </row>
    <row r="99" spans="3:42" x14ac:dyDescent="0.25">
      <c r="D99"/>
      <c r="F99" t="s">
        <v>191</v>
      </c>
      <c r="G99" t="s">
        <v>267</v>
      </c>
      <c r="H99" s="267"/>
      <c r="I99" s="267"/>
      <c r="J99" s="278">
        <f>'Initial unit rates'!J225</f>
        <v>4.2397658869621204E-3</v>
      </c>
      <c r="K99" s="278">
        <f>'Initial unit rates'!K225</f>
        <v>4.2397658869621204E-3</v>
      </c>
      <c r="L99" s="278">
        <f>'Initial unit rates'!L225</f>
        <v>4.8371053769974137E-3</v>
      </c>
      <c r="M99" s="278">
        <f>'Initial unit rates'!M225</f>
        <v>4.8371053769974137E-3</v>
      </c>
      <c r="N99" s="278">
        <f>'Initial unit rates'!N225</f>
        <v>3.9094119223880806E-3</v>
      </c>
      <c r="O99" s="278">
        <f>'Initial unit rates'!O225</f>
        <v>3.2347862225564602E-3</v>
      </c>
      <c r="P99" s="278">
        <f>'Initial unit rates'!P225</f>
        <v>3.0263716251269501E-3</v>
      </c>
      <c r="Q99" s="278">
        <f>'Initial unit rates'!Q225</f>
        <v>3.553055484971339E-3</v>
      </c>
      <c r="R99" s="278">
        <f>'Initial unit rates'!R225</f>
        <v>-2.9180858363517725E-3</v>
      </c>
      <c r="S99" s="278">
        <f>'Initial unit rates'!S225</f>
        <v>-2.7539104081722716E-3</v>
      </c>
      <c r="T99" s="278">
        <f>'Initial unit rates'!T225</f>
        <v>-2.9180858363517725E-3</v>
      </c>
      <c r="U99" s="278">
        <f>'Initial unit rates'!U225</f>
        <v>-2.9180858363517725E-3</v>
      </c>
      <c r="V99" s="278">
        <f>'Initial unit rates'!V225</f>
        <v>-2.7539104081722716E-3</v>
      </c>
      <c r="W99" s="278">
        <f>'Initial unit rates'!W225</f>
        <v>-2.7539104081722716E-3</v>
      </c>
      <c r="X99" s="278">
        <f>'Initial unit rates'!X225</f>
        <v>-2.711542555738852E-3</v>
      </c>
      <c r="Y99" s="278">
        <f>'Initial unit rates'!Y225</f>
        <v>-2.711542555738852E-3</v>
      </c>
      <c r="Z99" s="267"/>
      <c r="AA99" s="267"/>
    </row>
    <row r="100" spans="3:42" x14ac:dyDescent="0.25">
      <c r="D100"/>
      <c r="F100" t="s">
        <v>192</v>
      </c>
      <c r="G100" t="s">
        <v>267</v>
      </c>
      <c r="H100" s="267"/>
      <c r="I100" s="267"/>
      <c r="J100" s="278">
        <f>'Initial unit rates'!J226</f>
        <v>1.2717066567966959E-2</v>
      </c>
      <c r="K100" s="278">
        <f>'Initial unit rates'!K226</f>
        <v>1.2717066567966959E-2</v>
      </c>
      <c r="L100" s="278">
        <f>'Initial unit rates'!L226</f>
        <v>1.4508770699983842E-2</v>
      </c>
      <c r="M100" s="278">
        <f>'Initial unit rates'!M226</f>
        <v>1.4508770699983842E-2</v>
      </c>
      <c r="N100" s="278">
        <f>'Initial unit rates'!N226</f>
        <v>1.1726178516483046E-2</v>
      </c>
      <c r="O100" s="278">
        <f>'Initial unit rates'!O226</f>
        <v>9.7026564254160709E-3</v>
      </c>
      <c r="P100" s="278">
        <f>'Initial unit rates'!P226</f>
        <v>9.0775223071862098E-3</v>
      </c>
      <c r="Q100" s="278">
        <f>'Initial unit rates'!Q226</f>
        <v>1.0657296729757933E-2</v>
      </c>
      <c r="R100" s="278">
        <f>'Initial unit rates'!R226</f>
        <v>-8.7527219241147168E-3</v>
      </c>
      <c r="S100" s="278">
        <f>'Initial unit rates'!S226</f>
        <v>-8.2602820336472836E-3</v>
      </c>
      <c r="T100" s="278">
        <f>'Initial unit rates'!T226</f>
        <v>-8.7527219241147168E-3</v>
      </c>
      <c r="U100" s="278">
        <f>'Initial unit rates'!U226</f>
        <v>-8.7527219241147168E-3</v>
      </c>
      <c r="V100" s="278">
        <f>'Initial unit rates'!V226</f>
        <v>-8.2602820336472836E-3</v>
      </c>
      <c r="W100" s="278">
        <f>'Initial unit rates'!W226</f>
        <v>-8.2602820336472836E-3</v>
      </c>
      <c r="X100" s="278">
        <f>'Initial unit rates'!X226</f>
        <v>-8.1332007715911713E-3</v>
      </c>
      <c r="Y100" s="278">
        <f>'Initial unit rates'!Y226</f>
        <v>-8.1332007715911713E-3</v>
      </c>
      <c r="Z100" s="267"/>
      <c r="AA100" s="267"/>
    </row>
    <row r="101" spans="3:42" x14ac:dyDescent="0.25">
      <c r="D101"/>
      <c r="F101" t="s">
        <v>193</v>
      </c>
      <c r="G101" t="s">
        <v>267</v>
      </c>
      <c r="H101" s="267"/>
      <c r="I101" s="267"/>
      <c r="J101" s="278">
        <f>'Initial unit rates'!J227</f>
        <v>4.8391581460520633E-3</v>
      </c>
      <c r="K101" s="278">
        <f>'Initial unit rates'!K227</f>
        <v>4.8391581460520633E-3</v>
      </c>
      <c r="L101" s="278">
        <f>'Initial unit rates'!L227</f>
        <v>5.5209458523147945E-3</v>
      </c>
      <c r="M101" s="278">
        <f>'Initial unit rates'!M227</f>
        <v>5.5209458523147945E-3</v>
      </c>
      <c r="N101" s="278">
        <f>'Initial unit rates'!N227</f>
        <v>4.4621007515234911E-3</v>
      </c>
      <c r="O101" s="278">
        <f>'Initial unit rates'!O227</f>
        <v>3.6921005821944652E-3</v>
      </c>
      <c r="P101" s="278">
        <f>'Initial unit rates'!P227</f>
        <v>3.4542215992985912E-3</v>
      </c>
      <c r="Q101" s="278">
        <f>'Initial unit rates'!Q227</f>
        <v>4.0553648130306867E-3</v>
      </c>
      <c r="R101" s="278">
        <f>'Initial unit rates'!R227</f>
        <v>-3.3306270257244964E-3</v>
      </c>
      <c r="S101" s="278">
        <f>'Initial unit rates'!S227</f>
        <v>-3.1432414761828277E-3</v>
      </c>
      <c r="T101" s="278">
        <f>'Initial unit rates'!T227</f>
        <v>-3.3306270257244964E-3</v>
      </c>
      <c r="U101" s="278">
        <f>'Initial unit rates'!U227</f>
        <v>-3.3306270257244964E-3</v>
      </c>
      <c r="V101" s="278">
        <f>'Initial unit rates'!V227</f>
        <v>-3.1432414761828277E-3</v>
      </c>
      <c r="W101" s="278">
        <f>'Initial unit rates'!W227</f>
        <v>-3.1432414761828277E-3</v>
      </c>
      <c r="X101" s="278">
        <f>'Initial unit rates'!X227</f>
        <v>-3.0948839150107843E-3</v>
      </c>
      <c r="Y101" s="278">
        <f>'Initial unit rates'!Y227</f>
        <v>-3.0948839150107843E-3</v>
      </c>
      <c r="Z101" s="267"/>
      <c r="AA101" s="267"/>
    </row>
    <row r="102" spans="3:42" x14ac:dyDescent="0.25">
      <c r="D102"/>
      <c r="F102" t="s">
        <v>194</v>
      </c>
      <c r="G102" t="s">
        <v>267</v>
      </c>
      <c r="H102" s="267"/>
      <c r="I102" s="267"/>
      <c r="J102" s="278">
        <f>'Initial unit rates'!J228</f>
        <v>0</v>
      </c>
      <c r="K102" s="278">
        <f>'Initial unit rates'!K228</f>
        <v>0</v>
      </c>
      <c r="L102" s="278">
        <f>'Initial unit rates'!L228</f>
        <v>0</v>
      </c>
      <c r="M102" s="278">
        <f>'Initial unit rates'!M228</f>
        <v>0</v>
      </c>
      <c r="N102" s="278">
        <f>'Initial unit rates'!N228</f>
        <v>0</v>
      </c>
      <c r="O102" s="278">
        <f>'Initial unit rates'!O228</f>
        <v>0</v>
      </c>
      <c r="P102" s="278">
        <f>'Initial unit rates'!P228</f>
        <v>0</v>
      </c>
      <c r="Q102" s="278">
        <f>'Initial unit rates'!Q228</f>
        <v>0</v>
      </c>
      <c r="R102" s="278">
        <f>'Initial unit rates'!R228</f>
        <v>0</v>
      </c>
      <c r="S102" s="278">
        <f>'Initial unit rates'!S228</f>
        <v>0</v>
      </c>
      <c r="T102" s="278">
        <f>'Initial unit rates'!T228</f>
        <v>0</v>
      </c>
      <c r="U102" s="278">
        <f>'Initial unit rates'!U228</f>
        <v>0</v>
      </c>
      <c r="V102" s="278">
        <f>'Initial unit rates'!V228</f>
        <v>0</v>
      </c>
      <c r="W102" s="278">
        <f>'Initial unit rates'!W228</f>
        <v>0</v>
      </c>
      <c r="X102" s="278">
        <f>'Initial unit rates'!X228</f>
        <v>0</v>
      </c>
      <c r="Y102" s="278">
        <f>'Initial unit rates'!Y228</f>
        <v>0</v>
      </c>
      <c r="Z102" s="267"/>
      <c r="AA102" s="267"/>
    </row>
    <row r="103" spans="3:42" x14ac:dyDescent="0.25">
      <c r="D103"/>
      <c r="F103" t="s">
        <v>195</v>
      </c>
      <c r="G103" t="s">
        <v>267</v>
      </c>
      <c r="H103" s="267"/>
      <c r="I103" s="267"/>
      <c r="J103" s="278">
        <f>'Initial unit rates'!J229</f>
        <v>2.2396548720895672E-2</v>
      </c>
      <c r="K103" s="278">
        <f>'Initial unit rates'!K229</f>
        <v>2.2396548720895672E-2</v>
      </c>
      <c r="L103" s="278">
        <f>'Initial unit rates'!L229</f>
        <v>2.5551992523260025E-2</v>
      </c>
      <c r="M103" s="278">
        <f>'Initial unit rates'!M229</f>
        <v>2.5551992523260025E-2</v>
      </c>
      <c r="N103" s="278">
        <f>'Initial unit rates'!N229</f>
        <v>2.0651455038842179E-2</v>
      </c>
      <c r="O103" s="278">
        <f>'Initial unit rates'!O229</f>
        <v>1.7087747098950865E-2</v>
      </c>
      <c r="P103" s="278">
        <f>'Initial unit rates'!P229</f>
        <v>1.5986797704591639E-2</v>
      </c>
      <c r="Q103" s="278">
        <f>'Initial unit rates'!Q229</f>
        <v>1.8769003383397705E-2</v>
      </c>
      <c r="R103" s="278">
        <f>'Initial unit rates'!R229</f>
        <v>-1.5414778397690331E-2</v>
      </c>
      <c r="S103" s="278">
        <f>'Initial unit rates'!S229</f>
        <v>-1.454752226279305E-2</v>
      </c>
      <c r="T103" s="278">
        <f>'Initial unit rates'!T229</f>
        <v>-1.5414778397690331E-2</v>
      </c>
      <c r="U103" s="278">
        <f>'Initial unit rates'!U229</f>
        <v>-1.5414778397690331E-2</v>
      </c>
      <c r="V103" s="278">
        <f>'Initial unit rates'!V229</f>
        <v>-1.454752226279305E-2</v>
      </c>
      <c r="W103" s="278">
        <f>'Initial unit rates'!W229</f>
        <v>-1.454752226279305E-2</v>
      </c>
      <c r="X103" s="278">
        <f>'Initial unit rates'!X229</f>
        <v>0</v>
      </c>
      <c r="Y103" s="278">
        <f>'Initial unit rates'!Y229</f>
        <v>0</v>
      </c>
      <c r="Z103" s="267"/>
      <c r="AA103" s="267"/>
    </row>
    <row r="104" spans="3:42" x14ac:dyDescent="0.25">
      <c r="D104"/>
      <c r="F104" t="s">
        <v>196</v>
      </c>
      <c r="G104" t="s">
        <v>267</v>
      </c>
      <c r="H104" s="267"/>
      <c r="I104" s="267"/>
      <c r="J104" s="278">
        <f>'Initial unit rates'!J230</f>
        <v>6.8117048532416371E-3</v>
      </c>
      <c r="K104" s="278">
        <f>'Initial unit rates'!K230</f>
        <v>6.8117048532416371E-3</v>
      </c>
      <c r="L104" s="278">
        <f>'Initial unit rates'!L230</f>
        <v>7.7714041413128815E-3</v>
      </c>
      <c r="M104" s="278">
        <f>'Initial unit rates'!M230</f>
        <v>7.7714041413128815E-3</v>
      </c>
      <c r="N104" s="278">
        <f>'Initial unit rates'!N230</f>
        <v>6.2809506173305205E-3</v>
      </c>
      <c r="O104" s="278">
        <f>'Initial unit rates'!O230</f>
        <v>5.1970815367768175E-3</v>
      </c>
      <c r="P104" s="278">
        <f>'Initial unit rates'!P230</f>
        <v>0</v>
      </c>
      <c r="Q104" s="278">
        <f>'Initial unit rates'!Q230</f>
        <v>5.7084202137768483E-3</v>
      </c>
      <c r="R104" s="278">
        <f>'Initial unit rates'!R230</f>
        <v>-4.6882634521821284E-3</v>
      </c>
      <c r="S104" s="278">
        <f>'Initial unit rates'!S230</f>
        <v>0</v>
      </c>
      <c r="T104" s="278">
        <f>'Initial unit rates'!T230</f>
        <v>-4.6882634521821284E-3</v>
      </c>
      <c r="U104" s="278">
        <f>'Initial unit rates'!U230</f>
        <v>-4.6882634521821284E-3</v>
      </c>
      <c r="V104" s="278">
        <f>'Initial unit rates'!V230</f>
        <v>0</v>
      </c>
      <c r="W104" s="278">
        <f>'Initial unit rates'!W230</f>
        <v>0</v>
      </c>
      <c r="X104" s="278">
        <f>'Initial unit rates'!X230</f>
        <v>0</v>
      </c>
      <c r="Y104" s="278">
        <f>'Initial unit rates'!Y230</f>
        <v>0</v>
      </c>
      <c r="Z104" s="267"/>
      <c r="AA104" s="267"/>
    </row>
    <row r="105" spans="3:42" x14ac:dyDescent="0.25">
      <c r="D105"/>
      <c r="F105" t="s">
        <v>197</v>
      </c>
      <c r="G105" t="s">
        <v>267</v>
      </c>
      <c r="H105" s="267"/>
      <c r="I105" s="267"/>
      <c r="J105" s="278">
        <f>'Initial unit rates'!J231</f>
        <v>1.2732098699313542E-2</v>
      </c>
      <c r="K105" s="278">
        <f>'Initial unit rates'!K231</f>
        <v>1.2732098699313542E-2</v>
      </c>
      <c r="L105" s="278">
        <f>'Initial unit rates'!L231</f>
        <v>1.4525920704324386E-2</v>
      </c>
      <c r="M105" s="278">
        <f>'Initial unit rates'!M231</f>
        <v>1.4525920704324386E-2</v>
      </c>
      <c r="N105" s="278">
        <f>'Initial unit rates'!N231</f>
        <v>1.1740039374622868E-2</v>
      </c>
      <c r="O105" s="278">
        <f>'Initial unit rates'!O231</f>
        <v>0</v>
      </c>
      <c r="P105" s="278">
        <f>'Initial unit rates'!P231</f>
        <v>0</v>
      </c>
      <c r="Q105" s="278">
        <f>'Initial unit rates'!Q231</f>
        <v>1.066989412266966E-2</v>
      </c>
      <c r="R105" s="278">
        <f>'Initial unit rates'!R231</f>
        <v>0</v>
      </c>
      <c r="S105" s="278">
        <f>'Initial unit rates'!S231</f>
        <v>0</v>
      </c>
      <c r="T105" s="278">
        <f>'Initial unit rates'!T231</f>
        <v>0</v>
      </c>
      <c r="U105" s="278">
        <f>'Initial unit rates'!U231</f>
        <v>0</v>
      </c>
      <c r="V105" s="278">
        <f>'Initial unit rates'!V231</f>
        <v>0</v>
      </c>
      <c r="W105" s="278">
        <f>'Initial unit rates'!W231</f>
        <v>0</v>
      </c>
      <c r="X105" s="278">
        <f>'Initial unit rates'!X231</f>
        <v>0</v>
      </c>
      <c r="Y105" s="278">
        <f>'Initial unit rates'!Y231</f>
        <v>0</v>
      </c>
      <c r="Z105" s="267"/>
      <c r="AA105" s="267"/>
    </row>
    <row r="106" spans="3:42" x14ac:dyDescent="0.25">
      <c r="D106"/>
      <c r="F106" s="95" t="s">
        <v>332</v>
      </c>
      <c r="G106" s="95" t="s">
        <v>267</v>
      </c>
      <c r="H106" s="265"/>
      <c r="I106" s="265" t="s">
        <v>152</v>
      </c>
      <c r="J106" s="279"/>
      <c r="K106" s="279"/>
      <c r="L106" s="279"/>
      <c r="M106" s="279"/>
      <c r="N106" s="279"/>
      <c r="O106" s="279"/>
      <c r="P106" s="279"/>
      <c r="Q106" s="277">
        <f>'Service model charges'!$Q$44</f>
        <v>0</v>
      </c>
      <c r="R106" s="279"/>
      <c r="S106" s="279"/>
      <c r="T106" s="279"/>
      <c r="U106" s="279"/>
      <c r="V106" s="279"/>
      <c r="W106" s="279"/>
      <c r="X106" s="279"/>
      <c r="Y106" s="279"/>
      <c r="Z106" s="267"/>
      <c r="AA106" s="267" t="s">
        <v>609</v>
      </c>
    </row>
    <row r="107" spans="3:42" x14ac:dyDescent="0.25">
      <c r="D107"/>
      <c r="F107" s="96" t="s">
        <v>333</v>
      </c>
      <c r="G107" s="96" t="s">
        <v>267</v>
      </c>
      <c r="H107" s="269"/>
      <c r="I107" s="269"/>
      <c r="J107" s="275"/>
      <c r="K107" s="275"/>
      <c r="L107" s="275"/>
      <c r="M107" s="275"/>
      <c r="N107" s="275"/>
      <c r="O107" s="275"/>
      <c r="P107" s="275"/>
      <c r="Q107" s="275"/>
      <c r="R107" s="275"/>
      <c r="S107" s="275"/>
      <c r="T107" s="275"/>
      <c r="U107" s="275"/>
      <c r="V107" s="275"/>
      <c r="W107" s="275"/>
      <c r="X107" s="275"/>
      <c r="Y107" s="275"/>
      <c r="Z107" s="267"/>
      <c r="AA107" s="267"/>
    </row>
    <row r="109" spans="3:42" x14ac:dyDescent="0.2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25">
      <c r="D110" s="75"/>
      <c r="E110" s="75"/>
      <c r="J110" s="97"/>
      <c r="K110" s="97"/>
      <c r="L110" s="97"/>
      <c r="M110" s="97"/>
      <c r="N110" s="97"/>
      <c r="O110" s="97"/>
      <c r="P110" s="97"/>
      <c r="Q110" s="97"/>
      <c r="R110" s="97"/>
      <c r="S110" s="97"/>
      <c r="T110" s="97"/>
      <c r="U110" s="97"/>
      <c r="V110" s="97"/>
      <c r="W110" s="97"/>
      <c r="X110" s="97"/>
      <c r="Y110" s="97"/>
    </row>
    <row r="111" spans="3:42" x14ac:dyDescent="0.25">
      <c r="D111"/>
      <c r="E111" s="75" t="s">
        <v>119</v>
      </c>
      <c r="H111" s="62"/>
      <c r="I111" t="s">
        <v>152</v>
      </c>
      <c r="J111" s="97"/>
      <c r="L111" s="97"/>
      <c r="AA111" t="s">
        <v>201</v>
      </c>
      <c r="AP111" s="3"/>
    </row>
    <row r="112" spans="3:42" x14ac:dyDescent="0.25">
      <c r="C112" s="75"/>
      <c r="D112"/>
      <c r="E112"/>
      <c r="F112" s="95" t="s">
        <v>189</v>
      </c>
      <c r="G112" s="95" t="s">
        <v>165</v>
      </c>
      <c r="H112" s="175"/>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25">
      <c r="C113" s="75"/>
      <c r="D113"/>
      <c r="E113"/>
      <c r="F113" t="s">
        <v>190</v>
      </c>
      <c r="G113" t="s">
        <v>165</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25">
      <c r="C114" s="75"/>
      <c r="D114"/>
      <c r="E114"/>
      <c r="F114" t="s">
        <v>191</v>
      </c>
      <c r="G114" t="s">
        <v>165</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25">
      <c r="C115" s="75"/>
      <c r="D115"/>
      <c r="E115"/>
      <c r="F115" t="s">
        <v>192</v>
      </c>
      <c r="G115" t="s">
        <v>165</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25">
      <c r="C116" s="75"/>
      <c r="D116"/>
      <c r="E116"/>
      <c r="F116" t="s">
        <v>193</v>
      </c>
      <c r="G116" t="s">
        <v>165</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25">
      <c r="C117" s="75"/>
      <c r="D117"/>
      <c r="E117"/>
      <c r="F117" t="s">
        <v>194</v>
      </c>
      <c r="G117" t="s">
        <v>165</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25">
      <c r="C118" s="75"/>
      <c r="D118"/>
      <c r="E118"/>
      <c r="F118" t="s">
        <v>195</v>
      </c>
      <c r="G118" t="s">
        <v>165</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25">
      <c r="C119" s="75"/>
      <c r="D119"/>
      <c r="E119"/>
      <c r="F119" t="s">
        <v>196</v>
      </c>
      <c r="G119" t="s">
        <v>165</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25">
      <c r="C120" s="75"/>
      <c r="D120"/>
      <c r="E120"/>
      <c r="F120" s="96" t="s">
        <v>197</v>
      </c>
      <c r="G120" s="96" t="s">
        <v>165</v>
      </c>
      <c r="H120" s="176"/>
      <c r="I120" s="96"/>
      <c r="J120" s="186">
        <f>'Standing charge factors'!J52</f>
        <v>1</v>
      </c>
      <c r="K120" s="186">
        <f>'Standing charge factors'!K52</f>
        <v>1</v>
      </c>
      <c r="L120" s="186">
        <f>'Standing charge factors'!L52</f>
        <v>1</v>
      </c>
      <c r="M120" s="186">
        <f>'Standing charge factors'!M52</f>
        <v>1</v>
      </c>
      <c r="N120" s="186">
        <f>'Standing charge factors'!N52</f>
        <v>1</v>
      </c>
      <c r="O120" s="186">
        <f>'Standing charge factors'!O52</f>
        <v>0</v>
      </c>
      <c r="P120" s="186">
        <f>'Standing charge factors'!P52</f>
        <v>0</v>
      </c>
      <c r="Q120" s="186">
        <f>'Standing charge factors'!Q52</f>
        <v>0</v>
      </c>
      <c r="R120" s="186">
        <f>'Standing charge factors'!R52</f>
        <v>0</v>
      </c>
      <c r="S120" s="186">
        <f>'Standing charge factors'!S52</f>
        <v>0</v>
      </c>
      <c r="T120" s="186">
        <f>'Standing charge factors'!T52</f>
        <v>0</v>
      </c>
      <c r="U120" s="186">
        <f>'Standing charge factors'!U52</f>
        <v>0</v>
      </c>
      <c r="V120" s="186">
        <f>'Standing charge factors'!V52</f>
        <v>0</v>
      </c>
      <c r="W120" s="186">
        <f>'Standing charge factors'!W52</f>
        <v>0</v>
      </c>
      <c r="X120" s="186">
        <f>'Standing charge factors'!X52</f>
        <v>0</v>
      </c>
      <c r="Y120" s="186">
        <f>'Standing charge factors'!Y52</f>
        <v>0</v>
      </c>
      <c r="AP120" s="3"/>
    </row>
    <row r="122" spans="2:42" x14ac:dyDescent="0.25">
      <c r="B122" s="85" t="s">
        <v>610</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2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25">
      <c r="C125" s="75"/>
      <c r="D125"/>
      <c r="E125" s="75"/>
      <c r="I125" t="s">
        <v>152</v>
      </c>
      <c r="AA125" t="s">
        <v>611</v>
      </c>
    </row>
    <row r="126" spans="2:42" x14ac:dyDescent="0.25">
      <c r="E126" s="75" t="s">
        <v>576</v>
      </c>
    </row>
    <row r="127" spans="2:42" x14ac:dyDescent="0.25">
      <c r="F127" s="95" t="s">
        <v>187</v>
      </c>
      <c r="G127" s="95" t="s">
        <v>267</v>
      </c>
      <c r="H127" s="265"/>
      <c r="I127" s="265"/>
      <c r="J127" s="280">
        <f t="shared" ref="J127:K127" si="0">J22 * (1 - J$112)</f>
        <v>0</v>
      </c>
      <c r="K127" s="280">
        <f t="shared" si="0"/>
        <v>0</v>
      </c>
      <c r="L127" s="280">
        <f t="shared" ref="L127:M127" si="1">L22 * (1 - L$112)</f>
        <v>0</v>
      </c>
      <c r="M127" s="280">
        <f t="shared" si="1"/>
        <v>0</v>
      </c>
      <c r="N127" s="280">
        <f t="shared" ref="N127:P127" si="2">N22 * (1 - N$112)</f>
        <v>0</v>
      </c>
      <c r="O127" s="280">
        <f t="shared" si="2"/>
        <v>0</v>
      </c>
      <c r="P127" s="280">
        <f t="shared" si="2"/>
        <v>0</v>
      </c>
      <c r="Q127" s="280">
        <f t="shared" ref="Q127:S127" si="3">Q22 * (1 - Q$112)</f>
        <v>0</v>
      </c>
      <c r="R127" s="280">
        <f t="shared" si="3"/>
        <v>0</v>
      </c>
      <c r="S127" s="280">
        <f t="shared" si="3"/>
        <v>0</v>
      </c>
      <c r="T127" s="280">
        <f t="shared" ref="T127:U127" si="4">T22 * (1 - T$112)</f>
        <v>0</v>
      </c>
      <c r="U127" s="280">
        <f t="shared" si="4"/>
        <v>0</v>
      </c>
      <c r="V127" s="280">
        <f t="shared" ref="V127:W127" si="5">V22 * (1 - V$112)</f>
        <v>0</v>
      </c>
      <c r="W127" s="280">
        <f t="shared" si="5"/>
        <v>0</v>
      </c>
      <c r="X127" s="280">
        <f t="shared" ref="X127:Y127" si="6">X22 * (1 - X$112)</f>
        <v>0</v>
      </c>
      <c r="Y127" s="280">
        <f t="shared" si="6"/>
        <v>0</v>
      </c>
      <c r="Z127" s="267"/>
      <c r="AA127" s="267"/>
    </row>
    <row r="128" spans="2:42" x14ac:dyDescent="0.25">
      <c r="F128" t="s">
        <v>189</v>
      </c>
      <c r="G128" t="s">
        <v>267</v>
      </c>
      <c r="H128" s="267"/>
      <c r="I128" s="267"/>
      <c r="J128" s="281">
        <f t="shared" ref="J128:K128" si="7">J23 * (1 - J$112)</f>
        <v>0</v>
      </c>
      <c r="K128" s="281">
        <f t="shared" si="7"/>
        <v>0</v>
      </c>
      <c r="L128" s="281">
        <f t="shared" ref="L128:M128" si="8">L23 * (1 - L$112)</f>
        <v>0</v>
      </c>
      <c r="M128" s="281">
        <f t="shared" si="8"/>
        <v>0</v>
      </c>
      <c r="N128" s="281">
        <f t="shared" ref="N128:P128" si="9">N23 * (1 - N$112)</f>
        <v>0</v>
      </c>
      <c r="O128" s="281">
        <f t="shared" si="9"/>
        <v>0</v>
      </c>
      <c r="P128" s="281">
        <f t="shared" si="9"/>
        <v>0</v>
      </c>
      <c r="Q128" s="281">
        <f t="shared" ref="Q128:S128" si="10">Q23 * (1 - Q$112)</f>
        <v>0</v>
      </c>
      <c r="R128" s="281">
        <f t="shared" si="10"/>
        <v>0</v>
      </c>
      <c r="S128" s="281">
        <f t="shared" si="10"/>
        <v>0</v>
      </c>
      <c r="T128" s="281">
        <f t="shared" ref="T128:U128" si="11">T23 * (1 - T$112)</f>
        <v>0</v>
      </c>
      <c r="U128" s="281">
        <f t="shared" si="11"/>
        <v>0</v>
      </c>
      <c r="V128" s="281">
        <f t="shared" ref="V128:W128" si="12">V23 * (1 - V$112)</f>
        <v>0</v>
      </c>
      <c r="W128" s="281">
        <f t="shared" si="12"/>
        <v>0</v>
      </c>
      <c r="X128" s="281">
        <f t="shared" ref="X128:Y128" si="13">X23 * (1 - X$112)</f>
        <v>0</v>
      </c>
      <c r="Y128" s="281">
        <f t="shared" si="13"/>
        <v>0</v>
      </c>
      <c r="Z128" s="267"/>
      <c r="AA128" s="267"/>
    </row>
    <row r="129" spans="4:27" x14ac:dyDescent="0.25">
      <c r="F129" t="s">
        <v>190</v>
      </c>
      <c r="G129" t="s">
        <v>267</v>
      </c>
      <c r="H129" s="267"/>
      <c r="I129" s="267"/>
      <c r="J129" s="281">
        <f t="shared" ref="J129:K129" si="14">J24 * (1 - J$113)</f>
        <v>0.92923861923036977</v>
      </c>
      <c r="K129" s="281">
        <f t="shared" si="14"/>
        <v>0.92923861923036977</v>
      </c>
      <c r="L129" s="281">
        <f t="shared" ref="L129:M129" si="15">L24 * (1 - L$113)</f>
        <v>1.0601588015543728</v>
      </c>
      <c r="M129" s="281">
        <f t="shared" si="15"/>
        <v>1.0601588015543728</v>
      </c>
      <c r="N129" s="281">
        <f t="shared" ref="N129:P129" si="16">N24 * (1 - N$113)</f>
        <v>0.85683422944034404</v>
      </c>
      <c r="O129" s="281">
        <f t="shared" si="16"/>
        <v>0.70897506208947059</v>
      </c>
      <c r="P129" s="281">
        <f t="shared" si="16"/>
        <v>0.66329638597709284</v>
      </c>
      <c r="Q129" s="281">
        <f t="shared" ref="Q129:S129" si="17">Q24 * (1 - Q$113)</f>
        <v>2.3826777477498724</v>
      </c>
      <c r="R129" s="281">
        <f t="shared" si="17"/>
        <v>-0.63956315647186257</v>
      </c>
      <c r="S129" s="281">
        <f t="shared" si="17"/>
        <v>-0.60358047434731132</v>
      </c>
      <c r="T129" s="281">
        <f t="shared" ref="T129:U129" si="18">T24 * (1 - T$113)</f>
        <v>-0.63956315647186257</v>
      </c>
      <c r="U129" s="281">
        <f t="shared" si="18"/>
        <v>-0.63956315647186257</v>
      </c>
      <c r="V129" s="281">
        <f t="shared" ref="V129:W129" si="19">V24 * (1 - V$113)</f>
        <v>-0.60358047434731132</v>
      </c>
      <c r="W129" s="281">
        <f t="shared" si="19"/>
        <v>-0.60358047434731132</v>
      </c>
      <c r="X129" s="281">
        <f t="shared" ref="X129:Y129" si="20">X24 * (1 - X$113)</f>
        <v>-0.5942946208958142</v>
      </c>
      <c r="Y129" s="281">
        <f t="shared" si="20"/>
        <v>-0.5942946208958142</v>
      </c>
      <c r="Z129" s="267"/>
      <c r="AA129" s="267"/>
    </row>
    <row r="130" spans="4:27" x14ac:dyDescent="0.25">
      <c r="F130" t="s">
        <v>191</v>
      </c>
      <c r="G130" t="s">
        <v>267</v>
      </c>
      <c r="H130" s="267"/>
      <c r="I130" s="267"/>
      <c r="J130" s="281">
        <f t="shared" ref="J130:K130" si="21">J25 * (1 - J$114)</f>
        <v>0.57558445833875127</v>
      </c>
      <c r="K130" s="281">
        <f t="shared" si="21"/>
        <v>0.57558445833875127</v>
      </c>
      <c r="L130" s="281">
        <f t="shared" ref="L130:M130" si="22">L25 * (1 - L$114)</f>
        <v>0.6566783998400032</v>
      </c>
      <c r="M130" s="281">
        <f t="shared" si="22"/>
        <v>0.6566783998400032</v>
      </c>
      <c r="N130" s="281">
        <f t="shared" ref="N130:P130" si="23">N25 * (1 - N$114)</f>
        <v>0.53073608396408689</v>
      </c>
      <c r="O130" s="281">
        <f t="shared" si="23"/>
        <v>0.43914987888302942</v>
      </c>
      <c r="P130" s="281">
        <f t="shared" si="23"/>
        <v>0.41085581586878434</v>
      </c>
      <c r="Q130" s="281">
        <f t="shared" ref="Q130:S130" si="24">Q25 * (1 - Q$114)</f>
        <v>1.475866642273518</v>
      </c>
      <c r="R130" s="281">
        <f t="shared" si="24"/>
        <v>-0.39615509447527258</v>
      </c>
      <c r="S130" s="281">
        <f t="shared" si="24"/>
        <v>-0.37386687681876901</v>
      </c>
      <c r="T130" s="281">
        <f t="shared" ref="T130:U130" si="25">T25 * (1 - T$114)</f>
        <v>-0.39615509447527258</v>
      </c>
      <c r="U130" s="281">
        <f t="shared" si="25"/>
        <v>-0.39615509447527258</v>
      </c>
      <c r="V130" s="281">
        <f t="shared" ref="V130:W130" si="26">V25 * (1 - V$114)</f>
        <v>-0.37386687681876901</v>
      </c>
      <c r="W130" s="281">
        <f t="shared" si="26"/>
        <v>-0.37386687681876901</v>
      </c>
      <c r="X130" s="281">
        <f t="shared" ref="X130:Y130" si="27">X25 * (1 - X$114)</f>
        <v>-0.3681150787138649</v>
      </c>
      <c r="Y130" s="281">
        <f t="shared" si="27"/>
        <v>-0.3681150787138649</v>
      </c>
      <c r="Z130" s="267"/>
      <c r="AA130" s="267"/>
    </row>
    <row r="131" spans="4:27" x14ac:dyDescent="0.25">
      <c r="F131" t="s">
        <v>192</v>
      </c>
      <c r="G131" t="s">
        <v>267</v>
      </c>
      <c r="H131" s="267"/>
      <c r="I131" s="267"/>
      <c r="J131" s="281">
        <f t="shared" ref="J131:K131" si="28">J26 * (1 - J$115)</f>
        <v>1.6920581189106119</v>
      </c>
      <c r="K131" s="281">
        <f t="shared" si="28"/>
        <v>1.6920581189106119</v>
      </c>
      <c r="L131" s="281">
        <f t="shared" ref="L131:M131" si="29">L26 * (1 - L$115)</f>
        <v>1.9304517379942243</v>
      </c>
      <c r="M131" s="281">
        <f t="shared" si="29"/>
        <v>1.9304517379942243</v>
      </c>
      <c r="N131" s="281">
        <f t="shared" ref="N131:P131" si="30">N26 * (1 - N$115)</f>
        <v>1.5602163798205479</v>
      </c>
      <c r="O131" s="281">
        <f t="shared" si="30"/>
        <v>1.2909784258721613</v>
      </c>
      <c r="P131" s="281">
        <f t="shared" si="30"/>
        <v>0.96624140401410996</v>
      </c>
      <c r="Q131" s="281">
        <f t="shared" ref="Q131:S131" si="31">Q26 * (1 - Q$115)</f>
        <v>4.1385671551061716</v>
      </c>
      <c r="R131" s="281">
        <f t="shared" si="31"/>
        <v>-1.1645857254196059</v>
      </c>
      <c r="S131" s="281">
        <f t="shared" si="31"/>
        <v>-1.0990645684540743</v>
      </c>
      <c r="T131" s="281">
        <f t="shared" ref="T131:U131" si="32">T26 * (1 - T$115)</f>
        <v>-1.1645857254196059</v>
      </c>
      <c r="U131" s="281">
        <f t="shared" si="32"/>
        <v>-1.1645857254196059</v>
      </c>
      <c r="V131" s="281">
        <f t="shared" ref="V131:W131" si="33">V26 * (1 - V$115)</f>
        <v>-1.0990645684540743</v>
      </c>
      <c r="W131" s="281">
        <f t="shared" si="33"/>
        <v>-1.0990645684540743</v>
      </c>
      <c r="X131" s="281">
        <f t="shared" ref="X131:Y131" si="34">X26 * (1 - X$115)</f>
        <v>-1.0821558827855502</v>
      </c>
      <c r="Y131" s="281">
        <f t="shared" si="34"/>
        <v>-1.0821558827855502</v>
      </c>
      <c r="Z131" s="267"/>
      <c r="AA131" s="267"/>
    </row>
    <row r="132" spans="4:27" x14ac:dyDescent="0.25">
      <c r="F132" t="s">
        <v>193</v>
      </c>
      <c r="G132" t="s">
        <v>267</v>
      </c>
      <c r="H132" s="267"/>
      <c r="I132" s="267"/>
      <c r="J132" s="281">
        <f t="shared" ref="J132:K132" si="35">J27 * (1 - J$116)</f>
        <v>0.64386993540986337</v>
      </c>
      <c r="K132" s="281">
        <f t="shared" si="35"/>
        <v>0.64386993540986337</v>
      </c>
      <c r="L132" s="281">
        <f t="shared" ref="L132:M132" si="36">L27 * (1 - L$116)</f>
        <v>0.73458459964392209</v>
      </c>
      <c r="M132" s="281">
        <f t="shared" si="36"/>
        <v>0.73458459964392209</v>
      </c>
      <c r="N132" s="281">
        <f t="shared" ref="N132:P132" si="37">N27 * (1 - N$116)</f>
        <v>0.59370089506573076</v>
      </c>
      <c r="O132" s="281">
        <f t="shared" si="37"/>
        <v>0.49124919906238007</v>
      </c>
      <c r="P132" s="281">
        <f t="shared" si="37"/>
        <v>0</v>
      </c>
      <c r="Q132" s="281">
        <f t="shared" ref="Q132:S132" si="38">Q27 * (1 - Q$116)</f>
        <v>1.5748270919696248</v>
      </c>
      <c r="R132" s="281">
        <f t="shared" si="38"/>
        <v>-0.44315365259908257</v>
      </c>
      <c r="S132" s="281">
        <f t="shared" si="38"/>
        <v>-0.41822123294287289</v>
      </c>
      <c r="T132" s="281">
        <f t="shared" ref="T132:U132" si="39">T27 * (1 - T$116)</f>
        <v>-0.44315365259908257</v>
      </c>
      <c r="U132" s="281">
        <f t="shared" si="39"/>
        <v>-0.44315365259908257</v>
      </c>
      <c r="V132" s="281">
        <f t="shared" ref="V132:W132" si="40">V27 * (1 - V$116)</f>
        <v>-0.41822123294287289</v>
      </c>
      <c r="W132" s="281">
        <f t="shared" si="40"/>
        <v>-0.41822123294287289</v>
      </c>
      <c r="X132" s="281">
        <f t="shared" ref="X132:Y132" si="41">X27 * (1 - X$116)</f>
        <v>-0.41178706012836724</v>
      </c>
      <c r="Y132" s="281">
        <f t="shared" si="41"/>
        <v>-0.41178706012836724</v>
      </c>
      <c r="Z132" s="267"/>
      <c r="AA132" s="267"/>
    </row>
    <row r="133" spans="4:27" x14ac:dyDescent="0.25">
      <c r="F133" t="s">
        <v>194</v>
      </c>
      <c r="G133" t="s">
        <v>267</v>
      </c>
      <c r="H133" s="267"/>
      <c r="I133" s="267"/>
      <c r="J133" s="281">
        <f t="shared" ref="J133:K133" si="42">J28 * (1 - J$117)</f>
        <v>0</v>
      </c>
      <c r="K133" s="281">
        <f t="shared" si="42"/>
        <v>0</v>
      </c>
      <c r="L133" s="281">
        <f t="shared" ref="L133:M133" si="43">L28 * (1 - L$117)</f>
        <v>0</v>
      </c>
      <c r="M133" s="281">
        <f t="shared" si="43"/>
        <v>0</v>
      </c>
      <c r="N133" s="281">
        <f t="shared" ref="N133:P133" si="44">N28 * (1 - N$117)</f>
        <v>0</v>
      </c>
      <c r="O133" s="281">
        <f t="shared" si="44"/>
        <v>0</v>
      </c>
      <c r="P133" s="281">
        <f t="shared" si="44"/>
        <v>0</v>
      </c>
      <c r="Q133" s="281">
        <f t="shared" ref="Q133:S133" si="45">Q28 * (1 - Q$117)</f>
        <v>0</v>
      </c>
      <c r="R133" s="281">
        <f t="shared" si="45"/>
        <v>0</v>
      </c>
      <c r="S133" s="281">
        <f t="shared" si="45"/>
        <v>0</v>
      </c>
      <c r="T133" s="281">
        <f t="shared" ref="T133:U133" si="46">T28 * (1 - T$117)</f>
        <v>0</v>
      </c>
      <c r="U133" s="281">
        <f t="shared" si="46"/>
        <v>0</v>
      </c>
      <c r="V133" s="281">
        <f t="shared" ref="V133:W133" si="47">V28 * (1 - V$117)</f>
        <v>0</v>
      </c>
      <c r="W133" s="281">
        <f t="shared" si="47"/>
        <v>0</v>
      </c>
      <c r="X133" s="281">
        <f t="shared" ref="X133:Y133" si="48">X28 * (1 - X$117)</f>
        <v>0</v>
      </c>
      <c r="Y133" s="281">
        <f t="shared" si="48"/>
        <v>0</v>
      </c>
      <c r="Z133" s="267"/>
      <c r="AA133" s="267"/>
    </row>
    <row r="134" spans="4:27" x14ac:dyDescent="0.25">
      <c r="F134" t="s">
        <v>195</v>
      </c>
      <c r="G134" t="s">
        <v>267</v>
      </c>
      <c r="H134" s="267"/>
      <c r="I134" s="267"/>
      <c r="J134" s="281">
        <f t="shared" ref="J134:K134" si="49">J29 * (1 - J$118)</f>
        <v>2.9799531123180216</v>
      </c>
      <c r="K134" s="281">
        <f t="shared" si="49"/>
        <v>2.9799531123180216</v>
      </c>
      <c r="L134" s="281">
        <f t="shared" ref="L134:M134" si="50">L29 * (1 - L$118)</f>
        <v>3.3997979150499402</v>
      </c>
      <c r="M134" s="281">
        <f t="shared" si="50"/>
        <v>3.3997979150499402</v>
      </c>
      <c r="N134" s="281">
        <f t="shared" ref="N134:P134" si="51">N29 * (1 - N$118)</f>
        <v>2.1982089645616556</v>
      </c>
      <c r="O134" s="281">
        <f t="shared" si="51"/>
        <v>0</v>
      </c>
      <c r="P134" s="281">
        <f t="shared" si="51"/>
        <v>0</v>
      </c>
      <c r="Q134" s="281">
        <f t="shared" ref="Q134:S134" si="52">Q29 * (1 - Q$118)</f>
        <v>7.2886007499174381</v>
      </c>
      <c r="R134" s="281">
        <f t="shared" si="52"/>
        <v>-2.0509997961888153</v>
      </c>
      <c r="S134" s="281">
        <f t="shared" si="52"/>
        <v>-1.9356077931364497</v>
      </c>
      <c r="T134" s="281">
        <f t="shared" ref="T134:U134" si="53">T29 * (1 - T$118)</f>
        <v>-2.0509997961888153</v>
      </c>
      <c r="U134" s="281">
        <f t="shared" si="53"/>
        <v>-2.0509997961888153</v>
      </c>
      <c r="V134" s="281">
        <f t="shared" ref="V134:W134" si="54">V29 * (1 - V$118)</f>
        <v>-1.9356077931364497</v>
      </c>
      <c r="W134" s="281">
        <f t="shared" si="54"/>
        <v>-1.9356077931364497</v>
      </c>
      <c r="X134" s="281">
        <f t="shared" ref="X134:Y134" si="55">X29 * (1 - X$118)</f>
        <v>0</v>
      </c>
      <c r="Y134" s="281">
        <f t="shared" si="55"/>
        <v>0</v>
      </c>
      <c r="Z134" s="267"/>
      <c r="AA134" s="267"/>
    </row>
    <row r="135" spans="4:27" x14ac:dyDescent="0.25">
      <c r="F135" t="s">
        <v>196</v>
      </c>
      <c r="G135" t="s">
        <v>267</v>
      </c>
      <c r="H135" s="267"/>
      <c r="I135" s="267"/>
      <c r="J135" s="281">
        <f t="shared" ref="J135:K135" si="56">J30 * (1 - J$119)</f>
        <v>0.90632540444371745</v>
      </c>
      <c r="K135" s="281">
        <f t="shared" si="56"/>
        <v>0.90632540444371745</v>
      </c>
      <c r="L135" s="281">
        <f t="shared" ref="L135:M135" si="57">L30 * (1 - L$119)</f>
        <v>1.0340173500205412</v>
      </c>
      <c r="M135" s="281">
        <f t="shared" si="57"/>
        <v>1.0340173500205412</v>
      </c>
      <c r="N135" s="281">
        <f t="shared" ref="N135:P135" si="58">N30 * (1 - N$119)</f>
        <v>0</v>
      </c>
      <c r="O135" s="281">
        <f t="shared" si="58"/>
        <v>0</v>
      </c>
      <c r="P135" s="281">
        <f t="shared" si="58"/>
        <v>0</v>
      </c>
      <c r="Q135" s="281">
        <f t="shared" ref="Q135:S135" si="59">Q30 * (1 - Q$119)</f>
        <v>2.2167610608340089</v>
      </c>
      <c r="R135" s="281">
        <f t="shared" si="59"/>
        <v>-0.62379277449397352</v>
      </c>
      <c r="S135" s="281">
        <f t="shared" si="59"/>
        <v>0</v>
      </c>
      <c r="T135" s="281">
        <f t="shared" ref="T135:U135" si="60">T30 * (1 - T$119)</f>
        <v>-0.62379277449397352</v>
      </c>
      <c r="U135" s="281">
        <f t="shared" si="60"/>
        <v>-0.62379277449397352</v>
      </c>
      <c r="V135" s="281">
        <f t="shared" ref="V135:W135" si="61">V30 * (1 - V$119)</f>
        <v>0</v>
      </c>
      <c r="W135" s="281">
        <f t="shared" si="61"/>
        <v>0</v>
      </c>
      <c r="X135" s="281">
        <f t="shared" ref="X135:Y135" si="62">X30 * (1 - X$119)</f>
        <v>0</v>
      </c>
      <c r="Y135" s="281">
        <f t="shared" si="62"/>
        <v>0</v>
      </c>
      <c r="Z135" s="267"/>
      <c r="AA135" s="267"/>
    </row>
    <row r="136" spans="4:27" x14ac:dyDescent="0.25">
      <c r="F136" t="s">
        <v>197</v>
      </c>
      <c r="G136" t="s">
        <v>267</v>
      </c>
      <c r="H136" s="267"/>
      <c r="I136" s="267"/>
      <c r="J136" s="281">
        <f t="shared" ref="J136:K136" si="63">J31 * (1 - J$120)</f>
        <v>0</v>
      </c>
      <c r="K136" s="281">
        <f t="shared" si="63"/>
        <v>0</v>
      </c>
      <c r="L136" s="281">
        <f t="shared" ref="L136:M136" si="64">L31 * (1 - L$120)</f>
        <v>0</v>
      </c>
      <c r="M136" s="281">
        <f t="shared" si="64"/>
        <v>0</v>
      </c>
      <c r="N136" s="281">
        <f t="shared" ref="N136:P136" si="65">N31 * (1 - N$120)</f>
        <v>0</v>
      </c>
      <c r="O136" s="281">
        <f t="shared" si="65"/>
        <v>0</v>
      </c>
      <c r="P136" s="281">
        <f t="shared" si="65"/>
        <v>0</v>
      </c>
      <c r="Q136" s="281">
        <f t="shared" ref="Q136:S136" si="66">Q31 * (1 - Q$120)</f>
        <v>4.1434591232915796</v>
      </c>
      <c r="R136" s="281">
        <f t="shared" si="66"/>
        <v>0</v>
      </c>
      <c r="S136" s="281">
        <f t="shared" si="66"/>
        <v>0</v>
      </c>
      <c r="T136" s="281">
        <f t="shared" ref="T136:U136" si="67">T31 * (1 - T$120)</f>
        <v>0</v>
      </c>
      <c r="U136" s="281">
        <f t="shared" si="67"/>
        <v>0</v>
      </c>
      <c r="V136" s="281">
        <f t="shared" ref="V136:W136" si="68">V31 * (1 - V$120)</f>
        <v>0</v>
      </c>
      <c r="W136" s="281">
        <f t="shared" si="68"/>
        <v>0</v>
      </c>
      <c r="X136" s="281">
        <f t="shared" ref="X136:Y136" si="69">X31 * (1 - X$120)</f>
        <v>0</v>
      </c>
      <c r="Y136" s="281">
        <f t="shared" si="69"/>
        <v>0</v>
      </c>
      <c r="Z136" s="267"/>
      <c r="AA136" s="267"/>
    </row>
    <row r="137" spans="4:27" x14ac:dyDescent="0.25">
      <c r="D137"/>
      <c r="F137" s="95" t="s">
        <v>332</v>
      </c>
      <c r="G137" s="95" t="s">
        <v>267</v>
      </c>
      <c r="H137" s="265"/>
      <c r="I137" s="265"/>
      <c r="J137" s="279"/>
      <c r="K137" s="279"/>
      <c r="L137" s="279"/>
      <c r="M137" s="279"/>
      <c r="N137" s="279"/>
      <c r="O137" s="279"/>
      <c r="P137" s="279"/>
      <c r="Q137" s="279"/>
      <c r="R137" s="279"/>
      <c r="S137" s="279"/>
      <c r="T137" s="279"/>
      <c r="U137" s="279"/>
      <c r="V137" s="279"/>
      <c r="W137" s="279"/>
      <c r="X137" s="279"/>
      <c r="Y137" s="279"/>
      <c r="Z137" s="267"/>
      <c r="AA137" s="267"/>
    </row>
    <row r="138" spans="4:27" x14ac:dyDescent="0.25">
      <c r="D138"/>
      <c r="F138" s="96" t="s">
        <v>333</v>
      </c>
      <c r="G138" s="96" t="s">
        <v>267</v>
      </c>
      <c r="H138" s="269"/>
      <c r="I138" s="269"/>
      <c r="J138" s="275"/>
      <c r="K138" s="275"/>
      <c r="L138" s="275"/>
      <c r="M138" s="275"/>
      <c r="N138" s="275"/>
      <c r="O138" s="275"/>
      <c r="P138" s="275"/>
      <c r="Q138" s="275"/>
      <c r="R138" s="275"/>
      <c r="S138" s="275"/>
      <c r="T138" s="275"/>
      <c r="U138" s="275"/>
      <c r="V138" s="275"/>
      <c r="W138" s="275"/>
      <c r="X138" s="275"/>
      <c r="Y138" s="275"/>
      <c r="Z138" s="267"/>
      <c r="AA138" s="267"/>
    </row>
    <row r="139" spans="4:27" x14ac:dyDescent="0.25">
      <c r="E139"/>
      <c r="J139" s="106"/>
      <c r="K139" s="106"/>
      <c r="L139" s="106"/>
      <c r="M139" s="106"/>
      <c r="N139" s="106"/>
      <c r="O139" s="106"/>
      <c r="P139" s="106"/>
      <c r="Q139" s="106"/>
      <c r="R139" s="106"/>
      <c r="S139" s="106"/>
      <c r="T139" s="106"/>
      <c r="U139" s="106"/>
      <c r="V139" s="106"/>
      <c r="W139" s="106"/>
      <c r="X139" s="106"/>
      <c r="Y139" s="106"/>
    </row>
    <row r="140" spans="4:27" x14ac:dyDescent="0.25">
      <c r="E140" s="75" t="s">
        <v>577</v>
      </c>
      <c r="J140" s="106"/>
      <c r="K140" s="106"/>
      <c r="L140" s="106"/>
      <c r="M140" s="106"/>
      <c r="N140" s="106"/>
      <c r="O140" s="106"/>
      <c r="P140" s="106"/>
      <c r="Q140" s="106"/>
      <c r="R140" s="106"/>
      <c r="S140" s="106"/>
      <c r="T140" s="106"/>
      <c r="U140" s="106"/>
      <c r="V140" s="106"/>
      <c r="W140" s="106"/>
      <c r="X140" s="106"/>
      <c r="Y140" s="106"/>
    </row>
    <row r="141" spans="4:27" x14ac:dyDescent="0.25">
      <c r="F141" s="95" t="s">
        <v>187</v>
      </c>
      <c r="G141" s="95" t="s">
        <v>267</v>
      </c>
      <c r="H141" s="265"/>
      <c r="I141" s="265"/>
      <c r="J141" s="280">
        <f t="shared" ref="J141:K141" si="70">J36 * (1 - J$112)</f>
        <v>0.96825387035645483</v>
      </c>
      <c r="K141" s="280">
        <f t="shared" si="70"/>
        <v>0.96825387035645483</v>
      </c>
      <c r="L141" s="280">
        <f t="shared" ref="L141:M141" si="71">L36 * (1 - L$112)</f>
        <v>1.1046709010519498</v>
      </c>
      <c r="M141" s="280">
        <f t="shared" si="71"/>
        <v>1.1046709010519498</v>
      </c>
      <c r="N141" s="280">
        <f t="shared" ref="N141:P141" si="72">N36 * (1 - N$112)</f>
        <v>0.89280949127645703</v>
      </c>
      <c r="O141" s="280">
        <f t="shared" si="72"/>
        <v>0.73874227098190992</v>
      </c>
      <c r="P141" s="280">
        <f t="shared" si="72"/>
        <v>0.69114571825232096</v>
      </c>
      <c r="Q141" s="280">
        <f t="shared" ref="Q141:S141" si="73">Q36 * (1 - Q$112)</f>
        <v>2.3641846543740601</v>
      </c>
      <c r="R141" s="280">
        <f t="shared" si="73"/>
        <v>-0.66641601928271754</v>
      </c>
      <c r="S141" s="280">
        <f t="shared" si="73"/>
        <v>-0.62892255903269156</v>
      </c>
      <c r="T141" s="280">
        <f t="shared" ref="T141:U141" si="74">T36 * (1 - T$112)</f>
        <v>-0.66641601928271754</v>
      </c>
      <c r="U141" s="280">
        <f t="shared" si="74"/>
        <v>-0.66641601928271754</v>
      </c>
      <c r="V141" s="280">
        <f t="shared" ref="V141:W141" si="75">V36 * (1 - V$112)</f>
        <v>-0.62892255903269156</v>
      </c>
      <c r="W141" s="280">
        <f t="shared" si="75"/>
        <v>-0.62892255903269156</v>
      </c>
      <c r="X141" s="280">
        <f t="shared" ref="X141:Y141" si="76">X36 * (1 - X$112)</f>
        <v>-0.61924682735526559</v>
      </c>
      <c r="Y141" s="280">
        <f t="shared" si="76"/>
        <v>-0.61924682735526559</v>
      </c>
      <c r="Z141" s="267"/>
      <c r="AA141" s="267"/>
    </row>
    <row r="142" spans="4:27" x14ac:dyDescent="0.25">
      <c r="F142" t="s">
        <v>189</v>
      </c>
      <c r="G142" t="s">
        <v>267</v>
      </c>
      <c r="H142" s="267"/>
      <c r="I142" s="267"/>
      <c r="J142" s="281">
        <f t="shared" ref="J142:K142" si="77">J37 * (1 - J$112)</f>
        <v>0</v>
      </c>
      <c r="K142" s="281">
        <f t="shared" si="77"/>
        <v>0</v>
      </c>
      <c r="L142" s="281">
        <f t="shared" ref="L142:M142" si="78">L37 * (1 - L$112)</f>
        <v>0</v>
      </c>
      <c r="M142" s="281">
        <f t="shared" si="78"/>
        <v>0</v>
      </c>
      <c r="N142" s="281">
        <f t="shared" ref="N142:P142" si="79">N37 * (1 - N$112)</f>
        <v>0</v>
      </c>
      <c r="O142" s="281">
        <f t="shared" si="79"/>
        <v>0</v>
      </c>
      <c r="P142" s="281">
        <f t="shared" si="79"/>
        <v>0</v>
      </c>
      <c r="Q142" s="281">
        <f t="shared" ref="Q142:S142" si="80">Q37 * (1 - Q$112)</f>
        <v>0</v>
      </c>
      <c r="R142" s="281">
        <f t="shared" si="80"/>
        <v>0</v>
      </c>
      <c r="S142" s="281">
        <f t="shared" si="80"/>
        <v>0</v>
      </c>
      <c r="T142" s="281">
        <f t="shared" ref="T142:U142" si="81">T37 * (1 - T$112)</f>
        <v>0</v>
      </c>
      <c r="U142" s="281">
        <f t="shared" si="81"/>
        <v>0</v>
      </c>
      <c r="V142" s="281">
        <f t="shared" ref="V142:W142" si="82">V37 * (1 - V$112)</f>
        <v>0</v>
      </c>
      <c r="W142" s="281">
        <f t="shared" si="82"/>
        <v>0</v>
      </c>
      <c r="X142" s="281">
        <f t="shared" ref="X142:Y142" si="83">X37 * (1 - X$112)</f>
        <v>0</v>
      </c>
      <c r="Y142" s="281">
        <f t="shared" si="83"/>
        <v>0</v>
      </c>
      <c r="Z142" s="267"/>
      <c r="AA142" s="267"/>
    </row>
    <row r="143" spans="4:27" x14ac:dyDescent="0.25">
      <c r="F143" t="s">
        <v>190</v>
      </c>
      <c r="G143" t="s">
        <v>267</v>
      </c>
      <c r="H143" s="267"/>
      <c r="I143" s="267"/>
      <c r="J143" s="281">
        <f t="shared" ref="J143:K143" si="84">J38 * (1 - J$113)</f>
        <v>0.30591794013114276</v>
      </c>
      <c r="K143" s="281">
        <f t="shared" si="84"/>
        <v>0.30591794013114276</v>
      </c>
      <c r="L143" s="281">
        <f t="shared" ref="L143:M143" si="85">L38 * (1 - L$113)</f>
        <v>0.34901863748627876</v>
      </c>
      <c r="M143" s="281">
        <f t="shared" si="85"/>
        <v>0.34901863748627876</v>
      </c>
      <c r="N143" s="281">
        <f t="shared" ref="N143:P143" si="86">N38 * (1 - N$113)</f>
        <v>0.28208143428363258</v>
      </c>
      <c r="O143" s="281">
        <f t="shared" si="86"/>
        <v>0.2334041936164844</v>
      </c>
      <c r="P143" s="281">
        <f t="shared" si="86"/>
        <v>0.21836615471557225</v>
      </c>
      <c r="Q143" s="281">
        <f t="shared" ref="Q143:S143" si="87">Q38 * (1 - Q$113)</f>
        <v>0.7844097882970652</v>
      </c>
      <c r="R143" s="281">
        <f t="shared" si="87"/>
        <v>-0.2105528540921941</v>
      </c>
      <c r="S143" s="281">
        <f t="shared" si="87"/>
        <v>-0.19870686774580926</v>
      </c>
      <c r="T143" s="281">
        <f t="shared" ref="T143:U143" si="88">T38 * (1 - T$113)</f>
        <v>-0.2105528540921941</v>
      </c>
      <c r="U143" s="281">
        <f t="shared" si="88"/>
        <v>-0.2105528540921941</v>
      </c>
      <c r="V143" s="281">
        <f t="shared" ref="V143:W143" si="89">V38 * (1 - V$113)</f>
        <v>-0.19870686774580926</v>
      </c>
      <c r="W143" s="281">
        <f t="shared" si="89"/>
        <v>-0.19870686774580926</v>
      </c>
      <c r="X143" s="281">
        <f t="shared" ref="X143:Y143" si="90">X38 * (1 - X$113)</f>
        <v>-0.1956498390112584</v>
      </c>
      <c r="Y143" s="281">
        <f t="shared" si="90"/>
        <v>-0.1956498390112584</v>
      </c>
      <c r="Z143" s="267"/>
      <c r="AA143" s="267"/>
    </row>
    <row r="144" spans="4:27" x14ac:dyDescent="0.25">
      <c r="F144" t="s">
        <v>191</v>
      </c>
      <c r="G144" t="s">
        <v>267</v>
      </c>
      <c r="H144" s="267"/>
      <c r="I144" s="267"/>
      <c r="J144" s="281">
        <f t="shared" ref="J144:K144" si="91">J39 * (1 - J$114)</f>
        <v>0.18949020006543385</v>
      </c>
      <c r="K144" s="281">
        <f t="shared" si="91"/>
        <v>0.18949020006543385</v>
      </c>
      <c r="L144" s="281">
        <f t="shared" ref="L144:M144" si="92">L39 * (1 - L$114)</f>
        <v>0.21618742403759872</v>
      </c>
      <c r="M144" s="281">
        <f t="shared" si="92"/>
        <v>0.21618742403759872</v>
      </c>
      <c r="N144" s="281">
        <f t="shared" ref="N144:P144" si="93">N39 * (1 - N$114)</f>
        <v>0.17472550774314211</v>
      </c>
      <c r="O144" s="281">
        <f t="shared" si="93"/>
        <v>0.14457408848117587</v>
      </c>
      <c r="P144" s="281">
        <f t="shared" si="93"/>
        <v>0.13525929968943629</v>
      </c>
      <c r="Q144" s="281">
        <f t="shared" ref="Q144:S144" si="94">Q39 * (1 - Q$114)</f>
        <v>0.48587528947787917</v>
      </c>
      <c r="R144" s="281">
        <f t="shared" si="94"/>
        <v>-0.13041962308315222</v>
      </c>
      <c r="S144" s="281">
        <f t="shared" si="94"/>
        <v>-0.12308203993328339</v>
      </c>
      <c r="T144" s="281">
        <f t="shared" ref="T144:U144" si="95">T39 * (1 - T$114)</f>
        <v>-0.13041962308315222</v>
      </c>
      <c r="U144" s="281">
        <f t="shared" si="95"/>
        <v>-0.13041962308315222</v>
      </c>
      <c r="V144" s="281">
        <f t="shared" ref="V144:W144" si="96">V39 * (1 - V$114)</f>
        <v>-0.12308203993328339</v>
      </c>
      <c r="W144" s="281">
        <f t="shared" si="96"/>
        <v>-0.12308203993328339</v>
      </c>
      <c r="X144" s="281">
        <f t="shared" ref="X144:Y144" si="97">X39 * (1 - X$114)</f>
        <v>-0.12118847008815593</v>
      </c>
      <c r="Y144" s="281">
        <f t="shared" si="97"/>
        <v>-0.12118847008815593</v>
      </c>
      <c r="Z144" s="267"/>
      <c r="AA144" s="267"/>
    </row>
    <row r="145" spans="3:27" x14ac:dyDescent="0.25">
      <c r="F145" t="s">
        <v>192</v>
      </c>
      <c r="G145" t="s">
        <v>267</v>
      </c>
      <c r="H145" s="267"/>
      <c r="I145" s="267"/>
      <c r="J145" s="281">
        <f t="shared" ref="J145:K145" si="98">J40 * (1 - J$115)</f>
        <v>0.55704845193372599</v>
      </c>
      <c r="K145" s="281">
        <f t="shared" si="98"/>
        <v>0.55704845193372599</v>
      </c>
      <c r="L145" s="281">
        <f t="shared" ref="L145:M145" si="99">L40 * (1 - L$115)</f>
        <v>0.63553086041441254</v>
      </c>
      <c r="M145" s="281">
        <f t="shared" si="99"/>
        <v>0.63553086041441254</v>
      </c>
      <c r="N145" s="281">
        <f t="shared" ref="N145:P145" si="100">N40 * (1 - N$115)</f>
        <v>0.51364436560857418</v>
      </c>
      <c r="O145" s="281">
        <f t="shared" si="100"/>
        <v>0.4250075842991281</v>
      </c>
      <c r="P145" s="281">
        <f t="shared" si="100"/>
        <v>0.31809975809038044</v>
      </c>
      <c r="Q145" s="281">
        <f t="shared" ref="Q145:S145" si="101">Q40 * (1 - Q$115)</f>
        <v>1.3624723649917643</v>
      </c>
      <c r="R145" s="281">
        <f t="shared" si="101"/>
        <v>-0.38339739530151323</v>
      </c>
      <c r="S145" s="281">
        <f t="shared" si="101"/>
        <v>-0.36182694293427747</v>
      </c>
      <c r="T145" s="281">
        <f t="shared" ref="T145:U145" si="102">T40 * (1 - T$115)</f>
        <v>-0.38339739530151323</v>
      </c>
      <c r="U145" s="281">
        <f t="shared" si="102"/>
        <v>-0.38339739530151323</v>
      </c>
      <c r="V145" s="281">
        <f t="shared" ref="V145:W145" si="103">V40 * (1 - V$115)</f>
        <v>-0.36182694293427747</v>
      </c>
      <c r="W145" s="281">
        <f t="shared" si="103"/>
        <v>-0.36182694293427747</v>
      </c>
      <c r="X145" s="281">
        <f t="shared" ref="X145:Y145" si="104">X40 * (1 - X$115)</f>
        <v>-0.35626037458144239</v>
      </c>
      <c r="Y145" s="281">
        <f t="shared" si="104"/>
        <v>-0.35626037458144239</v>
      </c>
      <c r="Z145" s="267"/>
      <c r="AA145" s="267"/>
    </row>
    <row r="146" spans="3:27" x14ac:dyDescent="0.25">
      <c r="F146" t="s">
        <v>193</v>
      </c>
      <c r="G146" t="s">
        <v>267</v>
      </c>
      <c r="H146" s="267"/>
      <c r="I146" s="267"/>
      <c r="J146" s="281">
        <f t="shared" ref="J146:K146" si="105">J41 * (1 - J$116)</f>
        <v>0.2119707040545693</v>
      </c>
      <c r="K146" s="281">
        <f t="shared" si="105"/>
        <v>0.2119707040545693</v>
      </c>
      <c r="L146" s="281">
        <f t="shared" ref="L146:M146" si="106">L41 * (1 - L$116)</f>
        <v>0.2418352002645483</v>
      </c>
      <c r="M146" s="281">
        <f t="shared" si="106"/>
        <v>0.2418352002645483</v>
      </c>
      <c r="N146" s="281">
        <f t="shared" ref="N146:P146" si="107">N41 * (1 - N$116)</f>
        <v>0.19545437642588692</v>
      </c>
      <c r="O146" s="281">
        <f t="shared" si="107"/>
        <v>0.16172589037755036</v>
      </c>
      <c r="P146" s="281">
        <f t="shared" si="107"/>
        <v>0</v>
      </c>
      <c r="Q146" s="281">
        <f t="shared" ref="Q146:S146" si="108">Q41 * (1 - Q$116)</f>
        <v>0.51845440995240122</v>
      </c>
      <c r="R146" s="281">
        <f t="shared" si="108"/>
        <v>-0.14589218502023346</v>
      </c>
      <c r="S146" s="281">
        <f t="shared" si="108"/>
        <v>-0.13768409475593721</v>
      </c>
      <c r="T146" s="281">
        <f t="shared" ref="T146:U146" si="109">T41 * (1 - T$116)</f>
        <v>-0.14589218502023346</v>
      </c>
      <c r="U146" s="281">
        <f t="shared" si="109"/>
        <v>-0.14589218502023346</v>
      </c>
      <c r="V146" s="281">
        <f t="shared" ref="V146:W146" si="110">V41 * (1 - V$116)</f>
        <v>-0.13768409475593721</v>
      </c>
      <c r="W146" s="281">
        <f t="shared" si="110"/>
        <v>-0.13768409475593721</v>
      </c>
      <c r="X146" s="281">
        <f t="shared" ref="X146:Y146" si="111">X41 * (1 - X$116)</f>
        <v>-0.13556587791353816</v>
      </c>
      <c r="Y146" s="281">
        <f t="shared" si="111"/>
        <v>-0.13556587791353816</v>
      </c>
      <c r="Z146" s="267"/>
      <c r="AA146" s="267"/>
    </row>
    <row r="147" spans="3:27" x14ac:dyDescent="0.25">
      <c r="F147" t="s">
        <v>194</v>
      </c>
      <c r="G147" t="s">
        <v>267</v>
      </c>
      <c r="H147" s="267"/>
      <c r="I147" s="267"/>
      <c r="J147" s="281">
        <f t="shared" ref="J147:K147" si="112">J42 * (1 - J$117)</f>
        <v>0</v>
      </c>
      <c r="K147" s="281">
        <f t="shared" si="112"/>
        <v>0</v>
      </c>
      <c r="L147" s="281">
        <f t="shared" ref="L147:M147" si="113">L42 * (1 - L$117)</f>
        <v>0</v>
      </c>
      <c r="M147" s="281">
        <f t="shared" si="113"/>
        <v>0</v>
      </c>
      <c r="N147" s="281">
        <f t="shared" ref="N147:P147" si="114">N42 * (1 - N$117)</f>
        <v>0</v>
      </c>
      <c r="O147" s="281">
        <f t="shared" si="114"/>
        <v>0</v>
      </c>
      <c r="P147" s="281">
        <f t="shared" si="114"/>
        <v>0</v>
      </c>
      <c r="Q147" s="281">
        <f t="shared" ref="Q147:S147" si="115">Q42 * (1 - Q$117)</f>
        <v>0</v>
      </c>
      <c r="R147" s="281">
        <f t="shared" si="115"/>
        <v>0</v>
      </c>
      <c r="S147" s="281">
        <f t="shared" si="115"/>
        <v>0</v>
      </c>
      <c r="T147" s="281">
        <f t="shared" ref="T147:U147" si="116">T42 * (1 - T$117)</f>
        <v>0</v>
      </c>
      <c r="U147" s="281">
        <f t="shared" si="116"/>
        <v>0</v>
      </c>
      <c r="V147" s="281">
        <f t="shared" ref="V147:W147" si="117">V42 * (1 - V$117)</f>
        <v>0</v>
      </c>
      <c r="W147" s="281">
        <f t="shared" si="117"/>
        <v>0</v>
      </c>
      <c r="X147" s="281">
        <f t="shared" ref="X147:Y147" si="118">X42 * (1 - X$117)</f>
        <v>0</v>
      </c>
      <c r="Y147" s="281">
        <f t="shared" si="118"/>
        <v>0</v>
      </c>
      <c r="Z147" s="267"/>
      <c r="AA147" s="267"/>
    </row>
    <row r="148" spans="3:27" x14ac:dyDescent="0.25">
      <c r="F148" t="s">
        <v>195</v>
      </c>
      <c r="G148" t="s">
        <v>267</v>
      </c>
      <c r="H148" s="267"/>
      <c r="I148" s="267"/>
      <c r="J148" s="281">
        <f t="shared" ref="J148:K148" si="119">J43 * (1 - J$118)</f>
        <v>0.98104092849988933</v>
      </c>
      <c r="K148" s="281">
        <f t="shared" si="119"/>
        <v>0.98104092849988933</v>
      </c>
      <c r="L148" s="281">
        <f t="shared" ref="L148:M148" si="120">L43 * (1 - L$118)</f>
        <v>1.1192595244218839</v>
      </c>
      <c r="M148" s="281">
        <f t="shared" si="120"/>
        <v>1.1192595244218839</v>
      </c>
      <c r="N148" s="281">
        <f t="shared" ref="N148:P148" si="121">N43 * (1 - N$118)</f>
        <v>0.72368016621336728</v>
      </c>
      <c r="O148" s="281">
        <f t="shared" si="121"/>
        <v>0</v>
      </c>
      <c r="P148" s="281">
        <f t="shared" si="121"/>
        <v>0</v>
      </c>
      <c r="Q148" s="281">
        <f t="shared" ref="Q148:S148" si="122">Q43 * (1 - Q$118)</f>
        <v>2.3995060920948137</v>
      </c>
      <c r="R148" s="281">
        <f t="shared" si="122"/>
        <v>-0.6752169140141242</v>
      </c>
      <c r="S148" s="281">
        <f t="shared" si="122"/>
        <v>-0.63722830360679583</v>
      </c>
      <c r="T148" s="281">
        <f t="shared" ref="T148:U148" si="123">T43 * (1 - T$118)</f>
        <v>-0.6752169140141242</v>
      </c>
      <c r="U148" s="281">
        <f t="shared" si="123"/>
        <v>-0.6752169140141242</v>
      </c>
      <c r="V148" s="281">
        <f t="shared" ref="V148:W148" si="124">V43 * (1 - V$118)</f>
        <v>-0.63722830360679583</v>
      </c>
      <c r="W148" s="281">
        <f t="shared" si="124"/>
        <v>-0.63722830360679583</v>
      </c>
      <c r="X148" s="281">
        <f t="shared" ref="X148:Y148" si="125">X43 * (1 - X$118)</f>
        <v>0</v>
      </c>
      <c r="Y148" s="281">
        <f t="shared" si="125"/>
        <v>0</v>
      </c>
      <c r="Z148" s="267"/>
      <c r="AA148" s="267"/>
    </row>
    <row r="149" spans="3:27" x14ac:dyDescent="0.25">
      <c r="F149" t="s">
        <v>196</v>
      </c>
      <c r="G149" t="s">
        <v>267</v>
      </c>
      <c r="H149" s="267"/>
      <c r="I149" s="267"/>
      <c r="J149" s="281">
        <f t="shared" ref="J149:K149" si="126">J44 * (1 - J$119)</f>
        <v>0.29837459946034633</v>
      </c>
      <c r="K149" s="281">
        <f t="shared" si="126"/>
        <v>0.29837459946034633</v>
      </c>
      <c r="L149" s="281">
        <f t="shared" ref="L149:M149" si="127">L44 * (1 - L$119)</f>
        <v>0.34041251755134599</v>
      </c>
      <c r="M149" s="281">
        <f t="shared" si="127"/>
        <v>0.34041251755134599</v>
      </c>
      <c r="N149" s="281">
        <f t="shared" ref="N149:P149" si="128">N44 * (1 - N$119)</f>
        <v>0</v>
      </c>
      <c r="O149" s="281">
        <f t="shared" si="128"/>
        <v>0</v>
      </c>
      <c r="P149" s="281">
        <f t="shared" si="128"/>
        <v>0</v>
      </c>
      <c r="Q149" s="281">
        <f t="shared" ref="Q149:S149" si="129">Q44 * (1 - Q$119)</f>
        <v>0.72978776759723307</v>
      </c>
      <c r="R149" s="281">
        <f t="shared" si="129"/>
        <v>-0.20536103073281528</v>
      </c>
      <c r="S149" s="281">
        <f t="shared" si="129"/>
        <v>0</v>
      </c>
      <c r="T149" s="281">
        <f t="shared" ref="T149:U149" si="130">T44 * (1 - T$119)</f>
        <v>-0.20536103073281528</v>
      </c>
      <c r="U149" s="281">
        <f t="shared" si="130"/>
        <v>-0.20536103073281528</v>
      </c>
      <c r="V149" s="281">
        <f t="shared" ref="V149:W149" si="131">V44 * (1 - V$119)</f>
        <v>0</v>
      </c>
      <c r="W149" s="281">
        <f t="shared" si="131"/>
        <v>0</v>
      </c>
      <c r="X149" s="281">
        <f t="shared" ref="X149:Y149" si="132">X44 * (1 - X$119)</f>
        <v>0</v>
      </c>
      <c r="Y149" s="281">
        <f t="shared" si="132"/>
        <v>0</v>
      </c>
      <c r="Z149" s="267"/>
      <c r="AA149" s="267"/>
    </row>
    <row r="150" spans="3:27" x14ac:dyDescent="0.25">
      <c r="F150" t="s">
        <v>197</v>
      </c>
      <c r="G150" t="s">
        <v>267</v>
      </c>
      <c r="H150" s="267"/>
      <c r="I150" s="267"/>
      <c r="J150" s="281">
        <f t="shared" ref="J150:K150" si="133">J45 * (1 - J$120)</f>
        <v>0</v>
      </c>
      <c r="K150" s="281">
        <f t="shared" si="133"/>
        <v>0</v>
      </c>
      <c r="L150" s="281">
        <f t="shared" ref="L150:M150" si="134">L45 * (1 - L$120)</f>
        <v>0</v>
      </c>
      <c r="M150" s="281">
        <f t="shared" si="134"/>
        <v>0</v>
      </c>
      <c r="N150" s="281">
        <f t="shared" ref="N150:P150" si="135">N45 * (1 - N$120)</f>
        <v>0</v>
      </c>
      <c r="O150" s="281">
        <f t="shared" si="135"/>
        <v>0</v>
      </c>
      <c r="P150" s="281">
        <f t="shared" si="135"/>
        <v>0</v>
      </c>
      <c r="Q150" s="281">
        <f t="shared" ref="Q150:S150" si="136">Q45 * (1 - Q$120)</f>
        <v>1.3640828671808649</v>
      </c>
      <c r="R150" s="281">
        <f t="shared" si="136"/>
        <v>0</v>
      </c>
      <c r="S150" s="281">
        <f t="shared" si="136"/>
        <v>0</v>
      </c>
      <c r="T150" s="281">
        <f t="shared" ref="T150:U150" si="137">T45 * (1 - T$120)</f>
        <v>0</v>
      </c>
      <c r="U150" s="281">
        <f t="shared" si="137"/>
        <v>0</v>
      </c>
      <c r="V150" s="281">
        <f t="shared" ref="V150:W150" si="138">V45 * (1 - V$120)</f>
        <v>0</v>
      </c>
      <c r="W150" s="281">
        <f t="shared" si="138"/>
        <v>0</v>
      </c>
      <c r="X150" s="281">
        <f t="shared" ref="X150:Y150" si="139">X45 * (1 - X$120)</f>
        <v>0</v>
      </c>
      <c r="Y150" s="281">
        <f t="shared" si="139"/>
        <v>0</v>
      </c>
      <c r="Z150" s="267"/>
      <c r="AA150" s="267"/>
    </row>
    <row r="151" spans="3:27" x14ac:dyDescent="0.25">
      <c r="D151"/>
      <c r="F151" s="95" t="s">
        <v>332</v>
      </c>
      <c r="G151" s="95" t="s">
        <v>267</v>
      </c>
      <c r="H151" s="265"/>
      <c r="I151" s="265" t="s">
        <v>152</v>
      </c>
      <c r="J151" s="279"/>
      <c r="K151" s="279"/>
      <c r="L151" s="279"/>
      <c r="M151" s="279"/>
      <c r="N151" s="279"/>
      <c r="O151" s="279"/>
      <c r="P151" s="279"/>
      <c r="Q151" s="282">
        <f t="shared" ref="Q151" si="140">Q46</f>
        <v>0</v>
      </c>
      <c r="R151" s="279"/>
      <c r="S151" s="279"/>
      <c r="T151" s="279"/>
      <c r="U151" s="279"/>
      <c r="V151" s="279"/>
      <c r="W151" s="279"/>
      <c r="X151" s="279"/>
      <c r="Y151" s="279"/>
      <c r="Z151" s="267"/>
      <c r="AA151" s="267" t="s">
        <v>609</v>
      </c>
    </row>
    <row r="152" spans="3:27" x14ac:dyDescent="0.25">
      <c r="D152"/>
      <c r="F152" s="96" t="s">
        <v>333</v>
      </c>
      <c r="G152" s="96" t="s">
        <v>267</v>
      </c>
      <c r="H152" s="269"/>
      <c r="I152" s="269"/>
      <c r="J152" s="275"/>
      <c r="K152" s="275"/>
      <c r="L152" s="275"/>
      <c r="M152" s="275"/>
      <c r="N152" s="275"/>
      <c r="O152" s="275"/>
      <c r="P152" s="275"/>
      <c r="Q152" s="275"/>
      <c r="R152" s="275"/>
      <c r="S152" s="275"/>
      <c r="T152" s="275"/>
      <c r="U152" s="275"/>
      <c r="V152" s="275"/>
      <c r="W152" s="275"/>
      <c r="X152" s="275"/>
      <c r="Y152" s="275"/>
      <c r="Z152" s="267"/>
      <c r="AA152" s="267"/>
    </row>
    <row r="153" spans="3:27" x14ac:dyDescent="0.25">
      <c r="E153"/>
      <c r="J153" s="106"/>
      <c r="K153" s="106"/>
      <c r="L153" s="106"/>
      <c r="M153" s="106"/>
      <c r="N153" s="106"/>
      <c r="O153" s="106"/>
      <c r="P153" s="106"/>
      <c r="Q153" s="106"/>
      <c r="R153" s="106"/>
      <c r="S153" s="106"/>
      <c r="T153" s="106"/>
      <c r="U153" s="106"/>
      <c r="V153" s="106"/>
      <c r="W153" s="106"/>
      <c r="X153" s="106"/>
      <c r="Y153" s="106"/>
    </row>
    <row r="154" spans="3:27" x14ac:dyDescent="0.2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25">
      <c r="C155" s="75"/>
      <c r="D155" s="75"/>
      <c r="E155"/>
      <c r="I155" t="s">
        <v>152</v>
      </c>
      <c r="J155" s="106"/>
      <c r="K155" s="106"/>
      <c r="L155" s="106"/>
      <c r="M155" s="106"/>
      <c r="N155" s="106"/>
      <c r="O155" s="106"/>
      <c r="P155" s="106"/>
      <c r="Q155" s="106"/>
      <c r="R155" s="106"/>
      <c r="S155" s="106"/>
      <c r="T155" s="106"/>
      <c r="U155" s="106"/>
      <c r="V155" s="106"/>
      <c r="W155" s="106"/>
      <c r="X155" s="106"/>
      <c r="Y155" s="106"/>
      <c r="AA155" t="s">
        <v>611</v>
      </c>
    </row>
    <row r="156" spans="3:27" x14ac:dyDescent="0.25">
      <c r="E156" s="75" t="s">
        <v>576</v>
      </c>
      <c r="J156" s="106"/>
      <c r="K156" s="106"/>
      <c r="L156" s="106"/>
      <c r="M156" s="106"/>
      <c r="N156" s="106"/>
      <c r="O156" s="106"/>
      <c r="P156" s="106"/>
      <c r="Q156" s="106"/>
      <c r="R156" s="106"/>
      <c r="S156" s="106"/>
      <c r="T156" s="106"/>
      <c r="U156" s="106"/>
      <c r="V156" s="106"/>
      <c r="W156" s="106"/>
      <c r="X156" s="106"/>
      <c r="Y156" s="106"/>
    </row>
    <row r="157" spans="3:27" x14ac:dyDescent="0.25">
      <c r="F157" s="95" t="s">
        <v>187</v>
      </c>
      <c r="G157" s="95" t="s">
        <v>267</v>
      </c>
      <c r="H157" s="265"/>
      <c r="I157" s="265"/>
      <c r="J157" s="280">
        <f t="shared" ref="J157:K157" si="141">J52 * (1 - J$112)</f>
        <v>0</v>
      </c>
      <c r="K157" s="280">
        <f t="shared" si="141"/>
        <v>0</v>
      </c>
      <c r="L157" s="280">
        <f t="shared" ref="L157:M157" si="142">L52 * (1 - L$112)</f>
        <v>0</v>
      </c>
      <c r="M157" s="280">
        <f t="shared" si="142"/>
        <v>0</v>
      </c>
      <c r="N157" s="280">
        <f t="shared" ref="N157:P157" si="143">N52 * (1 - N$112)</f>
        <v>0</v>
      </c>
      <c r="O157" s="280">
        <f t="shared" si="143"/>
        <v>0</v>
      </c>
      <c r="P157" s="280">
        <f t="shared" si="143"/>
        <v>0</v>
      </c>
      <c r="Q157" s="280">
        <f t="shared" ref="Q157:S157" si="144">Q52 * (1 - Q$112)</f>
        <v>0</v>
      </c>
      <c r="R157" s="280">
        <f t="shared" si="144"/>
        <v>0</v>
      </c>
      <c r="S157" s="280">
        <f t="shared" si="144"/>
        <v>0</v>
      </c>
      <c r="T157" s="280">
        <f t="shared" ref="T157:U157" si="145">T52 * (1 - T$112)</f>
        <v>0</v>
      </c>
      <c r="U157" s="280">
        <f t="shared" si="145"/>
        <v>0</v>
      </c>
      <c r="V157" s="280">
        <f t="shared" ref="V157:W157" si="146">V52 * (1 - V$112)</f>
        <v>0</v>
      </c>
      <c r="W157" s="280">
        <f t="shared" si="146"/>
        <v>0</v>
      </c>
      <c r="X157" s="280">
        <f t="shared" ref="X157:Y157" si="147">X52 * (1 - X$112)</f>
        <v>0</v>
      </c>
      <c r="Y157" s="280">
        <f t="shared" si="147"/>
        <v>0</v>
      </c>
      <c r="Z157" s="267"/>
      <c r="AA157" s="267"/>
    </row>
    <row r="158" spans="3:27" x14ac:dyDescent="0.25">
      <c r="F158" t="s">
        <v>189</v>
      </c>
      <c r="G158" t="s">
        <v>267</v>
      </c>
      <c r="H158" s="267"/>
      <c r="I158" s="267"/>
      <c r="J158" s="281">
        <f t="shared" ref="J158:K158" si="148">J53 * (1 - J$112)</f>
        <v>0</v>
      </c>
      <c r="K158" s="281">
        <f t="shared" si="148"/>
        <v>0</v>
      </c>
      <c r="L158" s="281">
        <f t="shared" ref="L158:M158" si="149">L53 * (1 - L$112)</f>
        <v>0</v>
      </c>
      <c r="M158" s="281">
        <f t="shared" si="149"/>
        <v>0</v>
      </c>
      <c r="N158" s="281">
        <f t="shared" ref="N158:P158" si="150">N53 * (1 - N$112)</f>
        <v>0</v>
      </c>
      <c r="O158" s="281">
        <f t="shared" si="150"/>
        <v>0</v>
      </c>
      <c r="P158" s="281">
        <f t="shared" si="150"/>
        <v>0</v>
      </c>
      <c r="Q158" s="281">
        <f t="shared" ref="Q158:S158" si="151">Q53 * (1 - Q$112)</f>
        <v>0</v>
      </c>
      <c r="R158" s="281">
        <f t="shared" si="151"/>
        <v>0</v>
      </c>
      <c r="S158" s="281">
        <f t="shared" si="151"/>
        <v>0</v>
      </c>
      <c r="T158" s="281">
        <f t="shared" ref="T158:U158" si="152">T53 * (1 - T$112)</f>
        <v>0</v>
      </c>
      <c r="U158" s="281">
        <f t="shared" si="152"/>
        <v>0</v>
      </c>
      <c r="V158" s="281">
        <f t="shared" ref="V158:W158" si="153">V53 * (1 - V$112)</f>
        <v>0</v>
      </c>
      <c r="W158" s="281">
        <f t="shared" si="153"/>
        <v>0</v>
      </c>
      <c r="X158" s="281">
        <f t="shared" ref="X158:Y158" si="154">X53 * (1 - X$112)</f>
        <v>0</v>
      </c>
      <c r="Y158" s="281">
        <f t="shared" si="154"/>
        <v>0</v>
      </c>
      <c r="Z158" s="267"/>
      <c r="AA158" s="267"/>
    </row>
    <row r="159" spans="3:27" x14ac:dyDescent="0.25">
      <c r="F159" t="s">
        <v>190</v>
      </c>
      <c r="G159" t="s">
        <v>267</v>
      </c>
      <c r="H159" s="267"/>
      <c r="I159" s="267"/>
      <c r="J159" s="281">
        <f t="shared" ref="J159:K159" si="155">J54 * (1 - J$113)</f>
        <v>0.12228378103254511</v>
      </c>
      <c r="K159" s="281">
        <f t="shared" si="155"/>
        <v>0.12228378103254511</v>
      </c>
      <c r="L159" s="281">
        <f t="shared" ref="L159:M159" si="156">L54 * (1 - L$113)</f>
        <v>0.13951231047238785</v>
      </c>
      <c r="M159" s="281">
        <f t="shared" si="156"/>
        <v>0.13951231047238785</v>
      </c>
      <c r="N159" s="281">
        <f t="shared" ref="N159:P159" si="157">N54 * (1 - N$113)</f>
        <v>0.11275567666446401</v>
      </c>
      <c r="O159" s="281">
        <f t="shared" si="157"/>
        <v>9.3298050098142599E-2</v>
      </c>
      <c r="P159" s="281">
        <f t="shared" si="157"/>
        <v>8.7286933995145408E-2</v>
      </c>
      <c r="Q159" s="281">
        <f t="shared" ref="Q159:S159" si="158">Q54 * (1 - Q$113)</f>
        <v>8.442242080411301E-2</v>
      </c>
      <c r="R159" s="281">
        <f t="shared" si="158"/>
        <v>-8.4163743697247106E-2</v>
      </c>
      <c r="S159" s="281">
        <f t="shared" si="158"/>
        <v>-7.9428578443862974E-2</v>
      </c>
      <c r="T159" s="281">
        <f t="shared" ref="T159:U159" si="159">T54 * (1 - T$113)</f>
        <v>-8.4163743697247106E-2</v>
      </c>
      <c r="U159" s="281">
        <f t="shared" si="159"/>
        <v>-8.4163743697247106E-2</v>
      </c>
      <c r="V159" s="281">
        <f t="shared" ref="V159:W159" si="160">V54 * (1 - V$113)</f>
        <v>-7.9428578443862974E-2</v>
      </c>
      <c r="W159" s="281">
        <f t="shared" si="160"/>
        <v>-7.9428578443862974E-2</v>
      </c>
      <c r="X159" s="281">
        <f t="shared" ref="X159:Y159" si="161">X54 * (1 - X$113)</f>
        <v>-7.8206600313957375E-2</v>
      </c>
      <c r="Y159" s="281">
        <f t="shared" si="161"/>
        <v>-7.8206600313957375E-2</v>
      </c>
      <c r="Z159" s="267"/>
      <c r="AA159" s="267"/>
    </row>
    <row r="160" spans="3:27" x14ac:dyDescent="0.25">
      <c r="F160" t="s">
        <v>191</v>
      </c>
      <c r="G160" t="s">
        <v>267</v>
      </c>
      <c r="H160" s="267"/>
      <c r="I160" s="267"/>
      <c r="J160" s="281">
        <f t="shared" ref="J160:K160" si="162">J55 * (1 - J$114)</f>
        <v>7.5744423889234316E-2</v>
      </c>
      <c r="K160" s="281">
        <f t="shared" si="162"/>
        <v>7.5744423889234316E-2</v>
      </c>
      <c r="L160" s="281">
        <f t="shared" ref="L160:M160" si="163">L55 * (1 - L$114)</f>
        <v>8.6416035658683069E-2</v>
      </c>
      <c r="M160" s="281">
        <f t="shared" si="163"/>
        <v>8.6416035658683069E-2</v>
      </c>
      <c r="N160" s="281">
        <f t="shared" ref="N160:P160" si="164">N55 * (1 - N$114)</f>
        <v>6.9842571901809078E-2</v>
      </c>
      <c r="O160" s="281">
        <f t="shared" si="164"/>
        <v>5.7790223650280664E-2</v>
      </c>
      <c r="P160" s="281">
        <f t="shared" si="164"/>
        <v>5.4066847399495271E-2</v>
      </c>
      <c r="Q160" s="281">
        <f t="shared" ref="Q160:S160" si="165">Q55 * (1 - Q$114)</f>
        <v>5.2292524594411943E-2</v>
      </c>
      <c r="R160" s="281">
        <f t="shared" si="165"/>
        <v>-5.2132296081133664E-2</v>
      </c>
      <c r="S160" s="281">
        <f t="shared" si="165"/>
        <v>-4.9199263089273138E-2</v>
      </c>
      <c r="T160" s="281">
        <f t="shared" ref="T160:U160" si="166">T55 * (1 - T$114)</f>
        <v>-5.2132296081133664E-2</v>
      </c>
      <c r="U160" s="281">
        <f t="shared" si="166"/>
        <v>-5.2132296081133664E-2</v>
      </c>
      <c r="V160" s="281">
        <f t="shared" ref="V160:W160" si="167">V55 * (1 - V$114)</f>
        <v>-4.9199263089273138E-2</v>
      </c>
      <c r="W160" s="281">
        <f t="shared" si="167"/>
        <v>-4.9199263089273138E-2</v>
      </c>
      <c r="X160" s="281">
        <f t="shared" ref="X160:Y160" si="168">X55 * (1 - X$114)</f>
        <v>-4.8442351349438161E-2</v>
      </c>
      <c r="Y160" s="281">
        <f t="shared" si="168"/>
        <v>-4.8442351349438161E-2</v>
      </c>
      <c r="Z160" s="267"/>
      <c r="AA160" s="267"/>
    </row>
    <row r="161" spans="4:27" x14ac:dyDescent="0.25">
      <c r="F161" t="s">
        <v>192</v>
      </c>
      <c r="G161" t="s">
        <v>267</v>
      </c>
      <c r="H161" s="267"/>
      <c r="I161" s="267"/>
      <c r="J161" s="281">
        <f t="shared" ref="J161:K161" si="169">J56 * (1 - J$115)</f>
        <v>0.28859644915631105</v>
      </c>
      <c r="K161" s="281">
        <f t="shared" si="169"/>
        <v>0.28859644915631105</v>
      </c>
      <c r="L161" s="281">
        <f t="shared" ref="L161:M161" si="170">L56 * (1 - L$115)</f>
        <v>0.32925672624735297</v>
      </c>
      <c r="M161" s="281">
        <f t="shared" si="170"/>
        <v>0.32925672624735297</v>
      </c>
      <c r="N161" s="281">
        <f t="shared" ref="N161:P161" si="171">N56 * (1 - N$115)</f>
        <v>0.26610959877762419</v>
      </c>
      <c r="O161" s="281">
        <f t="shared" si="171"/>
        <v>0.22018852986207141</v>
      </c>
      <c r="P161" s="281">
        <f t="shared" si="171"/>
        <v>0.16480157218583813</v>
      </c>
      <c r="Q161" s="281">
        <f t="shared" ref="Q161:S161" si="172">Q56 * (1 - Q$115)</f>
        <v>0.21656914195774613</v>
      </c>
      <c r="R161" s="281">
        <f t="shared" si="172"/>
        <v>-0.19863106434583416</v>
      </c>
      <c r="S161" s="281">
        <f t="shared" si="172"/>
        <v>-0.18745581390169466</v>
      </c>
      <c r="T161" s="281">
        <f t="shared" ref="T161:U161" si="173">T56 * (1 - T$115)</f>
        <v>-0.19863106434583416</v>
      </c>
      <c r="U161" s="281">
        <f t="shared" si="173"/>
        <v>-0.19863106434583416</v>
      </c>
      <c r="V161" s="281">
        <f t="shared" ref="V161:W161" si="174">V56 * (1 - V$115)</f>
        <v>-0.18745581390169466</v>
      </c>
      <c r="W161" s="281">
        <f t="shared" si="174"/>
        <v>-0.18745581390169466</v>
      </c>
      <c r="X161" s="281">
        <f t="shared" ref="X161:Y161" si="175">X56 * (1 - X$115)</f>
        <v>-0.18457187830320707</v>
      </c>
      <c r="Y161" s="281">
        <f t="shared" si="175"/>
        <v>-0.18457187830320707</v>
      </c>
      <c r="Z161" s="267"/>
      <c r="AA161" s="267"/>
    </row>
    <row r="162" spans="4:27" x14ac:dyDescent="0.25">
      <c r="F162" t="s">
        <v>193</v>
      </c>
      <c r="G162" t="s">
        <v>267</v>
      </c>
      <c r="H162" s="267"/>
      <c r="I162" s="267"/>
      <c r="J162" s="281">
        <f t="shared" ref="J162:K162" si="176">J57 * (1 - J$116)</f>
        <v>0.1098180818974613</v>
      </c>
      <c r="K162" s="281">
        <f t="shared" si="176"/>
        <v>0.1098180818974613</v>
      </c>
      <c r="L162" s="281">
        <f t="shared" ref="L162:M162" si="177">L57 * (1 - L$116)</f>
        <v>0.12529032229616088</v>
      </c>
      <c r="M162" s="281">
        <f t="shared" si="177"/>
        <v>0.12529032229616088</v>
      </c>
      <c r="N162" s="281">
        <f t="shared" ref="N162:P162" si="178">N57 * (1 - N$116)</f>
        <v>0.10126127953997607</v>
      </c>
      <c r="O162" s="281">
        <f t="shared" si="178"/>
        <v>8.3787177825523793E-2</v>
      </c>
      <c r="P162" s="281">
        <f t="shared" si="178"/>
        <v>0</v>
      </c>
      <c r="Q162" s="281">
        <f t="shared" ref="Q162:S162" si="179">Q57 * (1 - Q$116)</f>
        <v>8.2409911270589165E-2</v>
      </c>
      <c r="R162" s="281">
        <f t="shared" si="179"/>
        <v>-7.5584029379017439E-2</v>
      </c>
      <c r="S162" s="281">
        <f t="shared" si="179"/>
        <v>-7.1331570375842229E-2</v>
      </c>
      <c r="T162" s="281">
        <f t="shared" ref="T162:U162" si="180">T57 * (1 - T$116)</f>
        <v>-7.5584029379017439E-2</v>
      </c>
      <c r="U162" s="281">
        <f t="shared" si="180"/>
        <v>-7.5584029379017439E-2</v>
      </c>
      <c r="V162" s="281">
        <f t="shared" ref="V162:W162" si="181">V57 * (1 - V$116)</f>
        <v>-7.1331570375842229E-2</v>
      </c>
      <c r="W162" s="281">
        <f t="shared" si="181"/>
        <v>-7.1331570375842229E-2</v>
      </c>
      <c r="X162" s="281">
        <f t="shared" ref="X162:Y162" si="182">X57 * (1 - X$116)</f>
        <v>-7.0234161600829279E-2</v>
      </c>
      <c r="Y162" s="281">
        <f t="shared" si="182"/>
        <v>-7.0234161600829279E-2</v>
      </c>
      <c r="Z162" s="267"/>
      <c r="AA162" s="267"/>
    </row>
    <row r="163" spans="4:27" x14ac:dyDescent="0.25">
      <c r="F163" t="s">
        <v>194</v>
      </c>
      <c r="G163" t="s">
        <v>267</v>
      </c>
      <c r="H163" s="267"/>
      <c r="I163" s="267"/>
      <c r="J163" s="281">
        <f t="shared" ref="J163:K163" si="183">J58 * (1 - J$117)</f>
        <v>0</v>
      </c>
      <c r="K163" s="281">
        <f t="shared" si="183"/>
        <v>0</v>
      </c>
      <c r="L163" s="281">
        <f t="shared" ref="L163:M163" si="184">L58 * (1 - L$117)</f>
        <v>0</v>
      </c>
      <c r="M163" s="281">
        <f t="shared" si="184"/>
        <v>0</v>
      </c>
      <c r="N163" s="281">
        <f t="shared" ref="N163:P163" si="185">N58 * (1 - N$117)</f>
        <v>0</v>
      </c>
      <c r="O163" s="281">
        <f t="shared" si="185"/>
        <v>0</v>
      </c>
      <c r="P163" s="281">
        <f t="shared" si="185"/>
        <v>0</v>
      </c>
      <c r="Q163" s="281">
        <f t="shared" ref="Q163:S163" si="186">Q58 * (1 - Q$117)</f>
        <v>0</v>
      </c>
      <c r="R163" s="281">
        <f t="shared" si="186"/>
        <v>0</v>
      </c>
      <c r="S163" s="281">
        <f t="shared" si="186"/>
        <v>0</v>
      </c>
      <c r="T163" s="281">
        <f t="shared" ref="T163:U163" si="187">T58 * (1 - T$117)</f>
        <v>0</v>
      </c>
      <c r="U163" s="281">
        <f t="shared" si="187"/>
        <v>0</v>
      </c>
      <c r="V163" s="281">
        <f t="shared" ref="V163:W163" si="188">V58 * (1 - V$117)</f>
        <v>0</v>
      </c>
      <c r="W163" s="281">
        <f t="shared" si="188"/>
        <v>0</v>
      </c>
      <c r="X163" s="281">
        <f t="shared" ref="X163:Y163" si="189">X58 * (1 - X$117)</f>
        <v>0</v>
      </c>
      <c r="Y163" s="281">
        <f t="shared" si="189"/>
        <v>0</v>
      </c>
      <c r="Z163" s="267"/>
      <c r="AA163" s="267"/>
    </row>
    <row r="164" spans="4:27" x14ac:dyDescent="0.25">
      <c r="F164" t="s">
        <v>195</v>
      </c>
      <c r="G164" t="s">
        <v>267</v>
      </c>
      <c r="H164" s="267"/>
      <c r="I164" s="267"/>
      <c r="J164" s="281">
        <f t="shared" ref="J164:K164" si="190">J59 * (1 - J$118)</f>
        <v>0.50825907056961495</v>
      </c>
      <c r="K164" s="281">
        <f t="shared" si="190"/>
        <v>0.50825907056961495</v>
      </c>
      <c r="L164" s="281">
        <f t="shared" ref="L164:M164" si="191">L59 * (1 - L$118)</f>
        <v>0.5798675560648846</v>
      </c>
      <c r="M164" s="281">
        <f t="shared" si="191"/>
        <v>0.5798675560648846</v>
      </c>
      <c r="N164" s="281">
        <f t="shared" ref="N164:P164" si="192">N59 * (1 - N$118)</f>
        <v>0.37492524316156706</v>
      </c>
      <c r="O164" s="281">
        <f t="shared" si="192"/>
        <v>0</v>
      </c>
      <c r="P164" s="281">
        <f t="shared" si="192"/>
        <v>0</v>
      </c>
      <c r="Q164" s="281">
        <f t="shared" ref="Q164:S164" si="193">Q59 * (1 - Q$118)</f>
        <v>0.38140881887941958</v>
      </c>
      <c r="R164" s="281">
        <f t="shared" si="193"/>
        <v>-0.34981733297760276</v>
      </c>
      <c r="S164" s="281">
        <f t="shared" si="193"/>
        <v>-0.33013614001516051</v>
      </c>
      <c r="T164" s="281">
        <f t="shared" ref="T164:U164" si="194">T59 * (1 - T$118)</f>
        <v>-0.34981733297760276</v>
      </c>
      <c r="U164" s="281">
        <f t="shared" si="194"/>
        <v>-0.34981733297760276</v>
      </c>
      <c r="V164" s="281">
        <f t="shared" ref="V164:W164" si="195">V59 * (1 - V$118)</f>
        <v>-0.33013614001516051</v>
      </c>
      <c r="W164" s="281">
        <f t="shared" si="195"/>
        <v>-0.33013614001516051</v>
      </c>
      <c r="X164" s="281">
        <f t="shared" ref="X164:Y164" si="196">X59 * (1 - X$118)</f>
        <v>0</v>
      </c>
      <c r="Y164" s="281">
        <f t="shared" si="196"/>
        <v>0</v>
      </c>
      <c r="Z164" s="267"/>
      <c r="AA164" s="267"/>
    </row>
    <row r="165" spans="4:27" x14ac:dyDescent="0.25">
      <c r="F165" t="s">
        <v>196</v>
      </c>
      <c r="G165" t="s">
        <v>267</v>
      </c>
      <c r="H165" s="267"/>
      <c r="I165" s="267"/>
      <c r="J165" s="281">
        <f t="shared" ref="J165:K165" si="197">J60 * (1 - J$119)</f>
        <v>0.15458233412869674</v>
      </c>
      <c r="K165" s="281">
        <f t="shared" si="197"/>
        <v>0.15458233412869674</v>
      </c>
      <c r="L165" s="281">
        <f t="shared" ref="L165:M165" si="198">L60 * (1 - L$119)</f>
        <v>0.17636139813806903</v>
      </c>
      <c r="M165" s="281">
        <f t="shared" si="198"/>
        <v>0.17636139813806903</v>
      </c>
      <c r="N165" s="281">
        <f t="shared" ref="N165:P165" si="199">N60 * (1 - N$119)</f>
        <v>0</v>
      </c>
      <c r="O165" s="281">
        <f t="shared" si="199"/>
        <v>0</v>
      </c>
      <c r="P165" s="281">
        <f t="shared" si="199"/>
        <v>0</v>
      </c>
      <c r="Q165" s="281">
        <f t="shared" ref="Q165:S165" si="200">Q60 * (1 - Q$119)</f>
        <v>0.11600199365566373</v>
      </c>
      <c r="R165" s="281">
        <f t="shared" si="200"/>
        <v>-0.10639373300263957</v>
      </c>
      <c r="S165" s="281">
        <f t="shared" si="200"/>
        <v>0</v>
      </c>
      <c r="T165" s="281">
        <f t="shared" ref="T165:U165" si="201">T60 * (1 - T$119)</f>
        <v>-0.10639373300263957</v>
      </c>
      <c r="U165" s="281">
        <f t="shared" si="201"/>
        <v>-0.10639373300263957</v>
      </c>
      <c r="V165" s="281">
        <f t="shared" ref="V165:W165" si="202">V60 * (1 - V$119)</f>
        <v>0</v>
      </c>
      <c r="W165" s="281">
        <f t="shared" si="202"/>
        <v>0</v>
      </c>
      <c r="X165" s="281">
        <f t="shared" ref="X165:Y165" si="203">X60 * (1 - X$119)</f>
        <v>0</v>
      </c>
      <c r="Y165" s="281">
        <f t="shared" si="203"/>
        <v>0</v>
      </c>
      <c r="Z165" s="267"/>
      <c r="AA165" s="267"/>
    </row>
    <row r="166" spans="4:27" x14ac:dyDescent="0.25">
      <c r="F166" t="s">
        <v>197</v>
      </c>
      <c r="G166" t="s">
        <v>267</v>
      </c>
      <c r="H166" s="267"/>
      <c r="I166" s="267"/>
      <c r="J166" s="281">
        <f t="shared" ref="J166:K166" si="204">J61 * (1 - J$120)</f>
        <v>0</v>
      </c>
      <c r="K166" s="281">
        <f t="shared" si="204"/>
        <v>0</v>
      </c>
      <c r="L166" s="281">
        <f t="shared" ref="L166:M166" si="205">L61 * (1 - L$120)</f>
        <v>0</v>
      </c>
      <c r="M166" s="281">
        <f t="shared" si="205"/>
        <v>0</v>
      </c>
      <c r="N166" s="281">
        <f t="shared" ref="N166:P166" si="206">N61 * (1 - N$120)</f>
        <v>0</v>
      </c>
      <c r="O166" s="281">
        <f t="shared" si="206"/>
        <v>0</v>
      </c>
      <c r="P166" s="281">
        <f t="shared" si="206"/>
        <v>0</v>
      </c>
      <c r="Q166" s="281">
        <f t="shared" ref="Q166:S166" si="207">Q61 * (1 - Q$120)</f>
        <v>0.21682513619746541</v>
      </c>
      <c r="R166" s="281">
        <f t="shared" si="207"/>
        <v>0</v>
      </c>
      <c r="S166" s="281">
        <f t="shared" si="207"/>
        <v>0</v>
      </c>
      <c r="T166" s="281">
        <f t="shared" ref="T166:U166" si="208">T61 * (1 - T$120)</f>
        <v>0</v>
      </c>
      <c r="U166" s="281">
        <f t="shared" si="208"/>
        <v>0</v>
      </c>
      <c r="V166" s="281">
        <f t="shared" ref="V166:W166" si="209">V61 * (1 - V$120)</f>
        <v>0</v>
      </c>
      <c r="W166" s="281">
        <f t="shared" si="209"/>
        <v>0</v>
      </c>
      <c r="X166" s="281">
        <f t="shared" ref="X166:Y166" si="210">X61 * (1 - X$120)</f>
        <v>0</v>
      </c>
      <c r="Y166" s="281">
        <f t="shared" si="210"/>
        <v>0</v>
      </c>
      <c r="Z166" s="267"/>
      <c r="AA166" s="267"/>
    </row>
    <row r="167" spans="4:27" x14ac:dyDescent="0.25">
      <c r="D167"/>
      <c r="F167" s="95" t="s">
        <v>332</v>
      </c>
      <c r="G167" s="95" t="s">
        <v>267</v>
      </c>
      <c r="H167" s="265"/>
      <c r="I167" s="265"/>
      <c r="J167" s="279"/>
      <c r="K167" s="279"/>
      <c r="L167" s="279"/>
      <c r="M167" s="279"/>
      <c r="N167" s="279"/>
      <c r="O167" s="279"/>
      <c r="P167" s="279"/>
      <c r="Q167" s="279"/>
      <c r="R167" s="279"/>
      <c r="S167" s="279"/>
      <c r="T167" s="279"/>
      <c r="U167" s="279"/>
      <c r="V167" s="279"/>
      <c r="W167" s="279"/>
      <c r="X167" s="279"/>
      <c r="Y167" s="279"/>
      <c r="Z167" s="267"/>
      <c r="AA167" s="267"/>
    </row>
    <row r="168" spans="4:27" x14ac:dyDescent="0.25">
      <c r="D168"/>
      <c r="F168" s="96" t="s">
        <v>333</v>
      </c>
      <c r="G168" s="96" t="s">
        <v>267</v>
      </c>
      <c r="H168" s="269"/>
      <c r="I168" s="269"/>
      <c r="J168" s="275"/>
      <c r="K168" s="275"/>
      <c r="L168" s="275"/>
      <c r="M168" s="275"/>
      <c r="N168" s="275"/>
      <c r="O168" s="275"/>
      <c r="P168" s="275"/>
      <c r="Q168" s="275"/>
      <c r="R168" s="275"/>
      <c r="S168" s="275"/>
      <c r="T168" s="275"/>
      <c r="U168" s="275"/>
      <c r="V168" s="275"/>
      <c r="W168" s="275"/>
      <c r="X168" s="275"/>
      <c r="Y168" s="275"/>
      <c r="Z168" s="267"/>
      <c r="AA168" s="267"/>
    </row>
    <row r="169" spans="4:27" x14ac:dyDescent="0.25">
      <c r="D169"/>
      <c r="J169" s="106"/>
      <c r="K169" s="106"/>
      <c r="L169" s="106"/>
      <c r="M169" s="106"/>
      <c r="N169" s="106"/>
      <c r="O169" s="106"/>
      <c r="P169" s="106"/>
      <c r="Q169" s="106"/>
      <c r="R169" s="106"/>
      <c r="S169" s="106"/>
      <c r="T169" s="106"/>
      <c r="U169" s="106"/>
      <c r="V169" s="106"/>
      <c r="W169" s="106"/>
      <c r="X169" s="106"/>
      <c r="Y169" s="106"/>
    </row>
    <row r="170" spans="4:27" x14ac:dyDescent="0.25">
      <c r="E170" s="75" t="s">
        <v>577</v>
      </c>
      <c r="J170" s="106"/>
      <c r="K170" s="106"/>
      <c r="L170" s="106"/>
      <c r="M170" s="106"/>
      <c r="N170" s="106"/>
      <c r="O170" s="106"/>
      <c r="P170" s="106"/>
      <c r="Q170" s="106"/>
      <c r="R170" s="106"/>
      <c r="S170" s="106"/>
      <c r="T170" s="106"/>
      <c r="U170" s="106"/>
      <c r="V170" s="106"/>
      <c r="W170" s="106"/>
      <c r="X170" s="106"/>
      <c r="Y170" s="106"/>
    </row>
    <row r="171" spans="4:27" x14ac:dyDescent="0.25">
      <c r="F171" s="95" t="s">
        <v>187</v>
      </c>
      <c r="G171" s="95" t="s">
        <v>267</v>
      </c>
      <c r="H171" s="265"/>
      <c r="I171" s="265"/>
      <c r="J171" s="280">
        <f t="shared" ref="J171:K171" si="211">J66 * (1 - J$112)</f>
        <v>2.8078979541620367E-2</v>
      </c>
      <c r="K171" s="280">
        <f t="shared" si="211"/>
        <v>2.8078979541620367E-2</v>
      </c>
      <c r="L171" s="280">
        <f t="shared" ref="L171:M171" si="212">L66 * (1 - L$112)</f>
        <v>3.2035019513469126E-2</v>
      </c>
      <c r="M171" s="280">
        <f t="shared" si="212"/>
        <v>3.2035019513469126E-2</v>
      </c>
      <c r="N171" s="280">
        <f t="shared" ref="N171:P171" si="213">N66 * (1 - N$112)</f>
        <v>2.5891122367408776E-2</v>
      </c>
      <c r="O171" s="280">
        <f t="shared" si="213"/>
        <v>2.1423233873358857E-2</v>
      </c>
      <c r="P171" s="280">
        <f t="shared" si="213"/>
        <v>2.0042952656560035E-2</v>
      </c>
      <c r="Q171" s="280">
        <f t="shared" ref="Q171:S171" si="214">Q66 * (1 - Q$112)</f>
        <v>3.0502106696874844E-2</v>
      </c>
      <c r="R171" s="280">
        <f t="shared" si="214"/>
        <v>-1.9325801160762449E-2</v>
      </c>
      <c r="S171" s="280">
        <f t="shared" si="214"/>
        <v>-1.8238505632661474E-2</v>
      </c>
      <c r="T171" s="280">
        <f t="shared" ref="T171:U171" si="215">T66 * (1 - T$112)</f>
        <v>-1.9325801160762449E-2</v>
      </c>
      <c r="U171" s="280">
        <f t="shared" si="215"/>
        <v>-1.9325801160762449E-2</v>
      </c>
      <c r="V171" s="280">
        <f t="shared" ref="V171:W171" si="216">V66 * (1 - V$112)</f>
        <v>-1.8238505632661474E-2</v>
      </c>
      <c r="W171" s="280">
        <f t="shared" si="216"/>
        <v>-1.8238505632661474E-2</v>
      </c>
      <c r="X171" s="280">
        <f t="shared" ref="X171:Y171" si="217">X66 * (1 - X$112)</f>
        <v>-1.7957913238312841E-2</v>
      </c>
      <c r="Y171" s="280">
        <f t="shared" si="217"/>
        <v>-1.7957913238312841E-2</v>
      </c>
      <c r="Z171" s="267"/>
      <c r="AA171" s="267"/>
    </row>
    <row r="172" spans="4:27" x14ac:dyDescent="0.25">
      <c r="F172" t="s">
        <v>189</v>
      </c>
      <c r="G172" t="s">
        <v>267</v>
      </c>
      <c r="H172" s="267"/>
      <c r="I172" s="267"/>
      <c r="J172" s="281">
        <f t="shared" ref="J172:K172" si="218">J67 * (1 - J$112)</f>
        <v>0</v>
      </c>
      <c r="K172" s="281">
        <f t="shared" si="218"/>
        <v>0</v>
      </c>
      <c r="L172" s="281">
        <f t="shared" ref="L172:M172" si="219">L67 * (1 - L$112)</f>
        <v>0</v>
      </c>
      <c r="M172" s="281">
        <f t="shared" si="219"/>
        <v>0</v>
      </c>
      <c r="N172" s="281">
        <f t="shared" ref="N172:P172" si="220">N67 * (1 - N$112)</f>
        <v>0</v>
      </c>
      <c r="O172" s="281">
        <f t="shared" si="220"/>
        <v>0</v>
      </c>
      <c r="P172" s="281">
        <f t="shared" si="220"/>
        <v>0</v>
      </c>
      <c r="Q172" s="281">
        <f t="shared" ref="Q172:S172" si="221">Q67 * (1 - Q$112)</f>
        <v>0</v>
      </c>
      <c r="R172" s="281">
        <f t="shared" si="221"/>
        <v>0</v>
      </c>
      <c r="S172" s="281">
        <f t="shared" si="221"/>
        <v>0</v>
      </c>
      <c r="T172" s="281">
        <f t="shared" ref="T172:U172" si="222">T67 * (1 - T$112)</f>
        <v>0</v>
      </c>
      <c r="U172" s="281">
        <f t="shared" si="222"/>
        <v>0</v>
      </c>
      <c r="V172" s="281">
        <f t="shared" ref="V172:W172" si="223">V67 * (1 - V$112)</f>
        <v>0</v>
      </c>
      <c r="W172" s="281">
        <f t="shared" si="223"/>
        <v>0</v>
      </c>
      <c r="X172" s="281">
        <f t="shared" ref="X172:Y172" si="224">X67 * (1 - X$112)</f>
        <v>0</v>
      </c>
      <c r="Y172" s="281">
        <f t="shared" si="224"/>
        <v>0</v>
      </c>
      <c r="Z172" s="267"/>
      <c r="AA172" s="267"/>
    </row>
    <row r="173" spans="4:27" x14ac:dyDescent="0.25">
      <c r="F173" t="s">
        <v>190</v>
      </c>
      <c r="G173" t="s">
        <v>267</v>
      </c>
      <c r="H173" s="267"/>
      <c r="I173" s="267"/>
      <c r="J173" s="281">
        <f t="shared" ref="J173:K173" si="225">J68 * (1 - J$113)</f>
        <v>4.0257477068599751E-2</v>
      </c>
      <c r="K173" s="281">
        <f t="shared" si="225"/>
        <v>4.0257477068599751E-2</v>
      </c>
      <c r="L173" s="281">
        <f t="shared" ref="L173:M173" si="226">L68 * (1 - L$113)</f>
        <v>4.592934232328609E-2</v>
      </c>
      <c r="M173" s="281">
        <f t="shared" si="226"/>
        <v>4.592934232328609E-2</v>
      </c>
      <c r="N173" s="281">
        <f t="shared" ref="N173:P173" si="227">N68 * (1 - N$113)</f>
        <v>3.712069605098333E-2</v>
      </c>
      <c r="O173" s="281">
        <f t="shared" si="227"/>
        <v>3.0714981828795621E-2</v>
      </c>
      <c r="P173" s="281">
        <f t="shared" si="227"/>
        <v>2.8736040986193655E-2</v>
      </c>
      <c r="Q173" s="281">
        <f t="shared" ref="Q173:S173" si="228">Q68 * (1 - Q$113)</f>
        <v>2.779300444343254E-2</v>
      </c>
      <c r="R173" s="281">
        <f t="shared" si="228"/>
        <v>-2.7707844436030946E-2</v>
      </c>
      <c r="S173" s="281">
        <f t="shared" si="228"/>
        <v>-2.6148963896072762E-2</v>
      </c>
      <c r="T173" s="281">
        <f t="shared" ref="T173:U173" si="229">T68 * (1 - T$113)</f>
        <v>-2.7707844436030946E-2</v>
      </c>
      <c r="U173" s="281">
        <f t="shared" si="229"/>
        <v>-2.7707844436030946E-2</v>
      </c>
      <c r="V173" s="281">
        <f t="shared" ref="V173:W173" si="230">V68 * (1 - V$113)</f>
        <v>-2.6148963896072762E-2</v>
      </c>
      <c r="W173" s="281">
        <f t="shared" si="230"/>
        <v>-2.6148963896072762E-2</v>
      </c>
      <c r="X173" s="281">
        <f t="shared" ref="X173:Y173" si="231">X68 * (1 - X$113)</f>
        <v>-2.5746672143825491E-2</v>
      </c>
      <c r="Y173" s="281">
        <f t="shared" si="231"/>
        <v>-2.5746672143825491E-2</v>
      </c>
      <c r="Z173" s="267"/>
      <c r="AA173" s="267"/>
    </row>
    <row r="174" spans="4:27" x14ac:dyDescent="0.25">
      <c r="F174" t="s">
        <v>191</v>
      </c>
      <c r="G174" t="s">
        <v>267</v>
      </c>
      <c r="H174" s="267"/>
      <c r="I174" s="267"/>
      <c r="J174" s="281">
        <f t="shared" ref="J174:K174" si="232">J69 * (1 - J$114)</f>
        <v>2.4936090314246998E-2</v>
      </c>
      <c r="K174" s="281">
        <f t="shared" si="232"/>
        <v>2.4936090314246998E-2</v>
      </c>
      <c r="L174" s="281">
        <f t="shared" ref="L174:M174" si="233">L69 * (1 - L$114)</f>
        <v>2.8449329457377874E-2</v>
      </c>
      <c r="M174" s="281">
        <f t="shared" si="233"/>
        <v>2.8449329457377874E-2</v>
      </c>
      <c r="N174" s="281">
        <f t="shared" ref="N174:P174" si="234">N69 * (1 - N$114)</f>
        <v>2.2993120698490618E-2</v>
      </c>
      <c r="O174" s="281">
        <f t="shared" si="234"/>
        <v>1.9025324403170389E-2</v>
      </c>
      <c r="P174" s="281">
        <f t="shared" si="234"/>
        <v>1.7799538507705895E-2</v>
      </c>
      <c r="Q174" s="281">
        <f t="shared" ref="Q174:S174" si="235">Q69 * (1 - Q$114)</f>
        <v>1.7215407406796241E-2</v>
      </c>
      <c r="R174" s="281">
        <f t="shared" si="235"/>
        <v>-1.7162658009905088E-2</v>
      </c>
      <c r="S174" s="281">
        <f t="shared" si="235"/>
        <v>-1.6197063820600082E-2</v>
      </c>
      <c r="T174" s="281">
        <f t="shared" ref="T174:U174" si="236">T69 * (1 - T$114)</f>
        <v>-1.7162658009905088E-2</v>
      </c>
      <c r="U174" s="281">
        <f t="shared" si="236"/>
        <v>-1.7162658009905088E-2</v>
      </c>
      <c r="V174" s="281">
        <f t="shared" ref="V174:W174" si="237">V69 * (1 - V$114)</f>
        <v>-1.6197063820600082E-2</v>
      </c>
      <c r="W174" s="281">
        <f t="shared" si="237"/>
        <v>-1.6197063820600082E-2</v>
      </c>
      <c r="X174" s="281">
        <f t="shared" ref="X174:Y174" si="238">X69 * (1 - X$114)</f>
        <v>-1.5947878223360079E-2</v>
      </c>
      <c r="Y174" s="281">
        <f t="shared" si="238"/>
        <v>-1.5947878223360079E-2</v>
      </c>
      <c r="Z174" s="267"/>
      <c r="AA174" s="267"/>
    </row>
    <row r="175" spans="4:27" x14ac:dyDescent="0.25">
      <c r="F175" t="s">
        <v>192</v>
      </c>
      <c r="G175" t="s">
        <v>267</v>
      </c>
      <c r="H175" s="267"/>
      <c r="I175" s="267"/>
      <c r="J175" s="281">
        <f t="shared" ref="J175:K175" si="239">J70 * (1 - J$115)</f>
        <v>9.5009860145699912E-2</v>
      </c>
      <c r="K175" s="281">
        <f t="shared" si="239"/>
        <v>9.5009860145699912E-2</v>
      </c>
      <c r="L175" s="281">
        <f t="shared" ref="L175:M175" si="240">L70 * (1 - L$115)</f>
        <v>0.10839577411379915</v>
      </c>
      <c r="M175" s="281">
        <f t="shared" si="240"/>
        <v>0.10839577411379915</v>
      </c>
      <c r="N175" s="281">
        <f t="shared" ref="N175:P175" si="241">N70 * (1 - N$115)</f>
        <v>8.7606884413177474E-2</v>
      </c>
      <c r="O175" s="281">
        <f t="shared" si="241"/>
        <v>7.2489046518212155E-2</v>
      </c>
      <c r="P175" s="281">
        <f t="shared" si="241"/>
        <v>5.4254909826306666E-2</v>
      </c>
      <c r="Q175" s="281">
        <f t="shared" ref="Q175:S175" si="242">Q70 * (1 - Q$115)</f>
        <v>7.1297494994940522E-2</v>
      </c>
      <c r="R175" s="281">
        <f t="shared" si="242"/>
        <v>-6.5392036871069509E-2</v>
      </c>
      <c r="S175" s="281">
        <f t="shared" si="242"/>
        <v>-6.1712993054366873E-2</v>
      </c>
      <c r="T175" s="281">
        <f t="shared" ref="T175:U175" si="243">T70 * (1 - T$115)</f>
        <v>-6.5392036871069509E-2</v>
      </c>
      <c r="U175" s="281">
        <f t="shared" si="243"/>
        <v>-6.5392036871069509E-2</v>
      </c>
      <c r="V175" s="281">
        <f t="shared" ref="V175:W175" si="244">V70 * (1 - V$115)</f>
        <v>-6.1712993054366873E-2</v>
      </c>
      <c r="W175" s="281">
        <f t="shared" si="244"/>
        <v>-6.1712993054366873E-2</v>
      </c>
      <c r="X175" s="281">
        <f t="shared" ref="X175:Y175" si="245">X70 * (1 - X$115)</f>
        <v>-6.0763562391991988E-2</v>
      </c>
      <c r="Y175" s="281">
        <f t="shared" si="245"/>
        <v>-6.0763562391991988E-2</v>
      </c>
      <c r="Z175" s="267"/>
      <c r="AA175" s="267"/>
    </row>
    <row r="176" spans="4:27" x14ac:dyDescent="0.25">
      <c r="F176" t="s">
        <v>193</v>
      </c>
      <c r="G176" t="s">
        <v>267</v>
      </c>
      <c r="H176" s="267"/>
      <c r="I176" s="267"/>
      <c r="J176" s="281">
        <f t="shared" ref="J176:K176" si="246">J71 * (1 - J$116)</f>
        <v>3.6153600063511565E-2</v>
      </c>
      <c r="K176" s="281">
        <f t="shared" si="246"/>
        <v>3.6153600063511565E-2</v>
      </c>
      <c r="L176" s="281">
        <f t="shared" ref="L176:M176" si="247">L71 * (1 - L$116)</f>
        <v>4.1247271176647463E-2</v>
      </c>
      <c r="M176" s="281">
        <f t="shared" si="247"/>
        <v>4.1247271176647463E-2</v>
      </c>
      <c r="N176" s="281">
        <f t="shared" ref="N176:P176" si="248">N71 * (1 - N$116)</f>
        <v>3.3336584824218946E-2</v>
      </c>
      <c r="O176" s="281">
        <f t="shared" si="248"/>
        <v>2.7583873850416784E-2</v>
      </c>
      <c r="P176" s="281">
        <f t="shared" si="248"/>
        <v>0</v>
      </c>
      <c r="Q176" s="281">
        <f t="shared" ref="Q176:S176" si="249">Q71 * (1 - Q$116)</f>
        <v>2.7130459045244273E-2</v>
      </c>
      <c r="R176" s="281">
        <f t="shared" si="249"/>
        <v>-2.4883286268915211E-2</v>
      </c>
      <c r="S176" s="281">
        <f t="shared" si="249"/>
        <v>-2.3483319164856461E-2</v>
      </c>
      <c r="T176" s="281">
        <f t="shared" ref="T176:U176" si="250">T71 * (1 - T$116)</f>
        <v>-2.4883286268915211E-2</v>
      </c>
      <c r="U176" s="281">
        <f t="shared" si="250"/>
        <v>-2.4883286268915211E-2</v>
      </c>
      <c r="V176" s="281">
        <f t="shared" ref="V176:W176" si="251">V71 * (1 - V$116)</f>
        <v>-2.3483319164856461E-2</v>
      </c>
      <c r="W176" s="281">
        <f t="shared" si="251"/>
        <v>-2.3483319164856461E-2</v>
      </c>
      <c r="X176" s="281">
        <f t="shared" ref="X176:Y176" si="252">X71 * (1 - X$116)</f>
        <v>-2.3122037331550976E-2</v>
      </c>
      <c r="Y176" s="281">
        <f t="shared" si="252"/>
        <v>-2.3122037331550976E-2</v>
      </c>
      <c r="Z176" s="267"/>
      <c r="AA176" s="267"/>
    </row>
    <row r="177" spans="3:27" x14ac:dyDescent="0.25">
      <c r="F177" t="s">
        <v>194</v>
      </c>
      <c r="G177" t="s">
        <v>267</v>
      </c>
      <c r="H177" s="267"/>
      <c r="I177" s="267"/>
      <c r="J177" s="281">
        <f t="shared" ref="J177:K177" si="253">J72 * (1 - J$117)</f>
        <v>0</v>
      </c>
      <c r="K177" s="281">
        <f t="shared" si="253"/>
        <v>0</v>
      </c>
      <c r="L177" s="281">
        <f t="shared" ref="L177:M177" si="254">L72 * (1 - L$117)</f>
        <v>0</v>
      </c>
      <c r="M177" s="281">
        <f t="shared" si="254"/>
        <v>0</v>
      </c>
      <c r="N177" s="281">
        <f t="shared" ref="N177:P177" si="255">N72 * (1 - N$117)</f>
        <v>0</v>
      </c>
      <c r="O177" s="281">
        <f t="shared" si="255"/>
        <v>0</v>
      </c>
      <c r="P177" s="281">
        <f t="shared" si="255"/>
        <v>0</v>
      </c>
      <c r="Q177" s="281">
        <f t="shared" ref="Q177:S177" si="256">Q72 * (1 - Q$117)</f>
        <v>0</v>
      </c>
      <c r="R177" s="281">
        <f t="shared" si="256"/>
        <v>0</v>
      </c>
      <c r="S177" s="281">
        <f t="shared" si="256"/>
        <v>0</v>
      </c>
      <c r="T177" s="281">
        <f t="shared" ref="T177:U177" si="257">T72 * (1 - T$117)</f>
        <v>0</v>
      </c>
      <c r="U177" s="281">
        <f t="shared" si="257"/>
        <v>0</v>
      </c>
      <c r="V177" s="281">
        <f t="shared" ref="V177:W177" si="258">V72 * (1 - V$117)</f>
        <v>0</v>
      </c>
      <c r="W177" s="281">
        <f t="shared" si="258"/>
        <v>0</v>
      </c>
      <c r="X177" s="281">
        <f t="shared" ref="X177:Y177" si="259">X72 * (1 - X$117)</f>
        <v>0</v>
      </c>
      <c r="Y177" s="281">
        <f t="shared" si="259"/>
        <v>0</v>
      </c>
      <c r="Z177" s="267"/>
      <c r="AA177" s="267"/>
    </row>
    <row r="178" spans="3:27" x14ac:dyDescent="0.25">
      <c r="F178" t="s">
        <v>195</v>
      </c>
      <c r="G178" t="s">
        <v>267</v>
      </c>
      <c r="H178" s="267"/>
      <c r="I178" s="267"/>
      <c r="J178" s="281">
        <f t="shared" ref="J178:K178" si="260">J73 * (1 - J$118)</f>
        <v>0.16732577047906674</v>
      </c>
      <c r="K178" s="281">
        <f t="shared" si="260"/>
        <v>0.16732577047906674</v>
      </c>
      <c r="L178" s="281">
        <f t="shared" ref="L178:M178" si="261">L73 * (1 - L$118)</f>
        <v>0.19090025385209672</v>
      </c>
      <c r="M178" s="281">
        <f t="shared" si="261"/>
        <v>0.19090025385209672</v>
      </c>
      <c r="N178" s="281">
        <f t="shared" ref="N178:P178" si="262">N73 * (1 - N$118)</f>
        <v>0.12343046846906798</v>
      </c>
      <c r="O178" s="281">
        <f t="shared" si="262"/>
        <v>0</v>
      </c>
      <c r="P178" s="281">
        <f t="shared" si="262"/>
        <v>0</v>
      </c>
      <c r="Q178" s="281">
        <f t="shared" ref="Q178:S178" si="263">Q73 * (1 - Q$118)</f>
        <v>0.12556494941641874</v>
      </c>
      <c r="R178" s="281">
        <f t="shared" si="263"/>
        <v>-0.11516460434598864</v>
      </c>
      <c r="S178" s="281">
        <f t="shared" si="263"/>
        <v>-0.1086852890379566</v>
      </c>
      <c r="T178" s="281">
        <f t="shared" ref="T178:U178" si="264">T73 * (1 - T$118)</f>
        <v>-0.11516460434598864</v>
      </c>
      <c r="U178" s="281">
        <f t="shared" si="264"/>
        <v>-0.11516460434598864</v>
      </c>
      <c r="V178" s="281">
        <f t="shared" ref="V178:W178" si="265">V73 * (1 - V$118)</f>
        <v>-0.1086852890379566</v>
      </c>
      <c r="W178" s="281">
        <f t="shared" si="265"/>
        <v>-0.1086852890379566</v>
      </c>
      <c r="X178" s="281">
        <f t="shared" ref="X178:Y178" si="266">X73 * (1 - X$118)</f>
        <v>0</v>
      </c>
      <c r="Y178" s="281">
        <f t="shared" si="266"/>
        <v>0</v>
      </c>
      <c r="Z178" s="267"/>
      <c r="AA178" s="267"/>
    </row>
    <row r="179" spans="3:27" x14ac:dyDescent="0.25">
      <c r="F179" t="s">
        <v>196</v>
      </c>
      <c r="G179" t="s">
        <v>267</v>
      </c>
      <c r="H179" s="267"/>
      <c r="I179" s="267"/>
      <c r="J179" s="281">
        <f t="shared" ref="J179:K179" si="267">J74 * (1 - J$119)</f>
        <v>5.0890598236739124E-2</v>
      </c>
      <c r="K179" s="281">
        <f t="shared" si="267"/>
        <v>5.0890598236739124E-2</v>
      </c>
      <c r="L179" s="281">
        <f t="shared" ref="L179:M179" si="268">L74 * (1 - L$119)</f>
        <v>5.8060561109407605E-2</v>
      </c>
      <c r="M179" s="281">
        <f t="shared" si="268"/>
        <v>5.8060561109407605E-2</v>
      </c>
      <c r="N179" s="281">
        <f t="shared" ref="N179:P179" si="269">N74 * (1 - N$119)</f>
        <v>0</v>
      </c>
      <c r="O179" s="281">
        <f t="shared" si="269"/>
        <v>0</v>
      </c>
      <c r="P179" s="281">
        <f t="shared" si="269"/>
        <v>0</v>
      </c>
      <c r="Q179" s="281">
        <f t="shared" ref="Q179:S179" si="270">Q74 * (1 - Q$119)</f>
        <v>3.8189427576350923E-2</v>
      </c>
      <c r="R179" s="281">
        <f t="shared" si="270"/>
        <v>-3.5026258024001999E-2</v>
      </c>
      <c r="S179" s="281">
        <f t="shared" si="270"/>
        <v>0</v>
      </c>
      <c r="T179" s="281">
        <f t="shared" ref="T179:U179" si="271">T74 * (1 - T$119)</f>
        <v>-3.5026258024001999E-2</v>
      </c>
      <c r="U179" s="281">
        <f t="shared" si="271"/>
        <v>-3.5026258024001999E-2</v>
      </c>
      <c r="V179" s="281">
        <f t="shared" ref="V179:W179" si="272">V74 * (1 - V$119)</f>
        <v>0</v>
      </c>
      <c r="W179" s="281">
        <f t="shared" si="272"/>
        <v>0</v>
      </c>
      <c r="X179" s="281">
        <f t="shared" ref="X179:Y179" si="273">X74 * (1 - X$119)</f>
        <v>0</v>
      </c>
      <c r="Y179" s="281">
        <f t="shared" si="273"/>
        <v>0</v>
      </c>
      <c r="Z179" s="267"/>
      <c r="AA179" s="267"/>
    </row>
    <row r="180" spans="3:27" x14ac:dyDescent="0.25">
      <c r="F180" t="s">
        <v>197</v>
      </c>
      <c r="G180" t="s">
        <v>267</v>
      </c>
      <c r="H180" s="267"/>
      <c r="I180" s="267"/>
      <c r="J180" s="281">
        <f t="shared" ref="J180:K180" si="274">J75 * (1 - J$120)</f>
        <v>0</v>
      </c>
      <c r="K180" s="281">
        <f t="shared" si="274"/>
        <v>0</v>
      </c>
      <c r="L180" s="281">
        <f t="shared" ref="L180:M180" si="275">L75 * (1 - L$120)</f>
        <v>0</v>
      </c>
      <c r="M180" s="281">
        <f t="shared" si="275"/>
        <v>0</v>
      </c>
      <c r="N180" s="281">
        <f t="shared" ref="N180:P180" si="276">N75 * (1 - N$120)</f>
        <v>0</v>
      </c>
      <c r="O180" s="281">
        <f t="shared" si="276"/>
        <v>0</v>
      </c>
      <c r="P180" s="281">
        <f t="shared" si="276"/>
        <v>0</v>
      </c>
      <c r="Q180" s="281">
        <f t="shared" ref="Q180:S180" si="277">Q75 * (1 - Q$120)</f>
        <v>7.1381771766137594E-2</v>
      </c>
      <c r="R180" s="281">
        <f t="shared" si="277"/>
        <v>0</v>
      </c>
      <c r="S180" s="281">
        <f t="shared" si="277"/>
        <v>0</v>
      </c>
      <c r="T180" s="281">
        <f t="shared" ref="T180:U180" si="278">T75 * (1 - T$120)</f>
        <v>0</v>
      </c>
      <c r="U180" s="281">
        <f t="shared" si="278"/>
        <v>0</v>
      </c>
      <c r="V180" s="281">
        <f t="shared" ref="V180:W180" si="279">V75 * (1 - V$120)</f>
        <v>0</v>
      </c>
      <c r="W180" s="281">
        <f t="shared" si="279"/>
        <v>0</v>
      </c>
      <c r="X180" s="281">
        <f t="shared" ref="X180:Y180" si="280">X75 * (1 - X$120)</f>
        <v>0</v>
      </c>
      <c r="Y180" s="281">
        <f t="shared" si="280"/>
        <v>0</v>
      </c>
      <c r="Z180" s="267"/>
      <c r="AA180" s="267"/>
    </row>
    <row r="181" spans="3:27" x14ac:dyDescent="0.25">
      <c r="F181" s="95" t="s">
        <v>332</v>
      </c>
      <c r="G181" s="95" t="s">
        <v>267</v>
      </c>
      <c r="H181" s="265"/>
      <c r="I181" s="265" t="s">
        <v>152</v>
      </c>
      <c r="J181" s="279"/>
      <c r="K181" s="279"/>
      <c r="L181" s="279"/>
      <c r="M181" s="279"/>
      <c r="N181" s="279"/>
      <c r="O181" s="279"/>
      <c r="P181" s="279"/>
      <c r="Q181" s="282">
        <f>Q76</f>
        <v>0</v>
      </c>
      <c r="R181" s="279"/>
      <c r="S181" s="279"/>
      <c r="T181" s="279"/>
      <c r="U181" s="279"/>
      <c r="V181" s="279"/>
      <c r="W181" s="279"/>
      <c r="X181" s="279"/>
      <c r="Y181" s="279"/>
      <c r="Z181" s="267"/>
      <c r="AA181" s="267" t="s">
        <v>609</v>
      </c>
    </row>
    <row r="182" spans="3:27" x14ac:dyDescent="0.25">
      <c r="F182" s="96" t="s">
        <v>333</v>
      </c>
      <c r="G182" s="96" t="s">
        <v>267</v>
      </c>
      <c r="H182" s="269"/>
      <c r="I182" s="269"/>
      <c r="J182" s="275"/>
      <c r="K182" s="275"/>
      <c r="L182" s="275"/>
      <c r="M182" s="275"/>
      <c r="N182" s="275"/>
      <c r="O182" s="275"/>
      <c r="P182" s="275"/>
      <c r="Q182" s="275"/>
      <c r="R182" s="275"/>
      <c r="S182" s="275"/>
      <c r="T182" s="275"/>
      <c r="U182" s="275"/>
      <c r="V182" s="275"/>
      <c r="W182" s="275"/>
      <c r="X182" s="275"/>
      <c r="Y182" s="275"/>
      <c r="Z182" s="267"/>
      <c r="AA182" s="267"/>
    </row>
    <row r="183" spans="3:27" x14ac:dyDescent="0.25">
      <c r="E183"/>
      <c r="J183" s="106"/>
      <c r="K183" s="106"/>
      <c r="L183" s="106"/>
      <c r="M183" s="106"/>
      <c r="N183" s="106"/>
      <c r="O183" s="106"/>
      <c r="P183" s="106"/>
      <c r="Q183" s="106"/>
      <c r="R183" s="106"/>
      <c r="S183" s="106"/>
      <c r="T183" s="106"/>
      <c r="U183" s="106"/>
      <c r="V183" s="106"/>
      <c r="W183" s="106"/>
      <c r="X183" s="106"/>
      <c r="Y183" s="106"/>
    </row>
    <row r="184" spans="3:27" x14ac:dyDescent="0.2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25">
      <c r="C185" s="75"/>
      <c r="D185" s="75"/>
      <c r="E185"/>
      <c r="I185" t="s">
        <v>152</v>
      </c>
      <c r="J185" s="106"/>
      <c r="K185" s="106"/>
      <c r="L185" s="106"/>
      <c r="M185" s="106"/>
      <c r="N185" s="106"/>
      <c r="O185" s="106"/>
      <c r="P185" s="106"/>
      <c r="Q185" s="106"/>
      <c r="R185" s="106"/>
      <c r="S185" s="106"/>
      <c r="T185" s="106"/>
      <c r="U185" s="106"/>
      <c r="V185" s="106"/>
      <c r="W185" s="106"/>
      <c r="X185" s="106"/>
      <c r="Y185" s="106"/>
      <c r="AA185" t="s">
        <v>611</v>
      </c>
    </row>
    <row r="186" spans="3:27" x14ac:dyDescent="0.25">
      <c r="E186" s="75" t="s">
        <v>576</v>
      </c>
      <c r="J186" s="106"/>
      <c r="K186" s="106"/>
      <c r="L186" s="106"/>
      <c r="M186" s="106"/>
      <c r="N186" s="106"/>
      <c r="O186" s="106"/>
      <c r="P186" s="106"/>
      <c r="Q186" s="106"/>
      <c r="R186" s="106"/>
      <c r="S186" s="106"/>
      <c r="T186" s="106"/>
      <c r="U186" s="106"/>
      <c r="V186" s="106"/>
      <c r="W186" s="106"/>
      <c r="X186" s="106"/>
      <c r="Y186" s="106"/>
    </row>
    <row r="187" spans="3:27" x14ac:dyDescent="0.25">
      <c r="F187" s="95" t="s">
        <v>187</v>
      </c>
      <c r="G187" s="95" t="s">
        <v>267</v>
      </c>
      <c r="H187" s="265"/>
      <c r="I187" s="265"/>
      <c r="J187" s="280">
        <f t="shared" ref="J187:K187" si="281">J82 * (1 - J$112)</f>
        <v>0</v>
      </c>
      <c r="K187" s="280">
        <f t="shared" si="281"/>
        <v>0</v>
      </c>
      <c r="L187" s="280">
        <f t="shared" ref="L187:M187" si="282">L82 * (1 - L$112)</f>
        <v>0</v>
      </c>
      <c r="M187" s="280">
        <f t="shared" si="282"/>
        <v>0</v>
      </c>
      <c r="N187" s="280">
        <f t="shared" ref="N187:P187" si="283">N82 * (1 - N$112)</f>
        <v>0</v>
      </c>
      <c r="O187" s="280">
        <f t="shared" si="283"/>
        <v>0</v>
      </c>
      <c r="P187" s="280">
        <f t="shared" si="283"/>
        <v>0</v>
      </c>
      <c r="Q187" s="280">
        <f t="shared" ref="Q187:S187" si="284">Q82 * (1 - Q$112)</f>
        <v>0</v>
      </c>
      <c r="R187" s="280">
        <f t="shared" si="284"/>
        <v>0</v>
      </c>
      <c r="S187" s="280">
        <f t="shared" si="284"/>
        <v>0</v>
      </c>
      <c r="T187" s="280">
        <f t="shared" ref="T187:U187" si="285">T82 * (1 - T$112)</f>
        <v>0</v>
      </c>
      <c r="U187" s="280">
        <f t="shared" si="285"/>
        <v>0</v>
      </c>
      <c r="V187" s="280">
        <f t="shared" ref="V187:W187" si="286">V82 * (1 - V$112)</f>
        <v>0</v>
      </c>
      <c r="W187" s="280">
        <f t="shared" si="286"/>
        <v>0</v>
      </c>
      <c r="X187" s="280">
        <f t="shared" ref="X187:Y187" si="287">X82 * (1 - X$112)</f>
        <v>0</v>
      </c>
      <c r="Y187" s="280">
        <f t="shared" si="287"/>
        <v>0</v>
      </c>
      <c r="Z187" s="267"/>
      <c r="AA187" s="267"/>
    </row>
    <row r="188" spans="3:27" x14ac:dyDescent="0.25">
      <c r="F188" t="s">
        <v>189</v>
      </c>
      <c r="G188" t="s">
        <v>267</v>
      </c>
      <c r="H188" s="267"/>
      <c r="I188" s="267"/>
      <c r="J188" s="281">
        <f t="shared" ref="J188:K188" si="288">J83 * (1 - J$112)</f>
        <v>0</v>
      </c>
      <c r="K188" s="281">
        <f t="shared" si="288"/>
        <v>0</v>
      </c>
      <c r="L188" s="281">
        <f t="shared" ref="L188:M188" si="289">L83 * (1 - L$112)</f>
        <v>0</v>
      </c>
      <c r="M188" s="281">
        <f t="shared" si="289"/>
        <v>0</v>
      </c>
      <c r="N188" s="281">
        <f t="shared" ref="N188:P188" si="290">N83 * (1 - N$112)</f>
        <v>0</v>
      </c>
      <c r="O188" s="281">
        <f t="shared" si="290"/>
        <v>0</v>
      </c>
      <c r="P188" s="281">
        <f t="shared" si="290"/>
        <v>0</v>
      </c>
      <c r="Q188" s="281">
        <f t="shared" ref="Q188:S188" si="291">Q83 * (1 - Q$112)</f>
        <v>0</v>
      </c>
      <c r="R188" s="281">
        <f t="shared" si="291"/>
        <v>0</v>
      </c>
      <c r="S188" s="281">
        <f t="shared" si="291"/>
        <v>0</v>
      </c>
      <c r="T188" s="281">
        <f t="shared" ref="T188:U188" si="292">T83 * (1 - T$112)</f>
        <v>0</v>
      </c>
      <c r="U188" s="281">
        <f t="shared" si="292"/>
        <v>0</v>
      </c>
      <c r="V188" s="281">
        <f t="shared" ref="V188:W188" si="293">V83 * (1 - V$112)</f>
        <v>0</v>
      </c>
      <c r="W188" s="281">
        <f t="shared" si="293"/>
        <v>0</v>
      </c>
      <c r="X188" s="281">
        <f t="shared" ref="X188:Y188" si="294">X83 * (1 - X$112)</f>
        <v>0</v>
      </c>
      <c r="Y188" s="281">
        <f t="shared" si="294"/>
        <v>0</v>
      </c>
      <c r="Z188" s="267"/>
      <c r="AA188" s="267"/>
    </row>
    <row r="189" spans="3:27" x14ac:dyDescent="0.25">
      <c r="F189" t="s">
        <v>190</v>
      </c>
      <c r="G189" t="s">
        <v>267</v>
      </c>
      <c r="H189" s="267"/>
      <c r="I189" s="267"/>
      <c r="J189" s="281">
        <f t="shared" ref="J189:K189" si="295">J84 * (1 - J$113)</f>
        <v>2.0791334841064327E-2</v>
      </c>
      <c r="K189" s="281">
        <f t="shared" si="295"/>
        <v>2.0791334841064327E-2</v>
      </c>
      <c r="L189" s="281">
        <f t="shared" ref="L189:M189" si="296">L84 * (1 - L$113)</f>
        <v>2.3720620486129322E-2</v>
      </c>
      <c r="M189" s="281">
        <f t="shared" si="296"/>
        <v>2.3720620486129322E-2</v>
      </c>
      <c r="N189" s="281">
        <f t="shared" ref="N189:P189" si="297">N84 * (1 - N$113)</f>
        <v>1.9171316171011442E-2</v>
      </c>
      <c r="O189" s="281">
        <f t="shared" si="297"/>
        <v>1.5863027649534431E-2</v>
      </c>
      <c r="P189" s="281">
        <f t="shared" si="297"/>
        <v>1.4840985915049088E-2</v>
      </c>
      <c r="Q189" s="281">
        <f t="shared" ref="Q189:S189" si="298">Q84 * (1 - Q$113)</f>
        <v>1.7423784299998385E-2</v>
      </c>
      <c r="R189" s="281">
        <f t="shared" si="298"/>
        <v>-1.4309964591471559E-2</v>
      </c>
      <c r="S189" s="281">
        <f t="shared" si="298"/>
        <v>-1.3504866765091127E-2</v>
      </c>
      <c r="T189" s="281">
        <f t="shared" ref="T189:U189" si="299">T84 * (1 - T$113)</f>
        <v>-1.4309964591471559E-2</v>
      </c>
      <c r="U189" s="281">
        <f t="shared" si="299"/>
        <v>-1.4309964591471559E-2</v>
      </c>
      <c r="V189" s="281">
        <f t="shared" ref="V189:W189" si="300">V84 * (1 - V$113)</f>
        <v>-1.3504866765091127E-2</v>
      </c>
      <c r="W189" s="281">
        <f t="shared" si="300"/>
        <v>-1.3504866765091127E-2</v>
      </c>
      <c r="X189" s="281">
        <f t="shared" ref="X189:Y189" si="301">X84 * (1 - X$113)</f>
        <v>-1.3297099584089722E-2</v>
      </c>
      <c r="Y189" s="281">
        <f t="shared" si="301"/>
        <v>-1.3297099584089722E-2</v>
      </c>
      <c r="Z189" s="267"/>
      <c r="AA189" s="267"/>
    </row>
    <row r="190" spans="3:27" x14ac:dyDescent="0.25">
      <c r="F190" t="s">
        <v>191</v>
      </c>
      <c r="G190" t="s">
        <v>267</v>
      </c>
      <c r="H190" s="267"/>
      <c r="I190" s="267"/>
      <c r="J190" s="281">
        <f t="shared" ref="J190:K190" si="302">J85 * (1 - J$114)</f>
        <v>1.287846733333713E-2</v>
      </c>
      <c r="K190" s="281">
        <f t="shared" si="302"/>
        <v>1.287846733333713E-2</v>
      </c>
      <c r="L190" s="281">
        <f t="shared" ref="L190:M190" si="303">L85 * (1 - L$114)</f>
        <v>1.4692911176330509E-2</v>
      </c>
      <c r="M190" s="281">
        <f t="shared" si="303"/>
        <v>1.4692911176330509E-2</v>
      </c>
      <c r="N190" s="281">
        <f t="shared" ref="N190:P190" si="304">N85 * (1 - N$114)</f>
        <v>1.1875003261349517E-2</v>
      </c>
      <c r="O190" s="281">
        <f t="shared" si="304"/>
        <v>9.825799303124251E-3</v>
      </c>
      <c r="P190" s="281">
        <f t="shared" si="304"/>
        <v>9.192731191264486E-3</v>
      </c>
      <c r="Q190" s="281">
        <f t="shared" ref="Q190:S190" si="305">Q85 * (1 - Q$114)</f>
        <v>1.0792555583658462E-2</v>
      </c>
      <c r="R190" s="281">
        <f t="shared" si="305"/>
        <v>-8.8638085501124789E-3</v>
      </c>
      <c r="S190" s="281">
        <f t="shared" si="305"/>
        <v>-8.3651187768756588E-3</v>
      </c>
      <c r="T190" s="281">
        <f t="shared" ref="T190:U190" si="306">T85 * (1 - T$114)</f>
        <v>-8.8638085501124789E-3</v>
      </c>
      <c r="U190" s="281">
        <f t="shared" si="306"/>
        <v>-8.8638085501124789E-3</v>
      </c>
      <c r="V190" s="281">
        <f t="shared" ref="V190:W190" si="307">V85 * (1 - V$114)</f>
        <v>-8.3651187768756588E-3</v>
      </c>
      <c r="W190" s="281">
        <f t="shared" si="307"/>
        <v>-8.3651187768756588E-3</v>
      </c>
      <c r="X190" s="281">
        <f t="shared" ref="X190:Y190" si="308">X85 * (1 - X$114)</f>
        <v>-8.236424641846804E-3</v>
      </c>
      <c r="Y190" s="281">
        <f t="shared" si="308"/>
        <v>-8.236424641846804E-3</v>
      </c>
      <c r="Z190" s="267"/>
      <c r="AA190" s="267"/>
    </row>
    <row r="191" spans="3:27" x14ac:dyDescent="0.25">
      <c r="F191" t="s">
        <v>192</v>
      </c>
      <c r="G191" t="s">
        <v>267</v>
      </c>
      <c r="H191" s="267"/>
      <c r="I191" s="267"/>
      <c r="J191" s="281">
        <f t="shared" ref="J191:K191" si="309">J86 * (1 - J$115)</f>
        <v>3.8628624961362025E-2</v>
      </c>
      <c r="K191" s="281">
        <f t="shared" si="309"/>
        <v>3.8628624961362025E-2</v>
      </c>
      <c r="L191" s="281">
        <f t="shared" ref="L191:M191" si="310">L86 * (1 - L$115)</f>
        <v>4.4071001675166345E-2</v>
      </c>
      <c r="M191" s="281">
        <f t="shared" si="310"/>
        <v>4.4071001675166345E-2</v>
      </c>
      <c r="N191" s="281">
        <f t="shared" ref="N191:P191" si="311">N86 * (1 - N$115)</f>
        <v>3.5618760798514754E-2</v>
      </c>
      <c r="O191" s="281">
        <f t="shared" si="311"/>
        <v>2.947222727688097E-2</v>
      </c>
      <c r="P191" s="281">
        <f t="shared" si="311"/>
        <v>2.2058684864696851E-2</v>
      </c>
      <c r="Q191" s="281">
        <f t="shared" ref="Q191:S191" si="312">Q86 * (1 - Q$115)</f>
        <v>3.2371987382117072E-2</v>
      </c>
      <c r="R191" s="281">
        <f t="shared" si="312"/>
        <v>-2.6586761246447606E-2</v>
      </c>
      <c r="S191" s="281">
        <f t="shared" si="312"/>
        <v>-2.5090954352364345E-2</v>
      </c>
      <c r="T191" s="281">
        <f t="shared" ref="T191:U191" si="313">T86 * (1 - T$115)</f>
        <v>-2.6586761246447606E-2</v>
      </c>
      <c r="U191" s="281">
        <f t="shared" si="313"/>
        <v>-2.6586761246447606E-2</v>
      </c>
      <c r="V191" s="281">
        <f t="shared" ref="V191:W191" si="314">V86 * (1 - V$115)</f>
        <v>-2.5090954352364345E-2</v>
      </c>
      <c r="W191" s="281">
        <f t="shared" si="314"/>
        <v>-2.5090954352364345E-2</v>
      </c>
      <c r="X191" s="281">
        <f t="shared" ref="X191:Y191" si="315">X86 * (1 - X$115)</f>
        <v>-2.4704939670020281E-2</v>
      </c>
      <c r="Y191" s="281">
        <f t="shared" si="315"/>
        <v>-2.4704939670020281E-2</v>
      </c>
      <c r="Z191" s="267"/>
      <c r="AA191" s="267"/>
    </row>
    <row r="192" spans="3:27" x14ac:dyDescent="0.25">
      <c r="F192" t="s">
        <v>193</v>
      </c>
      <c r="G192" t="s">
        <v>267</v>
      </c>
      <c r="H192" s="267"/>
      <c r="I192" s="267"/>
      <c r="J192" s="281">
        <f t="shared" ref="J192:K192" si="316">J87 * (1 - J$116)</f>
        <v>1.4699146548735028E-2</v>
      </c>
      <c r="K192" s="281">
        <f t="shared" si="316"/>
        <v>1.4699146548735028E-2</v>
      </c>
      <c r="L192" s="281">
        <f t="shared" ref="L192:M192" si="317">L87 * (1 - L$116)</f>
        <v>1.6770105402943544E-2</v>
      </c>
      <c r="M192" s="281">
        <f t="shared" si="317"/>
        <v>1.6770105402943544E-2</v>
      </c>
      <c r="N192" s="281">
        <f t="shared" ref="N192:P192" si="318">N87 * (1 - N$116)</f>
        <v>1.3553818842513778E-2</v>
      </c>
      <c r="O192" s="281">
        <f t="shared" si="318"/>
        <v>1.1214910918879993E-2</v>
      </c>
      <c r="P192" s="281">
        <f t="shared" si="318"/>
        <v>0</v>
      </c>
      <c r="Q192" s="281">
        <f t="shared" ref="Q192:S192" si="319">Q87 * (1 - Q$116)</f>
        <v>1.2318341309831653E-2</v>
      </c>
      <c r="R192" s="281">
        <f t="shared" si="319"/>
        <v>-1.0116919776685289E-2</v>
      </c>
      <c r="S192" s="281">
        <f t="shared" si="319"/>
        <v>-9.5477282828971884E-3</v>
      </c>
      <c r="T192" s="281">
        <f t="shared" ref="T192:U192" si="320">T87 * (1 - T$116)</f>
        <v>-1.0116919776685289E-2</v>
      </c>
      <c r="U192" s="281">
        <f t="shared" si="320"/>
        <v>-1.0116919776685289E-2</v>
      </c>
      <c r="V192" s="281">
        <f t="shared" ref="V192:W192" si="321">V87 * (1 - V$116)</f>
        <v>-9.5477282828971884E-3</v>
      </c>
      <c r="W192" s="281">
        <f t="shared" si="321"/>
        <v>-9.5477282828971884E-3</v>
      </c>
      <c r="X192" s="281">
        <f t="shared" ref="X192:Y192" si="322">X87 * (1 - X$116)</f>
        <v>-9.4008401554680019E-3</v>
      </c>
      <c r="Y192" s="281">
        <f t="shared" si="322"/>
        <v>-9.4008401554680019E-3</v>
      </c>
      <c r="Z192" s="267"/>
      <c r="AA192" s="267"/>
    </row>
    <row r="193" spans="4:27" x14ac:dyDescent="0.25">
      <c r="F193" t="s">
        <v>194</v>
      </c>
      <c r="G193" t="s">
        <v>267</v>
      </c>
      <c r="H193" s="267"/>
      <c r="I193" s="267"/>
      <c r="J193" s="281">
        <f t="shared" ref="J193:K193" si="323">J88 * (1 - J$117)</f>
        <v>0</v>
      </c>
      <c r="K193" s="281">
        <f t="shared" si="323"/>
        <v>0</v>
      </c>
      <c r="L193" s="281">
        <f t="shared" ref="L193:M193" si="324">L88 * (1 - L$117)</f>
        <v>0</v>
      </c>
      <c r="M193" s="281">
        <f t="shared" si="324"/>
        <v>0</v>
      </c>
      <c r="N193" s="281">
        <f t="shared" ref="N193:P193" si="325">N88 * (1 - N$117)</f>
        <v>0</v>
      </c>
      <c r="O193" s="281">
        <f t="shared" si="325"/>
        <v>0</v>
      </c>
      <c r="P193" s="281">
        <f t="shared" si="325"/>
        <v>0</v>
      </c>
      <c r="Q193" s="281">
        <f t="shared" ref="Q193:S193" si="326">Q88 * (1 - Q$117)</f>
        <v>0</v>
      </c>
      <c r="R193" s="281">
        <f t="shared" si="326"/>
        <v>0</v>
      </c>
      <c r="S193" s="281">
        <f t="shared" si="326"/>
        <v>0</v>
      </c>
      <c r="T193" s="281">
        <f t="shared" ref="T193:U193" si="327">T88 * (1 - T$117)</f>
        <v>0</v>
      </c>
      <c r="U193" s="281">
        <f t="shared" si="327"/>
        <v>0</v>
      </c>
      <c r="V193" s="281">
        <f t="shared" ref="V193:W193" si="328">V88 * (1 - V$117)</f>
        <v>0</v>
      </c>
      <c r="W193" s="281">
        <f t="shared" si="328"/>
        <v>0</v>
      </c>
      <c r="X193" s="281">
        <f t="shared" ref="X193:Y193" si="329">X88 * (1 - X$117)</f>
        <v>0</v>
      </c>
      <c r="Y193" s="281">
        <f t="shared" si="329"/>
        <v>0</v>
      </c>
      <c r="Z193" s="267"/>
      <c r="AA193" s="267"/>
    </row>
    <row r="194" spans="4:27" x14ac:dyDescent="0.25">
      <c r="F194" t="s">
        <v>195</v>
      </c>
      <c r="G194" t="s">
        <v>267</v>
      </c>
      <c r="H194" s="267"/>
      <c r="I194" s="267"/>
      <c r="J194" s="281">
        <f t="shared" ref="J194:K194" si="330">J89 * (1 - J$118)</f>
        <v>6.8030459410157812E-2</v>
      </c>
      <c r="K194" s="281">
        <f t="shared" si="330"/>
        <v>6.8030459410157812E-2</v>
      </c>
      <c r="L194" s="281">
        <f t="shared" ref="L194:M194" si="331">L89 * (1 - L$118)</f>
        <v>7.7615252772427132E-2</v>
      </c>
      <c r="M194" s="281">
        <f t="shared" si="331"/>
        <v>7.7615252772427132E-2</v>
      </c>
      <c r="N194" s="281">
        <f t="shared" ref="N194:P194" si="332">N89 * (1 - N$118)</f>
        <v>5.0183731119960412E-2</v>
      </c>
      <c r="O194" s="281">
        <f t="shared" si="332"/>
        <v>0</v>
      </c>
      <c r="P194" s="281">
        <f t="shared" si="332"/>
        <v>0</v>
      </c>
      <c r="Q194" s="281">
        <f t="shared" ref="Q194:S194" si="333">Q89 * (1 - Q$118)</f>
        <v>5.7011637764172826E-2</v>
      </c>
      <c r="R194" s="281">
        <f t="shared" si="333"/>
        <v>-4.6823038190801719E-2</v>
      </c>
      <c r="S194" s="281">
        <f t="shared" si="333"/>
        <v>-4.4188711178252078E-2</v>
      </c>
      <c r="T194" s="281">
        <f t="shared" ref="T194:U194" si="334">T89 * (1 - T$118)</f>
        <v>-4.6823038190801719E-2</v>
      </c>
      <c r="U194" s="281">
        <f t="shared" si="334"/>
        <v>-4.6823038190801719E-2</v>
      </c>
      <c r="V194" s="281">
        <f t="shared" ref="V194:W194" si="335">V89 * (1 - V$118)</f>
        <v>-4.4188711178252078E-2</v>
      </c>
      <c r="W194" s="281">
        <f t="shared" si="335"/>
        <v>-4.4188711178252078E-2</v>
      </c>
      <c r="X194" s="281">
        <f t="shared" ref="X194:Y194" si="336">X89 * (1 - X$118)</f>
        <v>0</v>
      </c>
      <c r="Y194" s="281">
        <f t="shared" si="336"/>
        <v>0</v>
      </c>
      <c r="Z194" s="267"/>
      <c r="AA194" s="267"/>
    </row>
    <row r="195" spans="4:27" x14ac:dyDescent="0.25">
      <c r="F195" t="s">
        <v>196</v>
      </c>
      <c r="G195" t="s">
        <v>267</v>
      </c>
      <c r="H195" s="267"/>
      <c r="I195" s="267"/>
      <c r="J195" s="281">
        <f t="shared" ref="J195:K195" si="337">J90 * (1 - J$119)</f>
        <v>2.0690840196287977E-2</v>
      </c>
      <c r="K195" s="281">
        <f t="shared" si="337"/>
        <v>2.0690840196287977E-2</v>
      </c>
      <c r="L195" s="281">
        <f t="shared" ref="L195:M195" si="338">L90 * (1 - L$119)</f>
        <v>2.3605967177534628E-2</v>
      </c>
      <c r="M195" s="281">
        <f t="shared" si="338"/>
        <v>2.3605967177534628E-2</v>
      </c>
      <c r="N195" s="281">
        <f t="shared" ref="N195:P195" si="339">N90 * (1 - N$119)</f>
        <v>0</v>
      </c>
      <c r="O195" s="281">
        <f t="shared" si="339"/>
        <v>0</v>
      </c>
      <c r="P195" s="281">
        <f t="shared" si="339"/>
        <v>0</v>
      </c>
      <c r="Q195" s="281">
        <f t="shared" ref="Q195:S195" si="340">Q90 * (1 - Q$119)</f>
        <v>1.7339566666677908E-2</v>
      </c>
      <c r="R195" s="281">
        <f t="shared" si="340"/>
        <v>-1.4240797564949444E-2</v>
      </c>
      <c r="S195" s="281">
        <f t="shared" si="340"/>
        <v>0</v>
      </c>
      <c r="T195" s="281">
        <f t="shared" ref="T195:U195" si="341">T90 * (1 - T$119)</f>
        <v>-1.4240797564949444E-2</v>
      </c>
      <c r="U195" s="281">
        <f t="shared" si="341"/>
        <v>-1.4240797564949444E-2</v>
      </c>
      <c r="V195" s="281">
        <f t="shared" ref="V195:W195" si="342">V90 * (1 - V$119)</f>
        <v>0</v>
      </c>
      <c r="W195" s="281">
        <f t="shared" si="342"/>
        <v>0</v>
      </c>
      <c r="X195" s="281">
        <f t="shared" ref="X195:Y195" si="343">X90 * (1 - X$119)</f>
        <v>0</v>
      </c>
      <c r="Y195" s="281">
        <f t="shared" si="343"/>
        <v>0</v>
      </c>
      <c r="Z195" s="267"/>
      <c r="AA195" s="267"/>
    </row>
    <row r="196" spans="4:27" x14ac:dyDescent="0.25">
      <c r="F196" t="s">
        <v>197</v>
      </c>
      <c r="G196" t="s">
        <v>267</v>
      </c>
      <c r="H196" s="267"/>
      <c r="I196" s="267"/>
      <c r="J196" s="281">
        <f t="shared" ref="J196:K196" si="344">J91 * (1 - J$120)</f>
        <v>0</v>
      </c>
      <c r="K196" s="281">
        <f t="shared" si="344"/>
        <v>0</v>
      </c>
      <c r="L196" s="281">
        <f t="shared" ref="L196:M196" si="345">L91 * (1 - L$120)</f>
        <v>0</v>
      </c>
      <c r="M196" s="281">
        <f t="shared" si="345"/>
        <v>0</v>
      </c>
      <c r="N196" s="281">
        <f t="shared" ref="N196:P196" si="346">N91 * (1 - N$120)</f>
        <v>0</v>
      </c>
      <c r="O196" s="281">
        <f t="shared" si="346"/>
        <v>0</v>
      </c>
      <c r="P196" s="281">
        <f t="shared" si="346"/>
        <v>0</v>
      </c>
      <c r="Q196" s="281">
        <f t="shared" ref="Q196:S196" si="347">Q91 * (1 - Q$120)</f>
        <v>3.2410252493310532E-2</v>
      </c>
      <c r="R196" s="281">
        <f t="shared" si="347"/>
        <v>0</v>
      </c>
      <c r="S196" s="281">
        <f t="shared" si="347"/>
        <v>0</v>
      </c>
      <c r="T196" s="281">
        <f t="shared" ref="T196:U196" si="348">T91 * (1 - T$120)</f>
        <v>0</v>
      </c>
      <c r="U196" s="281">
        <f t="shared" si="348"/>
        <v>0</v>
      </c>
      <c r="V196" s="281">
        <f t="shared" ref="V196:W196" si="349">V91 * (1 - V$120)</f>
        <v>0</v>
      </c>
      <c r="W196" s="281">
        <f t="shared" si="349"/>
        <v>0</v>
      </c>
      <c r="X196" s="281">
        <f t="shared" ref="X196:Y196" si="350">X91 * (1 - X$120)</f>
        <v>0</v>
      </c>
      <c r="Y196" s="281">
        <f t="shared" si="350"/>
        <v>0</v>
      </c>
      <c r="Z196" s="267"/>
      <c r="AA196" s="267"/>
    </row>
    <row r="197" spans="4:27" x14ac:dyDescent="0.25">
      <c r="D197"/>
      <c r="F197" s="95" t="s">
        <v>332</v>
      </c>
      <c r="G197" s="95" t="s">
        <v>267</v>
      </c>
      <c r="H197" s="265"/>
      <c r="I197" s="265"/>
      <c r="J197" s="279"/>
      <c r="K197" s="279"/>
      <c r="L197" s="279"/>
      <c r="M197" s="279"/>
      <c r="N197" s="279"/>
      <c r="O197" s="279"/>
      <c r="P197" s="279"/>
      <c r="Q197" s="279"/>
      <c r="R197" s="279"/>
      <c r="S197" s="279"/>
      <c r="T197" s="279"/>
      <c r="U197" s="279"/>
      <c r="V197" s="279"/>
      <c r="W197" s="279"/>
      <c r="X197" s="279"/>
      <c r="Y197" s="279"/>
      <c r="Z197" s="267"/>
      <c r="AA197" s="267"/>
    </row>
    <row r="198" spans="4:27" x14ac:dyDescent="0.25">
      <c r="D198"/>
      <c r="F198" s="96" t="s">
        <v>333</v>
      </c>
      <c r="G198" s="96" t="s">
        <v>267</v>
      </c>
      <c r="H198" s="269"/>
      <c r="I198" s="269"/>
      <c r="J198" s="275"/>
      <c r="K198" s="275"/>
      <c r="L198" s="275"/>
      <c r="M198" s="275"/>
      <c r="N198" s="275"/>
      <c r="O198" s="275"/>
      <c r="P198" s="275"/>
      <c r="Q198" s="275"/>
      <c r="R198" s="275"/>
      <c r="S198" s="275"/>
      <c r="T198" s="275"/>
      <c r="U198" s="275"/>
      <c r="V198" s="275"/>
      <c r="W198" s="275"/>
      <c r="X198" s="275"/>
      <c r="Y198" s="275"/>
      <c r="Z198" s="267"/>
      <c r="AA198" s="267"/>
    </row>
    <row r="199" spans="4:27" x14ac:dyDescent="0.25">
      <c r="D199"/>
      <c r="J199" s="106"/>
      <c r="K199" s="106"/>
      <c r="L199" s="106"/>
      <c r="M199" s="106"/>
      <c r="N199" s="106"/>
      <c r="O199" s="106"/>
      <c r="P199" s="106"/>
      <c r="Q199" s="106"/>
      <c r="R199" s="106"/>
      <c r="S199" s="106"/>
      <c r="T199" s="106"/>
      <c r="U199" s="106"/>
      <c r="V199" s="106"/>
      <c r="W199" s="106"/>
      <c r="X199" s="106"/>
      <c r="Y199" s="106"/>
    </row>
    <row r="200" spans="4:27" x14ac:dyDescent="0.25">
      <c r="E200" s="75" t="s">
        <v>577</v>
      </c>
      <c r="J200" s="106"/>
      <c r="K200" s="106"/>
      <c r="L200" s="106"/>
      <c r="M200" s="106"/>
      <c r="N200" s="106"/>
      <c r="O200" s="106"/>
      <c r="P200" s="106"/>
      <c r="Q200" s="106"/>
      <c r="R200" s="106"/>
      <c r="S200" s="106"/>
      <c r="T200" s="106"/>
      <c r="U200" s="106"/>
      <c r="V200" s="106"/>
      <c r="W200" s="106"/>
      <c r="X200" s="106"/>
      <c r="Y200" s="106"/>
    </row>
    <row r="201" spans="4:27" x14ac:dyDescent="0.25">
      <c r="F201" s="95" t="s">
        <v>187</v>
      </c>
      <c r="G201" s="95" t="s">
        <v>267</v>
      </c>
      <c r="H201" s="265"/>
      <c r="I201" s="265"/>
      <c r="J201" s="280">
        <f t="shared" ref="J201:K201" si="351">J96 * (1 - J$112)</f>
        <v>6.0734972407177363E-3</v>
      </c>
      <c r="K201" s="280">
        <f t="shared" si="351"/>
        <v>6.0734972407177363E-3</v>
      </c>
      <c r="L201" s="280">
        <f t="shared" ref="L201:M201" si="352">L96 * (1 - L$112)</f>
        <v>6.9291906542756692E-3</v>
      </c>
      <c r="M201" s="280">
        <f t="shared" si="352"/>
        <v>6.9291906542756692E-3</v>
      </c>
      <c r="N201" s="280">
        <f t="shared" ref="N201:P201" si="353">N96 * (1 - N$112)</f>
        <v>5.600262645743855E-3</v>
      </c>
      <c r="O201" s="280">
        <f t="shared" si="353"/>
        <v>4.6338561422516432E-3</v>
      </c>
      <c r="P201" s="280">
        <f t="shared" si="353"/>
        <v>4.3353006285366171E-3</v>
      </c>
      <c r="Q201" s="280">
        <f t="shared" ref="Q201:S201" si="354">Q96 * (1 - Q$112)</f>
        <v>5.0897793084402083E-3</v>
      </c>
      <c r="R201" s="280">
        <f t="shared" si="354"/>
        <v>-4.180180403300259E-3</v>
      </c>
      <c r="S201" s="280">
        <f t="shared" si="354"/>
        <v>-3.9449978397751986E-3</v>
      </c>
      <c r="T201" s="280">
        <f t="shared" ref="T201:U201" si="355">T96 * (1 - T$112)</f>
        <v>-4.180180403300259E-3</v>
      </c>
      <c r="U201" s="280">
        <f t="shared" si="355"/>
        <v>-4.180180403300259E-3</v>
      </c>
      <c r="V201" s="280">
        <f t="shared" ref="V201:W201" si="356">V96 * (1 - V$112)</f>
        <v>-3.9449978397751986E-3</v>
      </c>
      <c r="W201" s="280">
        <f t="shared" si="356"/>
        <v>-3.9449978397751986E-3</v>
      </c>
      <c r="X201" s="280">
        <f t="shared" ref="X201:Y201" si="357">X96 * (1 - X$112)</f>
        <v>-3.8843055653171189E-3</v>
      </c>
      <c r="Y201" s="280">
        <f t="shared" si="357"/>
        <v>-3.8843055653171189E-3</v>
      </c>
      <c r="Z201" s="267"/>
      <c r="AA201" s="267"/>
    </row>
    <row r="202" spans="4:27" x14ac:dyDescent="0.25">
      <c r="F202" t="s">
        <v>189</v>
      </c>
      <c r="G202" t="s">
        <v>267</v>
      </c>
      <c r="H202" s="267"/>
      <c r="I202" s="267"/>
      <c r="J202" s="281">
        <f t="shared" ref="J202:K202" si="358">J97 * (1 - J$112)</f>
        <v>0</v>
      </c>
      <c r="K202" s="281">
        <f t="shared" si="358"/>
        <v>0</v>
      </c>
      <c r="L202" s="281">
        <f t="shared" ref="L202:M202" si="359">L97 * (1 - L$112)</f>
        <v>0</v>
      </c>
      <c r="M202" s="281">
        <f t="shared" si="359"/>
        <v>0</v>
      </c>
      <c r="N202" s="281">
        <f t="shared" ref="N202:P202" si="360">N97 * (1 - N$112)</f>
        <v>0</v>
      </c>
      <c r="O202" s="281">
        <f t="shared" si="360"/>
        <v>0</v>
      </c>
      <c r="P202" s="281">
        <f t="shared" si="360"/>
        <v>0</v>
      </c>
      <c r="Q202" s="281">
        <f t="shared" ref="Q202:S202" si="361">Q97 * (1 - Q$112)</f>
        <v>0</v>
      </c>
      <c r="R202" s="281">
        <f t="shared" si="361"/>
        <v>0</v>
      </c>
      <c r="S202" s="281">
        <f t="shared" si="361"/>
        <v>0</v>
      </c>
      <c r="T202" s="281">
        <f t="shared" ref="T202:U202" si="362">T97 * (1 - T$112)</f>
        <v>0</v>
      </c>
      <c r="U202" s="281">
        <f t="shared" si="362"/>
        <v>0</v>
      </c>
      <c r="V202" s="281">
        <f t="shared" ref="V202:W202" si="363">V97 * (1 - V$112)</f>
        <v>0</v>
      </c>
      <c r="W202" s="281">
        <f t="shared" si="363"/>
        <v>0</v>
      </c>
      <c r="X202" s="281">
        <f t="shared" ref="X202:Y202" si="364">X97 * (1 - X$112)</f>
        <v>0</v>
      </c>
      <c r="Y202" s="281">
        <f t="shared" si="364"/>
        <v>0</v>
      </c>
      <c r="Z202" s="267"/>
      <c r="AA202" s="267"/>
    </row>
    <row r="203" spans="4:27" x14ac:dyDescent="0.25">
      <c r="F203" t="s">
        <v>190</v>
      </c>
      <c r="G203" t="s">
        <v>267</v>
      </c>
      <c r="H203" s="267"/>
      <c r="I203" s="267"/>
      <c r="J203" s="281">
        <f t="shared" ref="J203:K203" si="365">J98 * (1 - J$113)</f>
        <v>6.8447890515174852E-3</v>
      </c>
      <c r="K203" s="281">
        <f t="shared" si="365"/>
        <v>6.8447890515174852E-3</v>
      </c>
      <c r="L203" s="281">
        <f t="shared" ref="L203:M203" si="366">L98 * (1 - L$113)</f>
        <v>7.8091495634990127E-3</v>
      </c>
      <c r="M203" s="281">
        <f t="shared" si="366"/>
        <v>7.8091495634990127E-3</v>
      </c>
      <c r="N203" s="281">
        <f t="shared" ref="N203:P203" si="367">N98 * (1 - N$113)</f>
        <v>6.3114569619331746E-3</v>
      </c>
      <c r="O203" s="281">
        <f t="shared" si="367"/>
        <v>5.2223235693843566E-3</v>
      </c>
      <c r="P203" s="281">
        <f t="shared" si="367"/>
        <v>4.8858535866787593E-3</v>
      </c>
      <c r="Q203" s="281">
        <f t="shared" ref="Q203:S203" si="368">Q98 * (1 - Q$113)</f>
        <v>5.7361457994067897E-3</v>
      </c>
      <c r="R203" s="281">
        <f t="shared" si="368"/>
        <v>-4.7110341741912571E-3</v>
      </c>
      <c r="S203" s="281">
        <f t="shared" si="368"/>
        <v>-4.4459850645725101E-3</v>
      </c>
      <c r="T203" s="281">
        <f t="shared" ref="T203:U203" si="369">T98 * (1 - T$113)</f>
        <v>-4.7110341741912571E-3</v>
      </c>
      <c r="U203" s="281">
        <f t="shared" si="369"/>
        <v>-4.7110341741912571E-3</v>
      </c>
      <c r="V203" s="281">
        <f t="shared" ref="V203:W203" si="370">V98 * (1 - V$113)</f>
        <v>-4.4459850645725101E-3</v>
      </c>
      <c r="W203" s="281">
        <f t="shared" si="370"/>
        <v>-4.4459850645725101E-3</v>
      </c>
      <c r="X203" s="281">
        <f t="shared" ref="X203:Y203" si="371">X98 * (1 - X$113)</f>
        <v>-4.377585294348319E-3</v>
      </c>
      <c r="Y203" s="281">
        <f t="shared" si="371"/>
        <v>-4.377585294348319E-3</v>
      </c>
      <c r="Z203" s="267"/>
      <c r="AA203" s="267"/>
    </row>
    <row r="204" spans="4:27" x14ac:dyDescent="0.25">
      <c r="F204" t="s">
        <v>191</v>
      </c>
      <c r="G204" t="s">
        <v>267</v>
      </c>
      <c r="H204" s="267"/>
      <c r="I204" s="267"/>
      <c r="J204" s="281">
        <f t="shared" ref="J204:K204" si="372">J99 * (1 - J$114)</f>
        <v>4.2397658869621204E-3</v>
      </c>
      <c r="K204" s="281">
        <f t="shared" si="372"/>
        <v>4.2397658869621204E-3</v>
      </c>
      <c r="L204" s="281">
        <f t="shared" ref="L204:M204" si="373">L99 * (1 - L$114)</f>
        <v>4.8371053769974137E-3</v>
      </c>
      <c r="M204" s="281">
        <f t="shared" si="373"/>
        <v>4.8371053769974137E-3</v>
      </c>
      <c r="N204" s="281">
        <f t="shared" ref="N204:P204" si="374">N99 * (1 - N$114)</f>
        <v>3.9094119223880806E-3</v>
      </c>
      <c r="O204" s="281">
        <f t="shared" si="374"/>
        <v>3.2347862225564602E-3</v>
      </c>
      <c r="P204" s="281">
        <f t="shared" si="374"/>
        <v>3.0263716251269501E-3</v>
      </c>
      <c r="Q204" s="281">
        <f t="shared" ref="Q204:S204" si="375">Q99 * (1 - Q$114)</f>
        <v>3.553055484971339E-3</v>
      </c>
      <c r="R204" s="281">
        <f t="shared" si="375"/>
        <v>-2.9180858363517725E-3</v>
      </c>
      <c r="S204" s="281">
        <f t="shared" si="375"/>
        <v>-2.7539104081722716E-3</v>
      </c>
      <c r="T204" s="281">
        <f t="shared" ref="T204:U204" si="376">T99 * (1 - T$114)</f>
        <v>-2.9180858363517725E-3</v>
      </c>
      <c r="U204" s="281">
        <f t="shared" si="376"/>
        <v>-2.9180858363517725E-3</v>
      </c>
      <c r="V204" s="281">
        <f t="shared" ref="V204:W204" si="377">V99 * (1 - V$114)</f>
        <v>-2.7539104081722716E-3</v>
      </c>
      <c r="W204" s="281">
        <f t="shared" si="377"/>
        <v>-2.7539104081722716E-3</v>
      </c>
      <c r="X204" s="281">
        <f t="shared" ref="X204:Y204" si="378">X99 * (1 - X$114)</f>
        <v>-2.711542555738852E-3</v>
      </c>
      <c r="Y204" s="281">
        <f t="shared" si="378"/>
        <v>-2.711542555738852E-3</v>
      </c>
      <c r="Z204" s="267"/>
      <c r="AA204" s="267"/>
    </row>
    <row r="205" spans="4:27" x14ac:dyDescent="0.25">
      <c r="F205" t="s">
        <v>192</v>
      </c>
      <c r="G205" t="s">
        <v>267</v>
      </c>
      <c r="H205" s="267"/>
      <c r="I205" s="267"/>
      <c r="J205" s="281">
        <f t="shared" ref="J205:K205" si="379">J100 * (1 - J$115)</f>
        <v>1.2717066567966959E-2</v>
      </c>
      <c r="K205" s="281">
        <f t="shared" si="379"/>
        <v>1.2717066567966959E-2</v>
      </c>
      <c r="L205" s="281">
        <f t="shared" ref="L205:M205" si="380">L100 * (1 - L$115)</f>
        <v>1.4508770699983842E-2</v>
      </c>
      <c r="M205" s="281">
        <f t="shared" si="380"/>
        <v>1.4508770699983842E-2</v>
      </c>
      <c r="N205" s="281">
        <f t="shared" ref="N205:P205" si="381">N100 * (1 - N$115)</f>
        <v>1.1726178516483046E-2</v>
      </c>
      <c r="O205" s="281">
        <f t="shared" si="381"/>
        <v>9.7026564254160709E-3</v>
      </c>
      <c r="P205" s="281">
        <f t="shared" si="381"/>
        <v>7.2620178457489682E-3</v>
      </c>
      <c r="Q205" s="281">
        <f t="shared" ref="Q205:S205" si="382">Q100 * (1 - Q$115)</f>
        <v>1.0657296729757933E-2</v>
      </c>
      <c r="R205" s="281">
        <f t="shared" si="382"/>
        <v>-8.7527219241147168E-3</v>
      </c>
      <c r="S205" s="281">
        <f t="shared" si="382"/>
        <v>-8.2602820336472836E-3</v>
      </c>
      <c r="T205" s="281">
        <f t="shared" ref="T205:U205" si="383">T100 * (1 - T$115)</f>
        <v>-8.7527219241147168E-3</v>
      </c>
      <c r="U205" s="281">
        <f t="shared" si="383"/>
        <v>-8.7527219241147168E-3</v>
      </c>
      <c r="V205" s="281">
        <f t="shared" ref="V205:W205" si="384">V100 * (1 - V$115)</f>
        <v>-8.2602820336472836E-3</v>
      </c>
      <c r="W205" s="281">
        <f t="shared" si="384"/>
        <v>-8.2602820336472836E-3</v>
      </c>
      <c r="X205" s="281">
        <f t="shared" ref="X205:Y205" si="385">X100 * (1 - X$115)</f>
        <v>-8.1332007715911713E-3</v>
      </c>
      <c r="Y205" s="281">
        <f t="shared" si="385"/>
        <v>-8.1332007715911713E-3</v>
      </c>
      <c r="Z205" s="267"/>
      <c r="AA205" s="267"/>
    </row>
    <row r="206" spans="4:27" x14ac:dyDescent="0.25">
      <c r="F206" t="s">
        <v>193</v>
      </c>
      <c r="G206" t="s">
        <v>267</v>
      </c>
      <c r="H206" s="267"/>
      <c r="I206" s="267"/>
      <c r="J206" s="281">
        <f t="shared" ref="J206:K206" si="386">J101 * (1 - J$116)</f>
        <v>4.8391581460520633E-3</v>
      </c>
      <c r="K206" s="281">
        <f t="shared" si="386"/>
        <v>4.8391581460520633E-3</v>
      </c>
      <c r="L206" s="281">
        <f t="shared" ref="L206:M206" si="387">L101 * (1 - L$116)</f>
        <v>5.5209458523147945E-3</v>
      </c>
      <c r="M206" s="281">
        <f t="shared" si="387"/>
        <v>5.5209458523147945E-3</v>
      </c>
      <c r="N206" s="281">
        <f t="shared" ref="N206:P206" si="388">N101 * (1 - N$116)</f>
        <v>4.4621007515234911E-3</v>
      </c>
      <c r="O206" s="281">
        <f t="shared" si="388"/>
        <v>3.6921005821944652E-3</v>
      </c>
      <c r="P206" s="281">
        <f t="shared" si="388"/>
        <v>0</v>
      </c>
      <c r="Q206" s="281">
        <f t="shared" ref="Q206:S206" si="389">Q101 * (1 - Q$116)</f>
        <v>4.0553648130306867E-3</v>
      </c>
      <c r="R206" s="281">
        <f t="shared" si="389"/>
        <v>-3.3306270257244964E-3</v>
      </c>
      <c r="S206" s="281">
        <f t="shared" si="389"/>
        <v>-3.1432414761828277E-3</v>
      </c>
      <c r="T206" s="281">
        <f t="shared" ref="T206:U206" si="390">T101 * (1 - T$116)</f>
        <v>-3.3306270257244964E-3</v>
      </c>
      <c r="U206" s="281">
        <f t="shared" si="390"/>
        <v>-3.3306270257244964E-3</v>
      </c>
      <c r="V206" s="281">
        <f t="shared" ref="V206:W206" si="391">V101 * (1 - V$116)</f>
        <v>-3.1432414761828277E-3</v>
      </c>
      <c r="W206" s="281">
        <f t="shared" si="391"/>
        <v>-3.1432414761828277E-3</v>
      </c>
      <c r="X206" s="281">
        <f t="shared" ref="X206:Y206" si="392">X101 * (1 - X$116)</f>
        <v>-3.0948839150107843E-3</v>
      </c>
      <c r="Y206" s="281">
        <f t="shared" si="392"/>
        <v>-3.0948839150107843E-3</v>
      </c>
      <c r="Z206" s="267"/>
      <c r="AA206" s="267"/>
    </row>
    <row r="207" spans="4:27" x14ac:dyDescent="0.25">
      <c r="F207" t="s">
        <v>194</v>
      </c>
      <c r="G207" t="s">
        <v>267</v>
      </c>
      <c r="H207" s="267"/>
      <c r="I207" s="267"/>
      <c r="J207" s="281">
        <f t="shared" ref="J207:K207" si="393">J102 * (1 - J$117)</f>
        <v>0</v>
      </c>
      <c r="K207" s="281">
        <f t="shared" si="393"/>
        <v>0</v>
      </c>
      <c r="L207" s="281">
        <f t="shared" ref="L207:M207" si="394">L102 * (1 - L$117)</f>
        <v>0</v>
      </c>
      <c r="M207" s="281">
        <f t="shared" si="394"/>
        <v>0</v>
      </c>
      <c r="N207" s="281">
        <f t="shared" ref="N207:P207" si="395">N102 * (1 - N$117)</f>
        <v>0</v>
      </c>
      <c r="O207" s="281">
        <f t="shared" si="395"/>
        <v>0</v>
      </c>
      <c r="P207" s="281">
        <f t="shared" si="395"/>
        <v>0</v>
      </c>
      <c r="Q207" s="281">
        <f t="shared" ref="Q207:S207" si="396">Q102 * (1 - Q$117)</f>
        <v>0</v>
      </c>
      <c r="R207" s="281">
        <f t="shared" si="396"/>
        <v>0</v>
      </c>
      <c r="S207" s="281">
        <f t="shared" si="396"/>
        <v>0</v>
      </c>
      <c r="T207" s="281">
        <f t="shared" ref="T207:U207" si="397">T102 * (1 - T$117)</f>
        <v>0</v>
      </c>
      <c r="U207" s="281">
        <f t="shared" si="397"/>
        <v>0</v>
      </c>
      <c r="V207" s="281">
        <f t="shared" ref="V207:W207" si="398">V102 * (1 - V$117)</f>
        <v>0</v>
      </c>
      <c r="W207" s="281">
        <f t="shared" si="398"/>
        <v>0</v>
      </c>
      <c r="X207" s="281">
        <f t="shared" ref="X207:Y207" si="399">X102 * (1 - X$117)</f>
        <v>0</v>
      </c>
      <c r="Y207" s="281">
        <f t="shared" si="399"/>
        <v>0</v>
      </c>
      <c r="Z207" s="267"/>
      <c r="AA207" s="267"/>
    </row>
    <row r="208" spans="4:27" x14ac:dyDescent="0.25">
      <c r="F208" t="s">
        <v>195</v>
      </c>
      <c r="G208" t="s">
        <v>267</v>
      </c>
      <c r="H208" s="267"/>
      <c r="I208" s="267"/>
      <c r="J208" s="281">
        <f t="shared" ref="J208:K208" si="400">J103 * (1 - J$118)</f>
        <v>2.2396548720895672E-2</v>
      </c>
      <c r="K208" s="281">
        <f t="shared" si="400"/>
        <v>2.2396548720895672E-2</v>
      </c>
      <c r="L208" s="281">
        <f t="shared" ref="L208:M208" si="401">L103 * (1 - L$118)</f>
        <v>2.5551992523260025E-2</v>
      </c>
      <c r="M208" s="281">
        <f t="shared" si="401"/>
        <v>2.5551992523260025E-2</v>
      </c>
      <c r="N208" s="281">
        <f t="shared" ref="N208:P208" si="402">N103 * (1 - N$118)</f>
        <v>1.6521164031073742E-2</v>
      </c>
      <c r="O208" s="281">
        <f t="shared" si="402"/>
        <v>0</v>
      </c>
      <c r="P208" s="281">
        <f t="shared" si="402"/>
        <v>0</v>
      </c>
      <c r="Q208" s="281">
        <f t="shared" ref="Q208:S208" si="403">Q103 * (1 - Q$118)</f>
        <v>1.8769003383397705E-2</v>
      </c>
      <c r="R208" s="281">
        <f t="shared" si="403"/>
        <v>-1.5414778397690331E-2</v>
      </c>
      <c r="S208" s="281">
        <f t="shared" si="403"/>
        <v>-1.454752226279305E-2</v>
      </c>
      <c r="T208" s="281">
        <f t="shared" ref="T208:U208" si="404">T103 * (1 - T$118)</f>
        <v>-1.5414778397690331E-2</v>
      </c>
      <c r="U208" s="281">
        <f t="shared" si="404"/>
        <v>-1.5414778397690331E-2</v>
      </c>
      <c r="V208" s="281">
        <f t="shared" ref="V208:W208" si="405">V103 * (1 - V$118)</f>
        <v>-1.454752226279305E-2</v>
      </c>
      <c r="W208" s="281">
        <f t="shared" si="405"/>
        <v>-1.454752226279305E-2</v>
      </c>
      <c r="X208" s="281">
        <f t="shared" ref="X208:Y208" si="406">X103 * (1 - X$118)</f>
        <v>0</v>
      </c>
      <c r="Y208" s="281">
        <f t="shared" si="406"/>
        <v>0</v>
      </c>
      <c r="Z208" s="267"/>
      <c r="AA208" s="267"/>
    </row>
    <row r="209" spans="2:27" x14ac:dyDescent="0.25">
      <c r="F209" t="s">
        <v>196</v>
      </c>
      <c r="G209" t="s">
        <v>267</v>
      </c>
      <c r="H209" s="267"/>
      <c r="I209" s="267"/>
      <c r="J209" s="281">
        <f t="shared" ref="J209:K209" si="407">J104 * (1 - J$119)</f>
        <v>6.8117048532416371E-3</v>
      </c>
      <c r="K209" s="281">
        <f t="shared" si="407"/>
        <v>6.8117048532416371E-3</v>
      </c>
      <c r="L209" s="281">
        <f t="shared" ref="L209:M209" si="408">L104 * (1 - L$119)</f>
        <v>7.7714041413128815E-3</v>
      </c>
      <c r="M209" s="281">
        <f t="shared" si="408"/>
        <v>7.7714041413128815E-3</v>
      </c>
      <c r="N209" s="281">
        <f t="shared" ref="N209:P209" si="409">N104 * (1 - N$119)</f>
        <v>0</v>
      </c>
      <c r="O209" s="281">
        <f t="shared" si="409"/>
        <v>0</v>
      </c>
      <c r="P209" s="281">
        <f t="shared" si="409"/>
        <v>0</v>
      </c>
      <c r="Q209" s="281">
        <f t="shared" ref="Q209:S209" si="410">Q104 * (1 - Q$119)</f>
        <v>5.7084202137768483E-3</v>
      </c>
      <c r="R209" s="281">
        <f t="shared" si="410"/>
        <v>-4.6882634521821284E-3</v>
      </c>
      <c r="S209" s="281">
        <f t="shared" si="410"/>
        <v>0</v>
      </c>
      <c r="T209" s="281">
        <f t="shared" ref="T209:U209" si="411">T104 * (1 - T$119)</f>
        <v>-4.6882634521821284E-3</v>
      </c>
      <c r="U209" s="281">
        <f t="shared" si="411"/>
        <v>-4.6882634521821284E-3</v>
      </c>
      <c r="V209" s="281">
        <f t="shared" ref="V209:W209" si="412">V104 * (1 - V$119)</f>
        <v>0</v>
      </c>
      <c r="W209" s="281">
        <f t="shared" si="412"/>
        <v>0</v>
      </c>
      <c r="X209" s="281">
        <f t="shared" ref="X209:Y209" si="413">X104 * (1 - X$119)</f>
        <v>0</v>
      </c>
      <c r="Y209" s="281">
        <f t="shared" si="413"/>
        <v>0</v>
      </c>
      <c r="Z209" s="267"/>
      <c r="AA209" s="267"/>
    </row>
    <row r="210" spans="2:27" x14ac:dyDescent="0.25">
      <c r="F210" t="s">
        <v>197</v>
      </c>
      <c r="G210" t="s">
        <v>267</v>
      </c>
      <c r="H210" s="267"/>
      <c r="I210" s="267"/>
      <c r="J210" s="281">
        <f t="shared" ref="J210:K210" si="414">J105 * (1 - J$120)</f>
        <v>0</v>
      </c>
      <c r="K210" s="281">
        <f t="shared" si="414"/>
        <v>0</v>
      </c>
      <c r="L210" s="281">
        <f t="shared" ref="L210:M210" si="415">L105 * (1 - L$120)</f>
        <v>0</v>
      </c>
      <c r="M210" s="281">
        <f t="shared" si="415"/>
        <v>0</v>
      </c>
      <c r="N210" s="281">
        <f t="shared" ref="N210:P210" si="416">N105 * (1 - N$120)</f>
        <v>0</v>
      </c>
      <c r="O210" s="281">
        <f t="shared" si="416"/>
        <v>0</v>
      </c>
      <c r="P210" s="281">
        <f t="shared" si="416"/>
        <v>0</v>
      </c>
      <c r="Q210" s="281">
        <f t="shared" ref="Q210:S210" si="417">Q105 * (1 - Q$120)</f>
        <v>1.066989412266966E-2</v>
      </c>
      <c r="R210" s="281">
        <f t="shared" si="417"/>
        <v>0</v>
      </c>
      <c r="S210" s="281">
        <f t="shared" si="417"/>
        <v>0</v>
      </c>
      <c r="T210" s="281">
        <f t="shared" ref="T210:U210" si="418">T105 * (1 - T$120)</f>
        <v>0</v>
      </c>
      <c r="U210" s="281">
        <f t="shared" si="418"/>
        <v>0</v>
      </c>
      <c r="V210" s="281">
        <f t="shared" ref="V210:W210" si="419">V105 * (1 - V$120)</f>
        <v>0</v>
      </c>
      <c r="W210" s="281">
        <f t="shared" si="419"/>
        <v>0</v>
      </c>
      <c r="X210" s="281">
        <f t="shared" ref="X210:Y210" si="420">X105 * (1 - X$120)</f>
        <v>0</v>
      </c>
      <c r="Y210" s="281">
        <f t="shared" si="420"/>
        <v>0</v>
      </c>
      <c r="Z210" s="267"/>
      <c r="AA210" s="267"/>
    </row>
    <row r="211" spans="2:27" x14ac:dyDescent="0.25">
      <c r="D211"/>
      <c r="F211" s="95" t="s">
        <v>332</v>
      </c>
      <c r="G211" s="95" t="s">
        <v>267</v>
      </c>
      <c r="H211" s="265"/>
      <c r="I211" s="265" t="s">
        <v>152</v>
      </c>
      <c r="J211" s="279"/>
      <c r="K211" s="279"/>
      <c r="L211" s="279"/>
      <c r="M211" s="279"/>
      <c r="N211" s="279"/>
      <c r="O211" s="279"/>
      <c r="P211" s="279"/>
      <c r="Q211" s="282">
        <f>Q106</f>
        <v>0</v>
      </c>
      <c r="R211" s="279"/>
      <c r="S211" s="279"/>
      <c r="T211" s="279"/>
      <c r="U211" s="279"/>
      <c r="V211" s="279"/>
      <c r="W211" s="279"/>
      <c r="X211" s="279"/>
      <c r="Y211" s="279"/>
      <c r="Z211" s="267"/>
      <c r="AA211" s="267" t="s">
        <v>609</v>
      </c>
    </row>
    <row r="212" spans="2:27" x14ac:dyDescent="0.25">
      <c r="D212"/>
      <c r="F212" s="96" t="s">
        <v>333</v>
      </c>
      <c r="G212" s="96" t="s">
        <v>267</v>
      </c>
      <c r="H212" s="269"/>
      <c r="I212" s="269"/>
      <c r="J212" s="275"/>
      <c r="K212" s="275"/>
      <c r="L212" s="275"/>
      <c r="M212" s="275"/>
      <c r="N212" s="275"/>
      <c r="O212" s="275"/>
      <c r="P212" s="275"/>
      <c r="Q212" s="275"/>
      <c r="R212" s="275"/>
      <c r="S212" s="275"/>
      <c r="T212" s="275"/>
      <c r="U212" s="275"/>
      <c r="V212" s="275"/>
      <c r="W212" s="275"/>
      <c r="X212" s="275"/>
      <c r="Y212" s="275"/>
      <c r="Z212" s="267"/>
      <c r="AA212" s="267"/>
    </row>
    <row r="213" spans="2:27" x14ac:dyDescent="0.25">
      <c r="J213" s="106"/>
      <c r="K213" s="106"/>
      <c r="L213" s="106"/>
      <c r="M213" s="106"/>
      <c r="N213" s="106"/>
      <c r="O213" s="106"/>
      <c r="P213" s="106"/>
      <c r="Q213" s="106"/>
      <c r="R213" s="106"/>
      <c r="S213" s="106"/>
      <c r="T213" s="106"/>
      <c r="U213" s="106"/>
      <c r="V213" s="106"/>
      <c r="W213" s="106"/>
      <c r="X213" s="106"/>
      <c r="Y213" s="106"/>
    </row>
    <row r="214" spans="2:27" x14ac:dyDescent="0.2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25">
      <c r="J215" s="106"/>
      <c r="K215" s="106"/>
      <c r="L215" s="106"/>
      <c r="M215" s="106"/>
      <c r="N215" s="106"/>
      <c r="O215" s="106"/>
      <c r="P215" s="106"/>
      <c r="Q215" s="106"/>
      <c r="R215" s="106"/>
      <c r="S215" s="106"/>
      <c r="T215" s="106"/>
      <c r="U215" s="106"/>
      <c r="V215" s="106"/>
      <c r="W215" s="106"/>
      <c r="X215" s="106"/>
      <c r="Y215" s="106"/>
      <c r="AA215" s="3"/>
    </row>
    <row r="216" spans="2:27" x14ac:dyDescent="0.25">
      <c r="D216"/>
      <c r="E216" s="75" t="s">
        <v>612</v>
      </c>
      <c r="F216" s="2"/>
      <c r="J216" s="106"/>
      <c r="K216" s="106"/>
      <c r="L216" s="106"/>
      <c r="M216" s="106"/>
      <c r="N216" s="106"/>
      <c r="O216" s="106"/>
      <c r="P216" s="106"/>
      <c r="Q216" s="106"/>
      <c r="R216" s="106"/>
      <c r="S216" s="106"/>
      <c r="T216" s="106"/>
      <c r="U216" s="106"/>
      <c r="V216" s="106"/>
      <c r="W216" s="106"/>
      <c r="X216" s="106"/>
      <c r="Y216" s="106"/>
      <c r="AA216" s="3"/>
    </row>
    <row r="217" spans="2:27" x14ac:dyDescent="0.25">
      <c r="D217"/>
      <c r="F217" s="95" t="s">
        <v>613</v>
      </c>
      <c r="G217" s="95" t="s">
        <v>267</v>
      </c>
      <c r="H217" s="265"/>
      <c r="I217" s="265"/>
      <c r="J217" s="283">
        <f t="shared" ref="J217:K217" si="421">SUM(J127:J138,J141:J152)</f>
        <v>11.239126343152897</v>
      </c>
      <c r="K217" s="283">
        <f t="shared" si="421"/>
        <v>11.239126343152897</v>
      </c>
      <c r="L217" s="283">
        <f t="shared" ref="L217:M217" si="422">SUM(L127:L138,L141:L152)</f>
        <v>12.822603869331022</v>
      </c>
      <c r="M217" s="283">
        <f t="shared" si="422"/>
        <v>12.822603869331022</v>
      </c>
      <c r="N217" s="283">
        <f t="shared" ref="N217:P217" si="423">SUM(N127:N138,N141:N152)</f>
        <v>8.5220918944034256</v>
      </c>
      <c r="O217" s="283">
        <f t="shared" si="423"/>
        <v>4.63380659366329</v>
      </c>
      <c r="P217" s="283">
        <f t="shared" si="423"/>
        <v>3.403264536607697</v>
      </c>
      <c r="Q217" s="283">
        <f t="shared" ref="Q217:S217" si="424">SUM(Q127:Q138,Q141:Q152)</f>
        <v>33.229532805108299</v>
      </c>
      <c r="R217" s="283">
        <f t="shared" si="424"/>
        <v>-7.7355062211753616</v>
      </c>
      <c r="S217" s="283">
        <f t="shared" si="424"/>
        <v>-6.5177917537082717</v>
      </c>
      <c r="T217" s="283">
        <f t="shared" ref="T217:U217" si="425">SUM(T127:T138,T141:T152)</f>
        <v>-7.7355062211753616</v>
      </c>
      <c r="U217" s="283">
        <f t="shared" si="425"/>
        <v>-7.7355062211753616</v>
      </c>
      <c r="V217" s="283">
        <f t="shared" ref="V217:W217" si="426">SUM(V127:V138,V141:V152)</f>
        <v>-6.5177917537082717</v>
      </c>
      <c r="W217" s="283">
        <f t="shared" si="426"/>
        <v>-6.5177917537082717</v>
      </c>
      <c r="X217" s="283">
        <f t="shared" ref="X217:Y217" si="427">SUM(X127:X138,X141:X152)</f>
        <v>-3.8842640314732568</v>
      </c>
      <c r="Y217" s="283">
        <f t="shared" si="427"/>
        <v>-3.8842640314732568</v>
      </c>
      <c r="Z217" s="267"/>
      <c r="AA217" s="267"/>
    </row>
    <row r="218" spans="2:27" x14ac:dyDescent="0.25">
      <c r="D218"/>
      <c r="F218" t="s">
        <v>614</v>
      </c>
      <c r="G218" t="s">
        <v>267</v>
      </c>
      <c r="H218" s="267"/>
      <c r="I218" s="267"/>
      <c r="J218" s="283">
        <f t="shared" ref="J218:K218" si="428">SUM(J157:J168,J171:J182)</f>
        <v>1.7019365165233478</v>
      </c>
      <c r="K218" s="283">
        <f t="shared" si="428"/>
        <v>1.7019365165233478</v>
      </c>
      <c r="L218" s="283">
        <f t="shared" ref="L218:M218" si="429">SUM(L157:L168,L171:L182)</f>
        <v>1.9417219004236221</v>
      </c>
      <c r="M218" s="283">
        <f t="shared" si="429"/>
        <v>1.9417219004236221</v>
      </c>
      <c r="N218" s="283">
        <f t="shared" ref="N218:P218" si="430">SUM(N157:N168,N171:N182)</f>
        <v>1.2552732468687873</v>
      </c>
      <c r="O218" s="283">
        <f t="shared" si="430"/>
        <v>0.62630044190997236</v>
      </c>
      <c r="P218" s="283">
        <f t="shared" si="430"/>
        <v>0.426988795557245</v>
      </c>
      <c r="Q218" s="283">
        <f t="shared" ref="Q218:S218" si="431">SUM(Q157:Q168,Q171:Q182)</f>
        <v>1.5590045687056049</v>
      </c>
      <c r="R218" s="283">
        <f t="shared" si="431"/>
        <v>-1.1713846886001484</v>
      </c>
      <c r="S218" s="283">
        <f t="shared" si="431"/>
        <v>-0.97201750043234769</v>
      </c>
      <c r="T218" s="283">
        <f t="shared" ref="T218:U218" si="432">SUM(T157:T168,T171:T182)</f>
        <v>-1.1713846886001484</v>
      </c>
      <c r="U218" s="283">
        <f t="shared" si="432"/>
        <v>-1.1713846886001484</v>
      </c>
      <c r="V218" s="283">
        <f t="shared" ref="V218:W218" si="433">SUM(V157:V168,V171:V182)</f>
        <v>-0.97201750043234769</v>
      </c>
      <c r="W218" s="283">
        <f t="shared" si="433"/>
        <v>-0.97201750043234769</v>
      </c>
      <c r="X218" s="283">
        <f t="shared" ref="X218:Y218" si="434">SUM(X157:X168,X171:X182)</f>
        <v>-0.5249930548964733</v>
      </c>
      <c r="Y218" s="283">
        <f t="shared" si="434"/>
        <v>-0.5249930548964733</v>
      </c>
      <c r="Z218" s="267"/>
      <c r="AA218" s="267"/>
    </row>
    <row r="219" spans="2:27" x14ac:dyDescent="0.25">
      <c r="D219"/>
      <c r="F219" s="96" t="s">
        <v>615</v>
      </c>
      <c r="G219" s="96" t="s">
        <v>267</v>
      </c>
      <c r="H219" s="269"/>
      <c r="I219" s="269"/>
      <c r="J219" s="284">
        <f t="shared" ref="J219:K219" si="435">SUM(J187:J198,J201:J212)</f>
        <v>0.23964140375829796</v>
      </c>
      <c r="K219" s="284">
        <f t="shared" si="435"/>
        <v>0.23964140375829796</v>
      </c>
      <c r="L219" s="284">
        <f t="shared" ref="L219:M219" si="436">SUM(L187:L198,L201:L212)</f>
        <v>0.27340441750217515</v>
      </c>
      <c r="M219" s="284">
        <f t="shared" si="436"/>
        <v>0.27340441750217515</v>
      </c>
      <c r="N219" s="284">
        <f t="shared" ref="N219:P219" si="437">SUM(N187:N198,N201:N212)</f>
        <v>0.17893320502249527</v>
      </c>
      <c r="O219" s="284">
        <f t="shared" si="437"/>
        <v>9.2861688090222647E-2</v>
      </c>
      <c r="P219" s="284">
        <f t="shared" si="437"/>
        <v>6.5601945657101715E-2</v>
      </c>
      <c r="Q219" s="284">
        <f t="shared" ref="Q219:S219" si="438">SUM(Q187:Q198,Q201:Q212)</f>
        <v>0.24390708535521802</v>
      </c>
      <c r="R219" s="284">
        <f t="shared" si="438"/>
        <v>-0.16493698113402308</v>
      </c>
      <c r="S219" s="284">
        <f t="shared" si="438"/>
        <v>-0.13779331844062356</v>
      </c>
      <c r="T219" s="284">
        <f t="shared" ref="T219:U219" si="439">SUM(T187:T198,T201:T212)</f>
        <v>-0.16493698113402308</v>
      </c>
      <c r="U219" s="284">
        <f t="shared" si="439"/>
        <v>-0.16493698113402308</v>
      </c>
      <c r="V219" s="284">
        <f t="shared" ref="V219:W219" si="440">SUM(V187:V198,V201:V212)</f>
        <v>-0.13779331844062356</v>
      </c>
      <c r="W219" s="284">
        <f t="shared" si="440"/>
        <v>-0.13779331844062356</v>
      </c>
      <c r="X219" s="284">
        <f t="shared" ref="X219:Y219" si="441">SUM(X187:X198,X201:X212)</f>
        <v>-7.784082215343105E-2</v>
      </c>
      <c r="Y219" s="284">
        <f t="shared" si="441"/>
        <v>-7.784082215343105E-2</v>
      </c>
      <c r="Z219" s="267"/>
      <c r="AA219" s="267"/>
    </row>
    <row r="221" spans="2:27" x14ac:dyDescent="0.25">
      <c r="B221" s="85" t="s">
        <v>229</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25">
      <c r="AA222" s="3"/>
    </row>
    <row r="223" spans="2:27" x14ac:dyDescent="0.25">
      <c r="E223" t="s">
        <v>230</v>
      </c>
      <c r="G223" s="6" t="s">
        <v>54</v>
      </c>
      <c r="H223" s="113">
        <f t="array" ref="H223">SUM(IF(ISERROR(H22:Y219), 1))</f>
        <v>0</v>
      </c>
      <c r="AA223" s="3"/>
    </row>
    <row r="225" spans="2:27" x14ac:dyDescent="0.25">
      <c r="B225" s="85" t="s">
        <v>105</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H295 &amp; IF(H295 = 1, " issue", " issues") &amp;" identified in checks on this sheet"</f>
        <v>0 issues identified in checks on this sheet</v>
      </c>
      <c r="B4" s="61"/>
      <c r="C4" s="61"/>
      <c r="D4" s="61"/>
      <c r="E4" s="61"/>
      <c r="F4" s="61"/>
      <c r="G4" s="61"/>
      <c r="H4" s="62"/>
      <c r="I4" s="62"/>
      <c r="AA4" s="285"/>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640</v>
      </c>
      <c r="E9"/>
    </row>
    <row r="10" spans="1:27" x14ac:dyDescent="0.25">
      <c r="D10" s="86" t="s">
        <v>641</v>
      </c>
      <c r="E10"/>
    </row>
    <row r="11" spans="1:27" x14ac:dyDescent="0.25">
      <c r="D11" s="86" t="s">
        <v>642</v>
      </c>
      <c r="E11"/>
    </row>
    <row r="12" spans="1:27" x14ac:dyDescent="0.25">
      <c r="D12" s="86" t="s">
        <v>643</v>
      </c>
      <c r="E12"/>
    </row>
    <row r="13" spans="1:27" x14ac:dyDescent="0.25">
      <c r="D13" s="86" t="s">
        <v>644</v>
      </c>
      <c r="E13"/>
    </row>
    <row r="14" spans="1:27" x14ac:dyDescent="0.25">
      <c r="D14" s="86" t="s">
        <v>645</v>
      </c>
      <c r="E14"/>
    </row>
    <row r="15" spans="1:27" x14ac:dyDescent="0.25">
      <c r="D15" s="86" t="s">
        <v>646</v>
      </c>
    </row>
    <row r="17" spans="2:27" x14ac:dyDescent="0.25">
      <c r="B17" s="85" t="s">
        <v>647</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25">
      <c r="D18"/>
      <c r="E18"/>
    </row>
    <row r="19" spans="2:27" x14ac:dyDescent="0.2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25">
      <c r="E21" s="75" t="s">
        <v>648</v>
      </c>
      <c r="F21" s="2"/>
    </row>
    <row r="22" spans="2:27" x14ac:dyDescent="0.25">
      <c r="D22"/>
      <c r="E22" s="86" t="s">
        <v>649</v>
      </c>
      <c r="F22" s="2"/>
    </row>
    <row r="23" spans="2:27" x14ac:dyDescent="0.25">
      <c r="C23" s="105"/>
      <c r="F23" s="145" t="s">
        <v>187</v>
      </c>
      <c r="G23" s="145" t="s">
        <v>165</v>
      </c>
      <c r="H23" s="286">
        <f>'System peak demand'!H226</f>
        <v>0.19989489363654123</v>
      </c>
    </row>
    <row r="24" spans="2:27" x14ac:dyDescent="0.25">
      <c r="C24" s="105"/>
      <c r="F24" t="s">
        <v>189</v>
      </c>
      <c r="G24" t="s">
        <v>165</v>
      </c>
      <c r="H24" s="155">
        <f>'System peak demand'!H226</f>
        <v>0.19989489363654123</v>
      </c>
    </row>
    <row r="25" spans="2:27" x14ac:dyDescent="0.25">
      <c r="C25" s="105"/>
      <c r="F25" t="s">
        <v>190</v>
      </c>
      <c r="G25" t="s">
        <v>165</v>
      </c>
      <c r="H25" s="155">
        <f>'System peak demand'!H227</f>
        <v>0.5539573104686546</v>
      </c>
    </row>
    <row r="26" spans="2:27" x14ac:dyDescent="0.25">
      <c r="C26" s="105"/>
      <c r="F26" t="s">
        <v>191</v>
      </c>
      <c r="G26" t="s">
        <v>165</v>
      </c>
      <c r="H26" s="155">
        <f>'System peak demand'!H228</f>
        <v>0.5539573104686546</v>
      </c>
    </row>
    <row r="27" spans="2:27" x14ac:dyDescent="0.25">
      <c r="C27" s="105"/>
      <c r="F27" t="s">
        <v>192</v>
      </c>
      <c r="G27" t="s">
        <v>165</v>
      </c>
      <c r="H27" s="155">
        <f>'System peak demand'!H229</f>
        <v>0.89642198676926244</v>
      </c>
    </row>
    <row r="28" spans="2:27" x14ac:dyDescent="0.25">
      <c r="C28" s="105"/>
      <c r="F28" t="s">
        <v>193</v>
      </c>
      <c r="G28" t="s">
        <v>165</v>
      </c>
      <c r="H28" s="155">
        <f>'System peak demand'!H230</f>
        <v>0.89642198676926244</v>
      </c>
    </row>
    <row r="29" spans="2:27" x14ac:dyDescent="0.25">
      <c r="C29" s="105"/>
      <c r="F29" t="s">
        <v>194</v>
      </c>
      <c r="G29" t="s">
        <v>165</v>
      </c>
      <c r="H29" s="155">
        <f>'System peak demand'!H231</f>
        <v>0.5539573104686546</v>
      </c>
    </row>
    <row r="30" spans="2:27" x14ac:dyDescent="0.25">
      <c r="C30" s="105"/>
      <c r="F30" t="s">
        <v>195</v>
      </c>
      <c r="G30" t="s">
        <v>165</v>
      </c>
      <c r="H30" s="155">
        <f>'System peak demand'!H232</f>
        <v>1.5412054622708116</v>
      </c>
    </row>
    <row r="31" spans="2:27" x14ac:dyDescent="0.25">
      <c r="C31" s="105"/>
      <c r="F31" t="s">
        <v>196</v>
      </c>
      <c r="G31" t="s">
        <v>165</v>
      </c>
      <c r="H31" s="155">
        <f>'System peak demand'!H233</f>
        <v>1.5412054622708116</v>
      </c>
    </row>
    <row r="32" spans="2:27" x14ac:dyDescent="0.25">
      <c r="C32" s="105"/>
      <c r="F32" t="s">
        <v>197</v>
      </c>
      <c r="G32" t="s">
        <v>165</v>
      </c>
      <c r="H32" s="155">
        <f>'System peak demand'!H234</f>
        <v>0.78978611379558394</v>
      </c>
    </row>
    <row r="33" spans="3:8" x14ac:dyDescent="0.25">
      <c r="C33" s="105"/>
      <c r="F33" t="s">
        <v>332</v>
      </c>
      <c r="G33" t="s">
        <v>165</v>
      </c>
      <c r="H33" s="100"/>
    </row>
    <row r="34" spans="3:8" x14ac:dyDescent="0.25">
      <c r="C34" s="105"/>
      <c r="F34" s="96" t="s">
        <v>333</v>
      </c>
      <c r="G34" s="96" t="s">
        <v>165</v>
      </c>
      <c r="H34" s="102"/>
    </row>
    <row r="35" spans="3:8" x14ac:dyDescent="0.25">
      <c r="C35" s="105"/>
      <c r="F35" s="2"/>
    </row>
    <row r="36" spans="3:8" x14ac:dyDescent="0.25">
      <c r="E36" s="105" t="s">
        <v>350</v>
      </c>
      <c r="F36" s="2"/>
    </row>
    <row r="37" spans="3:8" x14ac:dyDescent="0.25">
      <c r="C37" s="105"/>
      <c r="F37" s="95" t="s">
        <v>187</v>
      </c>
      <c r="G37" s="98" t="s">
        <v>281</v>
      </c>
      <c r="H37" s="170">
        <f t="array" ref="H37:H46">TRANSPOSE('Load &amp; loss characteristics'!J29:S29)</f>
        <v>1</v>
      </c>
    </row>
    <row r="38" spans="3:8" x14ac:dyDescent="0.25">
      <c r="C38" s="105"/>
      <c r="F38" t="s">
        <v>189</v>
      </c>
      <c r="G38" s="94" t="s">
        <v>281</v>
      </c>
      <c r="H38" s="167">
        <v>1</v>
      </c>
    </row>
    <row r="39" spans="3:8" x14ac:dyDescent="0.25">
      <c r="C39" s="105"/>
      <c r="F39" t="s">
        <v>190</v>
      </c>
      <c r="G39" s="94" t="s">
        <v>281</v>
      </c>
      <c r="H39" s="167">
        <v>1.0049999999999999</v>
      </c>
    </row>
    <row r="40" spans="3:8" x14ac:dyDescent="0.25">
      <c r="C40" s="105"/>
      <c r="F40" t="s">
        <v>191</v>
      </c>
      <c r="G40" s="94" t="s">
        <v>281</v>
      </c>
      <c r="H40" s="167">
        <v>1.008</v>
      </c>
    </row>
    <row r="41" spans="3:8" x14ac:dyDescent="0.25">
      <c r="C41" s="105"/>
      <c r="F41" t="s">
        <v>192</v>
      </c>
      <c r="G41" s="94" t="s">
        <v>281</v>
      </c>
      <c r="H41" s="167">
        <v>1.01</v>
      </c>
    </row>
    <row r="42" spans="3:8" x14ac:dyDescent="0.25">
      <c r="C42" s="105"/>
      <c r="F42" t="s">
        <v>193</v>
      </c>
      <c r="G42" s="94" t="s">
        <v>281</v>
      </c>
      <c r="H42" s="167">
        <v>1.0149999999999999</v>
      </c>
    </row>
    <row r="43" spans="3:8" x14ac:dyDescent="0.25">
      <c r="C43" s="105"/>
      <c r="F43" t="s">
        <v>194</v>
      </c>
      <c r="G43" s="94" t="s">
        <v>281</v>
      </c>
      <c r="H43" s="167">
        <v>1.0149999999999999</v>
      </c>
    </row>
    <row r="44" spans="3:8" x14ac:dyDescent="0.25">
      <c r="C44" s="105"/>
      <c r="F44" t="s">
        <v>195</v>
      </c>
      <c r="G44" s="94" t="s">
        <v>281</v>
      </c>
      <c r="H44" s="167">
        <v>1.024</v>
      </c>
    </row>
    <row r="45" spans="3:8" x14ac:dyDescent="0.25">
      <c r="C45" s="105"/>
      <c r="F45" t="s">
        <v>196</v>
      </c>
      <c r="G45" s="94" t="s">
        <v>281</v>
      </c>
      <c r="H45" s="167">
        <v>1.04</v>
      </c>
    </row>
    <row r="46" spans="3:8" x14ac:dyDescent="0.25">
      <c r="C46" s="105"/>
      <c r="F46" t="s">
        <v>197</v>
      </c>
      <c r="G46" s="94" t="s">
        <v>281</v>
      </c>
      <c r="H46" s="167">
        <v>1.1020000000000001</v>
      </c>
    </row>
    <row r="47" spans="3:8" x14ac:dyDescent="0.25">
      <c r="C47" s="105"/>
      <c r="F47" t="s">
        <v>332</v>
      </c>
      <c r="G47" s="94" t="s">
        <v>281</v>
      </c>
      <c r="H47" s="119"/>
    </row>
    <row r="48" spans="3:8" x14ac:dyDescent="0.25">
      <c r="C48" s="105"/>
      <c r="F48" s="96" t="s">
        <v>333</v>
      </c>
      <c r="G48" s="101" t="s">
        <v>281</v>
      </c>
      <c r="H48" s="121"/>
    </row>
    <row r="49" spans="3:8" x14ac:dyDescent="0.25">
      <c r="C49" s="105"/>
      <c r="F49" s="2"/>
      <c r="H49" s="106"/>
    </row>
    <row r="50" spans="3:8" x14ac:dyDescent="0.25">
      <c r="C50" s="105"/>
      <c r="E50" s="105" t="s">
        <v>539</v>
      </c>
      <c r="H50" s="106"/>
    </row>
    <row r="51" spans="3:8" x14ac:dyDescent="0.25">
      <c r="C51" s="105"/>
      <c r="E51" s="86"/>
      <c r="F51" s="95" t="s">
        <v>187</v>
      </c>
      <c r="G51" s="95" t="s">
        <v>540</v>
      </c>
      <c r="H51" s="117"/>
    </row>
    <row r="52" spans="3:8" x14ac:dyDescent="0.25">
      <c r="C52" s="105"/>
      <c r="E52" s="86"/>
      <c r="F52" t="s">
        <v>189</v>
      </c>
      <c r="G52" t="s">
        <v>540</v>
      </c>
      <c r="H52" s="119"/>
    </row>
    <row r="53" spans="3:8" x14ac:dyDescent="0.25">
      <c r="C53" s="105"/>
      <c r="E53" s="86"/>
      <c r="F53" t="s">
        <v>190</v>
      </c>
      <c r="G53" t="s">
        <v>540</v>
      </c>
      <c r="H53" s="167">
        <f t="array" ref="H53:H60">TRANSPOSE('Unit costs'!L114:S114)</f>
        <v>8.097986878898574</v>
      </c>
    </row>
    <row r="54" spans="3:8" x14ac:dyDescent="0.25">
      <c r="C54" s="105"/>
      <c r="E54" s="86"/>
      <c r="F54" t="s">
        <v>191</v>
      </c>
      <c r="G54" t="s">
        <v>540</v>
      </c>
      <c r="H54" s="167">
        <v>5.030988760542157</v>
      </c>
    </row>
    <row r="55" spans="3:8" x14ac:dyDescent="0.25">
      <c r="C55" s="105"/>
      <c r="E55" s="86"/>
      <c r="F55" t="s">
        <v>192</v>
      </c>
      <c r="G55" t="s">
        <v>540</v>
      </c>
      <c r="H55" s="167">
        <v>15.983566151399991</v>
      </c>
    </row>
    <row r="56" spans="3:8" x14ac:dyDescent="0.25">
      <c r="C56" s="105"/>
      <c r="E56" s="86"/>
      <c r="F56" t="s">
        <v>193</v>
      </c>
      <c r="G56" t="s">
        <v>540</v>
      </c>
      <c r="H56" s="167">
        <v>6.1122515865730254</v>
      </c>
    </row>
    <row r="57" spans="3:8" x14ac:dyDescent="0.25">
      <c r="C57" s="105"/>
      <c r="E57" s="86"/>
      <c r="F57" t="s">
        <v>194</v>
      </c>
      <c r="G57" t="s">
        <v>540</v>
      </c>
      <c r="H57" s="167">
        <v>0</v>
      </c>
    </row>
    <row r="58" spans="3:8" x14ac:dyDescent="0.25">
      <c r="C58" s="105"/>
      <c r="E58" s="86"/>
      <c r="F58" t="s">
        <v>195</v>
      </c>
      <c r="G58" t="s">
        <v>540</v>
      </c>
      <c r="H58" s="167">
        <v>28.539503950944976</v>
      </c>
    </row>
    <row r="59" spans="3:8" x14ac:dyDescent="0.25">
      <c r="C59" s="105"/>
      <c r="E59" s="86"/>
      <c r="F59" t="s">
        <v>196</v>
      </c>
      <c r="G59" t="s">
        <v>540</v>
      </c>
      <c r="H59" s="167">
        <v>8.8156537808260858</v>
      </c>
    </row>
    <row r="60" spans="3:8" x14ac:dyDescent="0.25">
      <c r="C60" s="105"/>
      <c r="E60" s="86"/>
      <c r="F60" t="s">
        <v>197</v>
      </c>
      <c r="G60" t="s">
        <v>540</v>
      </c>
      <c r="H60" s="167">
        <v>17.46010919849989</v>
      </c>
    </row>
    <row r="61" spans="3:8" x14ac:dyDescent="0.25">
      <c r="C61" s="105"/>
      <c r="E61" s="86"/>
      <c r="F61" t="s">
        <v>332</v>
      </c>
      <c r="G61" t="s">
        <v>540</v>
      </c>
      <c r="H61" s="119"/>
    </row>
    <row r="62" spans="3:8" x14ac:dyDescent="0.25">
      <c r="C62" s="105"/>
      <c r="E62" s="86"/>
      <c r="F62" s="96" t="s">
        <v>333</v>
      </c>
      <c r="G62" s="96" t="s">
        <v>540</v>
      </c>
      <c r="H62" s="121"/>
    </row>
    <row r="63" spans="3:8" x14ac:dyDescent="0.25">
      <c r="C63" s="105"/>
      <c r="D63"/>
      <c r="E63" s="86"/>
      <c r="H63" s="106"/>
    </row>
    <row r="64" spans="3:8" x14ac:dyDescent="0.25">
      <c r="C64" s="105"/>
      <c r="E64" s="105" t="s">
        <v>558</v>
      </c>
      <c r="H64" s="106"/>
    </row>
    <row r="65" spans="3:25" x14ac:dyDescent="0.25">
      <c r="C65" s="105"/>
      <c r="F65" s="95" t="s">
        <v>187</v>
      </c>
      <c r="G65" s="95" t="s">
        <v>540</v>
      </c>
      <c r="H65" s="170">
        <f t="array" ref="H65:H74">TRANSPOSE('Unit costs'!J115:S115)</f>
        <v>6.1985244358900449</v>
      </c>
    </row>
    <row r="66" spans="3:25" x14ac:dyDescent="0.25">
      <c r="C66" s="105"/>
      <c r="F66" t="s">
        <v>189</v>
      </c>
      <c r="G66" t="s">
        <v>540</v>
      </c>
      <c r="H66" s="167">
        <v>0</v>
      </c>
    </row>
    <row r="67" spans="3:25" x14ac:dyDescent="0.25">
      <c r="C67" s="105"/>
      <c r="F67" t="s">
        <v>190</v>
      </c>
      <c r="G67" t="s">
        <v>540</v>
      </c>
      <c r="H67" s="167">
        <v>2.6659669690154315</v>
      </c>
    </row>
    <row r="68" spans="3:25" x14ac:dyDescent="0.25">
      <c r="C68" s="105"/>
      <c r="F68" t="s">
        <v>191</v>
      </c>
      <c r="G68" t="s">
        <v>540</v>
      </c>
      <c r="H68" s="167">
        <v>1.6562696454896617</v>
      </c>
    </row>
    <row r="69" spans="3:25" x14ac:dyDescent="0.25">
      <c r="C69" s="105"/>
      <c r="F69" t="s">
        <v>192</v>
      </c>
      <c r="G69" t="s">
        <v>540</v>
      </c>
      <c r="H69" s="167">
        <v>5.2620064769111092</v>
      </c>
    </row>
    <row r="70" spans="3:25" x14ac:dyDescent="0.25">
      <c r="C70" s="105"/>
      <c r="F70" t="s">
        <v>193</v>
      </c>
      <c r="G70" t="s">
        <v>540</v>
      </c>
      <c r="H70" s="167">
        <v>2.0122360136908717</v>
      </c>
    </row>
    <row r="71" spans="3:25" x14ac:dyDescent="0.25">
      <c r="C71" s="105"/>
      <c r="F71" t="s">
        <v>194</v>
      </c>
      <c r="G71" t="s">
        <v>540</v>
      </c>
      <c r="H71" s="167">
        <v>0</v>
      </c>
    </row>
    <row r="72" spans="3:25" x14ac:dyDescent="0.25">
      <c r="C72" s="105"/>
      <c r="F72" t="s">
        <v>195</v>
      </c>
      <c r="G72" t="s">
        <v>540</v>
      </c>
      <c r="H72" s="167">
        <v>9.3955912726365476</v>
      </c>
    </row>
    <row r="73" spans="3:25" x14ac:dyDescent="0.25">
      <c r="C73" s="105"/>
      <c r="F73" t="s">
        <v>196</v>
      </c>
      <c r="G73" t="s">
        <v>540</v>
      </c>
      <c r="H73" s="167">
        <v>2.9022326340389109</v>
      </c>
    </row>
    <row r="74" spans="3:25" x14ac:dyDescent="0.25">
      <c r="C74" s="105"/>
      <c r="F74" t="s">
        <v>197</v>
      </c>
      <c r="G74" t="s">
        <v>540</v>
      </c>
      <c r="H74" s="167">
        <v>5.7481044480198404</v>
      </c>
    </row>
    <row r="75" spans="3:25" x14ac:dyDescent="0.25">
      <c r="C75" s="105"/>
      <c r="F75" t="s">
        <v>332</v>
      </c>
      <c r="G75" t="s">
        <v>540</v>
      </c>
      <c r="H75" s="119"/>
    </row>
    <row r="76" spans="3:25" x14ac:dyDescent="0.25">
      <c r="C76" s="105"/>
      <c r="F76" s="96" t="s">
        <v>333</v>
      </c>
      <c r="G76" s="96" t="s">
        <v>540</v>
      </c>
      <c r="H76" s="121"/>
    </row>
    <row r="77" spans="3:25" x14ac:dyDescent="0.25">
      <c r="C77" s="105"/>
      <c r="F77" s="2"/>
    </row>
    <row r="78" spans="3:25" x14ac:dyDescent="0.25">
      <c r="E78" s="75" t="s">
        <v>364</v>
      </c>
      <c r="F78" s="2"/>
    </row>
    <row r="79" spans="3:25" x14ac:dyDescent="0.25">
      <c r="E79" s="86" t="s">
        <v>357</v>
      </c>
    </row>
    <row r="80" spans="3:25" x14ac:dyDescent="0.25">
      <c r="C80" s="105"/>
      <c r="F80" s="95" t="s">
        <v>187</v>
      </c>
      <c r="G80" s="98" t="s">
        <v>281</v>
      </c>
      <c r="H80" s="287"/>
      <c r="I80" s="287"/>
      <c r="J80" s="170">
        <f t="array" ref="J80:Y89">TRANSPOSE('Load &amp; loss characteristics'!J145:S160)</f>
        <v>1.1020000000000001</v>
      </c>
      <c r="K80" s="170">
        <v>1.1020000000000001</v>
      </c>
      <c r="L80" s="170">
        <v>1.1020000000000001</v>
      </c>
      <c r="M80" s="170">
        <v>1.1020000000000001</v>
      </c>
      <c r="N80" s="170">
        <v>1.1020000000000001</v>
      </c>
      <c r="O80" s="170">
        <v>1.04</v>
      </c>
      <c r="P80" s="170">
        <v>1.024</v>
      </c>
      <c r="Q80" s="170">
        <v>1.1020000000000001</v>
      </c>
      <c r="R80" s="170">
        <v>-1.1020000000000001</v>
      </c>
      <c r="S80" s="170">
        <v>-1.04</v>
      </c>
      <c r="T80" s="170">
        <v>-1.1020000000000001</v>
      </c>
      <c r="U80" s="170">
        <v>-1.1020000000000001</v>
      </c>
      <c r="V80" s="170">
        <v>-1.04</v>
      </c>
      <c r="W80" s="170">
        <v>-1.04</v>
      </c>
      <c r="X80" s="170">
        <v>-1.024</v>
      </c>
      <c r="Y80" s="170">
        <v>-1.024</v>
      </c>
    </row>
    <row r="81" spans="3:42" x14ac:dyDescent="0.25">
      <c r="C81" s="105"/>
      <c r="F81" t="s">
        <v>189</v>
      </c>
      <c r="G81" s="94" t="s">
        <v>281</v>
      </c>
      <c r="H81" s="288"/>
      <c r="I81" s="288"/>
      <c r="J81" s="167">
        <v>1.1020000000000001</v>
      </c>
      <c r="K81" s="167">
        <v>1.1020000000000001</v>
      </c>
      <c r="L81" s="167">
        <v>1.1020000000000001</v>
      </c>
      <c r="M81" s="167">
        <v>1.1020000000000001</v>
      </c>
      <c r="N81" s="167">
        <v>1.1020000000000001</v>
      </c>
      <c r="O81" s="167">
        <v>1.04</v>
      </c>
      <c r="P81" s="167">
        <v>1.024</v>
      </c>
      <c r="Q81" s="167">
        <v>1.1020000000000001</v>
      </c>
      <c r="R81" s="167">
        <v>-1.1020000000000001</v>
      </c>
      <c r="S81" s="167">
        <v>-1.04</v>
      </c>
      <c r="T81" s="167">
        <v>-1.1020000000000001</v>
      </c>
      <c r="U81" s="167">
        <v>-1.1020000000000001</v>
      </c>
      <c r="V81" s="167">
        <v>-1.04</v>
      </c>
      <c r="W81" s="167">
        <v>-1.04</v>
      </c>
      <c r="X81" s="167">
        <v>-1.024</v>
      </c>
      <c r="Y81" s="167">
        <v>-1.024</v>
      </c>
    </row>
    <row r="82" spans="3:42" x14ac:dyDescent="0.25">
      <c r="C82" s="105"/>
      <c r="F82" t="s">
        <v>190</v>
      </c>
      <c r="G82" s="94" t="s">
        <v>281</v>
      </c>
      <c r="H82" s="288"/>
      <c r="I82" s="288"/>
      <c r="J82" s="167">
        <v>1.1020000000000001</v>
      </c>
      <c r="K82" s="167">
        <v>1.1020000000000001</v>
      </c>
      <c r="L82" s="167">
        <v>1.1020000000000001</v>
      </c>
      <c r="M82" s="167">
        <v>1.1020000000000001</v>
      </c>
      <c r="N82" s="167">
        <v>1.1020000000000001</v>
      </c>
      <c r="O82" s="167">
        <v>1.04</v>
      </c>
      <c r="P82" s="167">
        <v>1.024</v>
      </c>
      <c r="Q82" s="167">
        <v>1.1020000000000001</v>
      </c>
      <c r="R82" s="167">
        <v>-1.1020000000000001</v>
      </c>
      <c r="S82" s="167">
        <v>-1.04</v>
      </c>
      <c r="T82" s="167">
        <v>-1.1020000000000001</v>
      </c>
      <c r="U82" s="167">
        <v>-1.1020000000000001</v>
      </c>
      <c r="V82" s="167">
        <v>-1.04</v>
      </c>
      <c r="W82" s="167">
        <v>-1.04</v>
      </c>
      <c r="X82" s="167">
        <v>-1.024</v>
      </c>
      <c r="Y82" s="167">
        <v>-1.024</v>
      </c>
    </row>
    <row r="83" spans="3:42" x14ac:dyDescent="0.25">
      <c r="C83" s="105"/>
      <c r="F83" t="s">
        <v>191</v>
      </c>
      <c r="G83" s="94" t="s">
        <v>281</v>
      </c>
      <c r="H83" s="288"/>
      <c r="I83" s="288"/>
      <c r="J83" s="167">
        <v>1.1020000000000001</v>
      </c>
      <c r="K83" s="167">
        <v>1.1020000000000001</v>
      </c>
      <c r="L83" s="167">
        <v>1.1020000000000001</v>
      </c>
      <c r="M83" s="167">
        <v>1.1020000000000001</v>
      </c>
      <c r="N83" s="167">
        <v>1.1020000000000001</v>
      </c>
      <c r="O83" s="167">
        <v>1.04</v>
      </c>
      <c r="P83" s="167">
        <v>1.024</v>
      </c>
      <c r="Q83" s="167">
        <v>1.1020000000000001</v>
      </c>
      <c r="R83" s="167">
        <v>-1.1020000000000001</v>
      </c>
      <c r="S83" s="167">
        <v>-1.04</v>
      </c>
      <c r="T83" s="167">
        <v>-1.1020000000000001</v>
      </c>
      <c r="U83" s="167">
        <v>-1.1020000000000001</v>
      </c>
      <c r="V83" s="167">
        <v>-1.04</v>
      </c>
      <c r="W83" s="167">
        <v>-1.04</v>
      </c>
      <c r="X83" s="167">
        <v>-1.024</v>
      </c>
      <c r="Y83" s="167">
        <v>-1.024</v>
      </c>
    </row>
    <row r="84" spans="3:42" x14ac:dyDescent="0.25">
      <c r="C84" s="105"/>
      <c r="F84" t="s">
        <v>192</v>
      </c>
      <c r="G84" s="94" t="s">
        <v>281</v>
      </c>
      <c r="H84" s="288"/>
      <c r="I84" s="288"/>
      <c r="J84" s="167">
        <v>1.1020000000000001</v>
      </c>
      <c r="K84" s="167">
        <v>1.1020000000000001</v>
      </c>
      <c r="L84" s="167">
        <v>1.1020000000000001</v>
      </c>
      <c r="M84" s="167">
        <v>1.1020000000000001</v>
      </c>
      <c r="N84" s="167">
        <v>1.1020000000000001</v>
      </c>
      <c r="O84" s="167">
        <v>1.04</v>
      </c>
      <c r="P84" s="167">
        <v>1.024</v>
      </c>
      <c r="Q84" s="167">
        <v>1.1020000000000001</v>
      </c>
      <c r="R84" s="167">
        <v>-1.1020000000000001</v>
      </c>
      <c r="S84" s="167">
        <v>-1.04</v>
      </c>
      <c r="T84" s="167">
        <v>-1.1020000000000001</v>
      </c>
      <c r="U84" s="167">
        <v>-1.1020000000000001</v>
      </c>
      <c r="V84" s="167">
        <v>-1.04</v>
      </c>
      <c r="W84" s="167">
        <v>-1.04</v>
      </c>
      <c r="X84" s="167">
        <v>-1.024</v>
      </c>
      <c r="Y84" s="167">
        <v>-1.024</v>
      </c>
    </row>
    <row r="85" spans="3:42" x14ac:dyDescent="0.25">
      <c r="C85" s="105"/>
      <c r="F85" t="s">
        <v>193</v>
      </c>
      <c r="G85" s="94" t="s">
        <v>281</v>
      </c>
      <c r="H85" s="288"/>
      <c r="I85" s="288"/>
      <c r="J85" s="167">
        <v>1.1020000000000001</v>
      </c>
      <c r="K85" s="167">
        <v>1.1020000000000001</v>
      </c>
      <c r="L85" s="167">
        <v>1.1020000000000001</v>
      </c>
      <c r="M85" s="167">
        <v>1.1020000000000001</v>
      </c>
      <c r="N85" s="167">
        <v>1.1020000000000001</v>
      </c>
      <c r="O85" s="167">
        <v>1.04</v>
      </c>
      <c r="P85" s="167">
        <v>1.024</v>
      </c>
      <c r="Q85" s="167">
        <v>1.1020000000000001</v>
      </c>
      <c r="R85" s="167">
        <v>-1.1020000000000001</v>
      </c>
      <c r="S85" s="167">
        <v>-1.04</v>
      </c>
      <c r="T85" s="167">
        <v>-1.1020000000000001</v>
      </c>
      <c r="U85" s="167">
        <v>-1.1020000000000001</v>
      </c>
      <c r="V85" s="167">
        <v>-1.04</v>
      </c>
      <c r="W85" s="167">
        <v>-1.04</v>
      </c>
      <c r="X85" s="167">
        <v>-1.024</v>
      </c>
      <c r="Y85" s="167">
        <v>-1.024</v>
      </c>
    </row>
    <row r="86" spans="3:42" x14ac:dyDescent="0.25">
      <c r="C86" s="105"/>
      <c r="F86" t="s">
        <v>194</v>
      </c>
      <c r="G86" s="94" t="s">
        <v>281</v>
      </c>
      <c r="H86" s="288"/>
      <c r="I86" s="288"/>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row>
    <row r="87" spans="3:42" x14ac:dyDescent="0.25">
      <c r="C87" s="105"/>
      <c r="F87" t="s">
        <v>195</v>
      </c>
      <c r="G87" s="94" t="s">
        <v>281</v>
      </c>
      <c r="H87" s="288"/>
      <c r="I87" s="288"/>
      <c r="J87" s="167">
        <v>1.1020000000000001</v>
      </c>
      <c r="K87" s="167">
        <v>1.1020000000000001</v>
      </c>
      <c r="L87" s="167">
        <v>1.1020000000000001</v>
      </c>
      <c r="M87" s="167">
        <v>1.1020000000000001</v>
      </c>
      <c r="N87" s="167">
        <v>1.1020000000000001</v>
      </c>
      <c r="O87" s="167">
        <v>1.04</v>
      </c>
      <c r="P87" s="167">
        <v>1.024</v>
      </c>
      <c r="Q87" s="167">
        <v>1.1020000000000001</v>
      </c>
      <c r="R87" s="167">
        <v>-1.1020000000000001</v>
      </c>
      <c r="S87" s="167">
        <v>-1.04</v>
      </c>
      <c r="T87" s="167">
        <v>-1.1020000000000001</v>
      </c>
      <c r="U87" s="167">
        <v>-1.1020000000000001</v>
      </c>
      <c r="V87" s="167">
        <v>-1.04</v>
      </c>
      <c r="W87" s="167">
        <v>-1.04</v>
      </c>
      <c r="X87" s="167">
        <v>0</v>
      </c>
      <c r="Y87" s="167">
        <v>0</v>
      </c>
    </row>
    <row r="88" spans="3:42" x14ac:dyDescent="0.25">
      <c r="C88" s="105"/>
      <c r="F88" t="s">
        <v>196</v>
      </c>
      <c r="G88" s="94" t="s">
        <v>281</v>
      </c>
      <c r="H88" s="288"/>
      <c r="I88" s="288"/>
      <c r="J88" s="167">
        <v>1.1020000000000001</v>
      </c>
      <c r="K88" s="167">
        <v>1.1020000000000001</v>
      </c>
      <c r="L88" s="167">
        <v>1.1020000000000001</v>
      </c>
      <c r="M88" s="167">
        <v>1.1020000000000001</v>
      </c>
      <c r="N88" s="167">
        <v>1.1020000000000001</v>
      </c>
      <c r="O88" s="167">
        <v>1.04</v>
      </c>
      <c r="P88" s="167">
        <v>0</v>
      </c>
      <c r="Q88" s="167">
        <v>1.1020000000000001</v>
      </c>
      <c r="R88" s="167">
        <v>-1.1020000000000001</v>
      </c>
      <c r="S88" s="167">
        <v>0</v>
      </c>
      <c r="T88" s="167">
        <v>-1.1020000000000001</v>
      </c>
      <c r="U88" s="167">
        <v>-1.1020000000000001</v>
      </c>
      <c r="V88" s="167">
        <v>0</v>
      </c>
      <c r="W88" s="167">
        <v>0</v>
      </c>
      <c r="X88" s="167">
        <v>0</v>
      </c>
      <c r="Y88" s="167">
        <v>0</v>
      </c>
    </row>
    <row r="89" spans="3:42" x14ac:dyDescent="0.25">
      <c r="C89" s="105"/>
      <c r="F89" t="s">
        <v>197</v>
      </c>
      <c r="G89" s="94" t="s">
        <v>281</v>
      </c>
      <c r="H89" s="288"/>
      <c r="I89" s="288"/>
      <c r="J89" s="167">
        <v>1.1020000000000001</v>
      </c>
      <c r="K89" s="167">
        <v>1.1020000000000001</v>
      </c>
      <c r="L89" s="167">
        <v>1.1020000000000001</v>
      </c>
      <c r="M89" s="167">
        <v>1.1020000000000001</v>
      </c>
      <c r="N89" s="167">
        <v>1.1020000000000001</v>
      </c>
      <c r="O89" s="167">
        <v>0</v>
      </c>
      <c r="P89" s="167">
        <v>0</v>
      </c>
      <c r="Q89" s="167">
        <v>1.1020000000000001</v>
      </c>
      <c r="R89" s="167">
        <v>0</v>
      </c>
      <c r="S89" s="167">
        <v>0</v>
      </c>
      <c r="T89" s="167">
        <v>0</v>
      </c>
      <c r="U89" s="167">
        <v>0</v>
      </c>
      <c r="V89" s="167">
        <v>0</v>
      </c>
      <c r="W89" s="167">
        <v>0</v>
      </c>
      <c r="X89" s="167">
        <v>0</v>
      </c>
      <c r="Y89" s="167">
        <v>0</v>
      </c>
    </row>
    <row r="90" spans="3:42" x14ac:dyDescent="0.25">
      <c r="C90" s="105"/>
      <c r="F90" t="s">
        <v>332</v>
      </c>
      <c r="G90" s="94" t="s">
        <v>281</v>
      </c>
      <c r="J90" s="119"/>
      <c r="K90" s="119"/>
      <c r="L90" s="119"/>
      <c r="M90" s="119"/>
      <c r="N90" s="119"/>
      <c r="O90" s="119"/>
      <c r="P90" s="119"/>
      <c r="Q90" s="119"/>
      <c r="R90" s="119"/>
      <c r="S90" s="119"/>
      <c r="T90" s="119"/>
      <c r="U90" s="119"/>
      <c r="V90" s="119"/>
      <c r="W90" s="119"/>
      <c r="X90" s="119"/>
      <c r="Y90" s="119"/>
    </row>
    <row r="91" spans="3:42" x14ac:dyDescent="0.25">
      <c r="C91" s="105"/>
      <c r="F91" s="96" t="s">
        <v>333</v>
      </c>
      <c r="G91" s="101" t="s">
        <v>281</v>
      </c>
      <c r="H91" s="96"/>
      <c r="I91" s="96"/>
      <c r="J91" s="121"/>
      <c r="K91" s="121"/>
      <c r="L91" s="121"/>
      <c r="M91" s="121"/>
      <c r="N91" s="121"/>
      <c r="O91" s="121"/>
      <c r="P91" s="121"/>
      <c r="Q91" s="121"/>
      <c r="R91" s="121"/>
      <c r="S91" s="121"/>
      <c r="T91" s="121"/>
      <c r="U91" s="121"/>
      <c r="V91" s="121"/>
      <c r="W91" s="121"/>
      <c r="X91" s="121"/>
      <c r="Y91" s="121"/>
    </row>
    <row r="92" spans="3:42" x14ac:dyDescent="0.25">
      <c r="C92" s="105"/>
      <c r="F92" s="2"/>
    </row>
    <row r="93" spans="3:42" x14ac:dyDescent="0.25">
      <c r="D93"/>
      <c r="E93" s="75" t="s">
        <v>119</v>
      </c>
      <c r="H93" s="62"/>
      <c r="J93" s="97"/>
      <c r="L93" s="97"/>
      <c r="AP93" s="3"/>
    </row>
    <row r="94" spans="3:42" x14ac:dyDescent="0.25">
      <c r="C94" s="75"/>
      <c r="D94"/>
      <c r="E94"/>
      <c r="F94" s="95" t="s">
        <v>189</v>
      </c>
      <c r="G94" s="95" t="s">
        <v>165</v>
      </c>
      <c r="H94" s="175"/>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25">
      <c r="C95" s="75"/>
      <c r="D95"/>
      <c r="E95"/>
      <c r="F95" t="s">
        <v>190</v>
      </c>
      <c r="G95" t="s">
        <v>165</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25">
      <c r="C96" s="75"/>
      <c r="D96"/>
      <c r="E96"/>
      <c r="F96" t="s">
        <v>191</v>
      </c>
      <c r="G96" t="s">
        <v>165</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25">
      <c r="C97" s="75"/>
      <c r="D97"/>
      <c r="E97"/>
      <c r="F97" t="s">
        <v>192</v>
      </c>
      <c r="G97" t="s">
        <v>165</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25">
      <c r="C98" s="75"/>
      <c r="D98"/>
      <c r="E98"/>
      <c r="F98" t="s">
        <v>193</v>
      </c>
      <c r="G98" t="s">
        <v>165</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25">
      <c r="C99" s="75"/>
      <c r="D99"/>
      <c r="E99"/>
      <c r="F99" t="s">
        <v>194</v>
      </c>
      <c r="G99" t="s">
        <v>165</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25">
      <c r="C100" s="75"/>
      <c r="D100"/>
      <c r="E100"/>
      <c r="F100" t="s">
        <v>195</v>
      </c>
      <c r="G100" t="s">
        <v>165</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25">
      <c r="C101" s="75"/>
      <c r="D101"/>
      <c r="E101"/>
      <c r="F101" t="s">
        <v>196</v>
      </c>
      <c r="G101" t="s">
        <v>165</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25">
      <c r="C102" s="75"/>
      <c r="D102"/>
      <c r="E102"/>
      <c r="F102" s="96" t="s">
        <v>197</v>
      </c>
      <c r="G102" s="96" t="s">
        <v>165</v>
      </c>
      <c r="H102" s="176"/>
      <c r="I102" s="96"/>
      <c r="J102" s="186">
        <f>'Standing charge factors'!J52</f>
        <v>1</v>
      </c>
      <c r="K102" s="186">
        <f>'Standing charge factors'!K52</f>
        <v>1</v>
      </c>
      <c r="L102" s="186">
        <f>'Standing charge factors'!L52</f>
        <v>1</v>
      </c>
      <c r="M102" s="186">
        <f>'Standing charge factors'!M52</f>
        <v>1</v>
      </c>
      <c r="N102" s="186">
        <f>'Standing charge factors'!N52</f>
        <v>1</v>
      </c>
      <c r="O102" s="186">
        <f>'Standing charge factors'!O52</f>
        <v>0</v>
      </c>
      <c r="P102" s="186">
        <f>'Standing charge factors'!P52</f>
        <v>0</v>
      </c>
      <c r="Q102" s="186">
        <f>'Standing charge factors'!Q52</f>
        <v>0</v>
      </c>
      <c r="R102" s="186">
        <f>'Standing charge factors'!R52</f>
        <v>0</v>
      </c>
      <c r="S102" s="186">
        <f>'Standing charge factors'!S52</f>
        <v>0</v>
      </c>
      <c r="T102" s="186">
        <f>'Standing charge factors'!T52</f>
        <v>0</v>
      </c>
      <c r="U102" s="186">
        <f>'Standing charge factors'!U52</f>
        <v>0</v>
      </c>
      <c r="V102" s="186">
        <f>'Standing charge factors'!V52</f>
        <v>0</v>
      </c>
      <c r="W102" s="186">
        <f>'Standing charge factors'!W52</f>
        <v>0</v>
      </c>
      <c r="X102" s="186">
        <f>'Standing charge factors'!X52</f>
        <v>0</v>
      </c>
      <c r="Y102" s="186">
        <f>'Standing charge factors'!Y52</f>
        <v>0</v>
      </c>
      <c r="AP102" s="3"/>
    </row>
    <row r="103" spans="3:42" x14ac:dyDescent="0.25">
      <c r="C103" s="105"/>
      <c r="D103"/>
      <c r="F103" s="2"/>
    </row>
    <row r="104" spans="3:42" x14ac:dyDescent="0.25">
      <c r="E104" s="75" t="s">
        <v>650</v>
      </c>
    </row>
    <row r="105" spans="3:42" x14ac:dyDescent="0.25">
      <c r="C105" s="105"/>
      <c r="F105" s="95" t="s">
        <v>187</v>
      </c>
      <c r="G105" s="95" t="s">
        <v>165</v>
      </c>
      <c r="H105" s="287"/>
      <c r="I105" s="287"/>
      <c r="J105" s="99"/>
      <c r="K105" s="99"/>
      <c r="L105" s="99"/>
      <c r="M105" s="99"/>
      <c r="N105" s="99"/>
      <c r="O105" s="99"/>
      <c r="P105" s="99"/>
      <c r="Q105" s="99"/>
      <c r="R105" s="99"/>
      <c r="S105" s="99"/>
      <c r="T105" s="99"/>
      <c r="U105" s="99"/>
      <c r="V105" s="99"/>
      <c r="W105" s="99"/>
      <c r="X105" s="99"/>
      <c r="Y105" s="99"/>
    </row>
    <row r="106" spans="3:42" x14ac:dyDescent="0.25">
      <c r="C106" s="105"/>
      <c r="F106" t="s">
        <v>189</v>
      </c>
      <c r="G106" t="s">
        <v>165</v>
      </c>
      <c r="H106" s="288"/>
      <c r="I106" s="288"/>
      <c r="J106" s="100"/>
      <c r="K106" s="100"/>
      <c r="L106" s="100"/>
      <c r="M106" s="100"/>
      <c r="N106" s="100"/>
      <c r="O106" s="100"/>
      <c r="P106" s="100"/>
      <c r="Q106" s="100"/>
      <c r="R106" s="100"/>
      <c r="S106" s="100"/>
      <c r="T106" s="100"/>
      <c r="U106" s="100"/>
      <c r="V106" s="100"/>
      <c r="W106" s="100"/>
      <c r="X106" s="100"/>
      <c r="Y106" s="100"/>
    </row>
    <row r="107" spans="3:42" x14ac:dyDescent="0.25">
      <c r="C107" s="105"/>
      <c r="F107" t="s">
        <v>190</v>
      </c>
      <c r="G107" t="s">
        <v>165</v>
      </c>
      <c r="H107" s="288"/>
      <c r="I107" s="288"/>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25">
      <c r="C108" s="105"/>
      <c r="F108" t="s">
        <v>191</v>
      </c>
      <c r="G108" t="s">
        <v>165</v>
      </c>
      <c r="H108" s="288"/>
      <c r="I108" s="288"/>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25">
      <c r="C109" s="105"/>
      <c r="F109" t="s">
        <v>192</v>
      </c>
      <c r="G109" t="s">
        <v>165</v>
      </c>
      <c r="H109" s="288"/>
      <c r="I109" s="288"/>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25">
      <c r="C110" s="105"/>
      <c r="F110" t="s">
        <v>193</v>
      </c>
      <c r="G110" t="s">
        <v>165</v>
      </c>
      <c r="H110" s="288"/>
      <c r="I110" s="288"/>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25">
      <c r="C111" s="105"/>
      <c r="F111" t="s">
        <v>194</v>
      </c>
      <c r="G111" t="s">
        <v>165</v>
      </c>
      <c r="H111" s="288"/>
      <c r="I111" s="288"/>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25">
      <c r="C112" s="105"/>
      <c r="F112" t="s">
        <v>195</v>
      </c>
      <c r="G112" t="s">
        <v>165</v>
      </c>
      <c r="H112" s="288"/>
      <c r="I112" s="288"/>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25">
      <c r="C113" s="105"/>
      <c r="F113" t="s">
        <v>196</v>
      </c>
      <c r="G113" t="s">
        <v>165</v>
      </c>
      <c r="H113" s="288"/>
      <c r="I113" s="288"/>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25">
      <c r="C114" s="105"/>
      <c r="F114" t="s">
        <v>197</v>
      </c>
      <c r="G114" t="s">
        <v>165</v>
      </c>
      <c r="H114" s="288"/>
      <c r="I114" s="288"/>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25">
      <c r="C115" s="105"/>
      <c r="F115" t="s">
        <v>332</v>
      </c>
      <c r="G115" t="s">
        <v>165</v>
      </c>
      <c r="J115" s="100"/>
      <c r="K115" s="100"/>
      <c r="L115" s="100"/>
      <c r="M115" s="100"/>
      <c r="N115" s="100"/>
      <c r="O115" s="100"/>
      <c r="P115" s="100"/>
      <c r="Q115" s="100"/>
      <c r="R115" s="100"/>
      <c r="S115" s="100"/>
      <c r="T115" s="100"/>
      <c r="U115" s="100"/>
      <c r="V115" s="100"/>
      <c r="W115" s="100"/>
      <c r="X115" s="100"/>
      <c r="Y115" s="100"/>
    </row>
    <row r="116" spans="2:27" x14ac:dyDescent="0.25">
      <c r="C116" s="105"/>
      <c r="F116" s="96" t="s">
        <v>333</v>
      </c>
      <c r="G116" s="96" t="s">
        <v>165</v>
      </c>
      <c r="H116" s="96"/>
      <c r="I116" s="96"/>
      <c r="J116" s="102"/>
      <c r="K116" s="102"/>
      <c r="L116" s="102"/>
      <c r="M116" s="102"/>
      <c r="N116" s="102"/>
      <c r="O116" s="102"/>
      <c r="P116" s="102"/>
      <c r="Q116" s="102"/>
      <c r="R116" s="102"/>
      <c r="S116" s="102"/>
      <c r="T116" s="102"/>
      <c r="U116" s="102"/>
      <c r="V116" s="102"/>
      <c r="W116" s="102"/>
      <c r="X116" s="102"/>
      <c r="Y116" s="102"/>
    </row>
    <row r="117" spans="2:27" x14ac:dyDescent="0.25">
      <c r="C117" s="105"/>
      <c r="D117"/>
      <c r="F117" s="2"/>
    </row>
    <row r="118" spans="2:27" x14ac:dyDescent="0.25">
      <c r="D118"/>
      <c r="E118" s="75" t="s">
        <v>651</v>
      </c>
      <c r="F118" s="2"/>
      <c r="I118" t="s">
        <v>152</v>
      </c>
      <c r="AA118" t="s">
        <v>652</v>
      </c>
    </row>
    <row r="119" spans="2:27" x14ac:dyDescent="0.25">
      <c r="D119"/>
      <c r="E119" s="86" t="s">
        <v>653</v>
      </c>
      <c r="F119" s="2"/>
    </row>
    <row r="120" spans="2:27" x14ac:dyDescent="0.25">
      <c r="D120"/>
      <c r="E120" s="86" t="s">
        <v>654</v>
      </c>
      <c r="F120" s="2"/>
    </row>
    <row r="121" spans="2:27" x14ac:dyDescent="0.25">
      <c r="D121"/>
      <c r="F121" s="95" t="s">
        <v>655</v>
      </c>
      <c r="G121" s="95" t="s">
        <v>628</v>
      </c>
      <c r="H121" s="95"/>
      <c r="I121" s="95"/>
      <c r="J121" s="289">
        <f>'Fixed inputs'!J137</f>
        <v>0</v>
      </c>
      <c r="K121" s="289">
        <f>'Fixed inputs'!K137</f>
        <v>0</v>
      </c>
      <c r="L121" s="289">
        <f>'Fixed inputs'!L137</f>
        <v>0</v>
      </c>
      <c r="M121" s="289">
        <f>'Fixed inputs'!M137</f>
        <v>0</v>
      </c>
      <c r="N121" s="289">
        <f>'Fixed inputs'!N137</f>
        <v>1</v>
      </c>
      <c r="O121" s="289">
        <f>'Fixed inputs'!O137</f>
        <v>1</v>
      </c>
      <c r="P121" s="289">
        <f>'Fixed inputs'!P137</f>
        <v>1</v>
      </c>
      <c r="Q121" s="289">
        <f>'Fixed inputs'!Q137</f>
        <v>0</v>
      </c>
      <c r="R121" s="289">
        <f>'Fixed inputs'!R137</f>
        <v>0</v>
      </c>
      <c r="S121" s="289">
        <f>'Fixed inputs'!S137</f>
        <v>0</v>
      </c>
      <c r="T121" s="289">
        <f>'Fixed inputs'!T137</f>
        <v>0</v>
      </c>
      <c r="U121" s="289">
        <f>'Fixed inputs'!U137</f>
        <v>0</v>
      </c>
      <c r="V121" s="289">
        <f>'Fixed inputs'!V137</f>
        <v>0</v>
      </c>
      <c r="W121" s="289">
        <f>'Fixed inputs'!W137</f>
        <v>0</v>
      </c>
      <c r="X121" s="289">
        <f>'Fixed inputs'!X137</f>
        <v>0</v>
      </c>
      <c r="Y121" s="289">
        <f>'Fixed inputs'!Y137</f>
        <v>0</v>
      </c>
    </row>
    <row r="122" spans="2:27" x14ac:dyDescent="0.25">
      <c r="D122"/>
      <c r="F122" t="s">
        <v>656</v>
      </c>
      <c r="G122" t="s">
        <v>628</v>
      </c>
      <c r="J122" s="290">
        <f>'Fixed inputs'!J138</f>
        <v>0</v>
      </c>
      <c r="K122" s="290">
        <f>'Fixed inputs'!K138</f>
        <v>0</v>
      </c>
      <c r="L122" s="290">
        <f>'Fixed inputs'!L138</f>
        <v>0</v>
      </c>
      <c r="M122" s="290">
        <f>'Fixed inputs'!M138</f>
        <v>0</v>
      </c>
      <c r="N122" s="290">
        <f>'Fixed inputs'!N138</f>
        <v>1</v>
      </c>
      <c r="O122" s="290">
        <f>'Fixed inputs'!O138</f>
        <v>1</v>
      </c>
      <c r="P122" s="290">
        <f>'Fixed inputs'!P138</f>
        <v>1</v>
      </c>
      <c r="Q122" s="290">
        <f>'Fixed inputs'!Q138</f>
        <v>0</v>
      </c>
      <c r="R122" s="290">
        <f>'Fixed inputs'!R138</f>
        <v>0</v>
      </c>
      <c r="S122" s="290">
        <f>'Fixed inputs'!S138</f>
        <v>0</v>
      </c>
      <c r="T122" s="290">
        <f>'Fixed inputs'!T138</f>
        <v>0</v>
      </c>
      <c r="U122" s="290">
        <f>'Fixed inputs'!U138</f>
        <v>0</v>
      </c>
      <c r="V122" s="290">
        <f>'Fixed inputs'!V138</f>
        <v>0</v>
      </c>
      <c r="W122" s="290">
        <f>'Fixed inputs'!W138</f>
        <v>0</v>
      </c>
      <c r="X122" s="290">
        <f>'Fixed inputs'!X138</f>
        <v>0</v>
      </c>
      <c r="Y122" s="290">
        <f>'Fixed inputs'!Y138</f>
        <v>0</v>
      </c>
    </row>
    <row r="123" spans="2:27" x14ac:dyDescent="0.25">
      <c r="D123"/>
      <c r="F123" s="96" t="s">
        <v>225</v>
      </c>
      <c r="G123" s="96" t="s">
        <v>628</v>
      </c>
      <c r="H123" s="96"/>
      <c r="I123" s="96"/>
      <c r="J123" s="290">
        <f>'Fixed inputs'!J140</f>
        <v>1</v>
      </c>
      <c r="K123" s="290">
        <f>'Fixed inputs'!K140</f>
        <v>0</v>
      </c>
      <c r="L123" s="290">
        <f>'Fixed inputs'!L140</f>
        <v>1</v>
      </c>
      <c r="M123" s="290">
        <f>'Fixed inputs'!M140</f>
        <v>0</v>
      </c>
      <c r="N123" s="290">
        <f>'Fixed inputs'!N140</f>
        <v>0</v>
      </c>
      <c r="O123" s="290">
        <f>'Fixed inputs'!O140</f>
        <v>0</v>
      </c>
      <c r="P123" s="290">
        <f>'Fixed inputs'!P140</f>
        <v>0</v>
      </c>
      <c r="Q123" s="290">
        <f>'Fixed inputs'!Q140</f>
        <v>0</v>
      </c>
      <c r="R123" s="290">
        <f>'Fixed inputs'!R140</f>
        <v>0</v>
      </c>
      <c r="S123" s="290">
        <f>'Fixed inputs'!S140</f>
        <v>0</v>
      </c>
      <c r="T123" s="290">
        <f>'Fixed inputs'!T140</f>
        <v>0</v>
      </c>
      <c r="U123" s="290">
        <f>'Fixed inputs'!U140</f>
        <v>0</v>
      </c>
      <c r="V123" s="290">
        <f>'Fixed inputs'!V140</f>
        <v>0</v>
      </c>
      <c r="W123" s="290">
        <f>'Fixed inputs'!W140</f>
        <v>0</v>
      </c>
      <c r="X123" s="290">
        <f>'Fixed inputs'!X140</f>
        <v>0</v>
      </c>
      <c r="Y123" s="290">
        <f>'Fixed inputs'!Y140</f>
        <v>0</v>
      </c>
    </row>
    <row r="124" spans="2:27" x14ac:dyDescent="0.25">
      <c r="C124" s="105"/>
    </row>
    <row r="125" spans="2:27" x14ac:dyDescent="0.25">
      <c r="B125" s="85" t="s">
        <v>657</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C126" s="105"/>
    </row>
    <row r="127" spans="2:27" x14ac:dyDescent="0.25">
      <c r="B127" s="291"/>
      <c r="C127" s="86" t="s">
        <v>658</v>
      </c>
      <c r="D127"/>
      <c r="E127"/>
    </row>
    <row r="128" spans="2:27" x14ac:dyDescent="0.25">
      <c r="C128" s="105"/>
    </row>
    <row r="129" spans="3:27" x14ac:dyDescent="0.2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25">
      <c r="C131" s="105"/>
      <c r="E131" s="75" t="s">
        <v>576</v>
      </c>
      <c r="I131" t="s">
        <v>152</v>
      </c>
      <c r="AA131" t="s">
        <v>659</v>
      </c>
    </row>
    <row r="132" spans="3:27" x14ac:dyDescent="0.25">
      <c r="C132" s="105"/>
      <c r="F132" s="95" t="s">
        <v>187</v>
      </c>
      <c r="G132" s="95" t="s">
        <v>269</v>
      </c>
      <c r="H132" s="95"/>
      <c r="I132" s="95"/>
      <c r="J132" s="117"/>
      <c r="K132" s="117"/>
      <c r="L132" s="117"/>
      <c r="M132" s="117"/>
      <c r="N132" s="117"/>
      <c r="O132" s="117"/>
      <c r="P132" s="117"/>
      <c r="Q132" s="117"/>
      <c r="R132" s="117"/>
      <c r="S132" s="117"/>
      <c r="T132" s="117"/>
      <c r="U132" s="117"/>
      <c r="V132" s="117"/>
      <c r="W132" s="117"/>
      <c r="X132" s="117"/>
      <c r="Y132" s="117"/>
    </row>
    <row r="133" spans="3:27" x14ac:dyDescent="0.25">
      <c r="C133" s="105"/>
      <c r="F133" t="s">
        <v>189</v>
      </c>
      <c r="G133" t="s">
        <v>269</v>
      </c>
      <c r="J133" s="119"/>
      <c r="K133" s="119"/>
      <c r="L133" s="119"/>
      <c r="M133" s="119"/>
      <c r="N133" s="119"/>
      <c r="O133" s="119"/>
      <c r="P133" s="119"/>
      <c r="Q133" s="119"/>
      <c r="R133" s="119"/>
      <c r="S133" s="119"/>
      <c r="T133" s="119"/>
      <c r="U133" s="119"/>
      <c r="V133" s="119"/>
      <c r="W133" s="119"/>
      <c r="X133" s="119"/>
      <c r="Y133" s="119"/>
    </row>
    <row r="134" spans="3:27" x14ac:dyDescent="0.25">
      <c r="C134" s="105"/>
      <c r="F134" t="s">
        <v>190</v>
      </c>
      <c r="G134" t="s">
        <v>269</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v>
      </c>
      <c r="Q134" s="168">
        <f t="shared" ref="Q134" si="3">hundred*Q95*$H53*Q82/$H39*(1-Q107)/days_in_year/(1+$H25)*PowerFactor</f>
        <v>0</v>
      </c>
      <c r="R134" s="119"/>
      <c r="S134" s="119"/>
      <c r="T134" s="119"/>
      <c r="U134" s="119"/>
      <c r="V134" s="119"/>
      <c r="W134" s="119"/>
      <c r="X134" s="119"/>
      <c r="Y134" s="119"/>
    </row>
    <row r="135" spans="3:27" x14ac:dyDescent="0.25">
      <c r="C135" s="105"/>
      <c r="F135" t="s">
        <v>191</v>
      </c>
      <c r="G135" t="s">
        <v>269</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25">
      <c r="C136" s="105"/>
      <c r="F136" t="s">
        <v>192</v>
      </c>
      <c r="G136" t="s">
        <v>269</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0.44481356230179864</v>
      </c>
      <c r="Q136" s="168">
        <f t="shared" ref="Q136" si="11">hundred*Q97*$H55*Q84/$H41*(1-Q109)/days_in_year/(1+$H27)*PowerFactor</f>
        <v>0</v>
      </c>
      <c r="R136" s="119"/>
      <c r="S136" s="119"/>
      <c r="T136" s="119"/>
      <c r="U136" s="119"/>
      <c r="V136" s="119"/>
      <c r="W136" s="119"/>
      <c r="X136" s="119"/>
      <c r="Y136" s="119"/>
    </row>
    <row r="137" spans="3:27" x14ac:dyDescent="0.25">
      <c r="C137" s="105"/>
      <c r="F137" t="s">
        <v>193</v>
      </c>
      <c r="G137" t="s">
        <v>269</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0.84631277267557159</v>
      </c>
      <c r="Q137" s="168">
        <f t="shared" ref="Q137" si="15">hundred*Q98*$H56*Q85/$H42*(1-Q110)/days_in_year/(1+$H28)*PowerFactor</f>
        <v>0</v>
      </c>
      <c r="R137" s="119"/>
      <c r="S137" s="119"/>
      <c r="T137" s="119"/>
      <c r="U137" s="119"/>
      <c r="V137" s="119"/>
      <c r="W137" s="119"/>
      <c r="X137" s="119"/>
      <c r="Y137" s="119"/>
    </row>
    <row r="138" spans="3:27" x14ac:dyDescent="0.25">
      <c r="C138" s="105"/>
      <c r="F138" t="s">
        <v>194</v>
      </c>
      <c r="G138" t="s">
        <v>269</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v>
      </c>
      <c r="Q138" s="168">
        <f t="shared" ref="Q138" si="19">hundred*Q99*$H57*Q86/$H43*(1-Q111)/days_in_year/(1+$H29)*PowerFactor</f>
        <v>0</v>
      </c>
      <c r="R138" s="119"/>
      <c r="S138" s="119"/>
      <c r="T138" s="119"/>
      <c r="U138" s="119"/>
      <c r="V138" s="119"/>
      <c r="W138" s="119"/>
      <c r="X138" s="119"/>
      <c r="Y138" s="119"/>
    </row>
    <row r="139" spans="3:27" x14ac:dyDescent="0.25">
      <c r="C139" s="105"/>
      <c r="F139" t="s">
        <v>195</v>
      </c>
      <c r="G139" t="s">
        <v>269</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0.62914248661638106</v>
      </c>
      <c r="O139" s="168">
        <f t="shared" si="22"/>
        <v>2.9687304268649566</v>
      </c>
      <c r="P139" s="168">
        <f t="shared" si="22"/>
        <v>2.9230576510670341</v>
      </c>
      <c r="Q139" s="168">
        <f t="shared" ref="Q139" si="23">hundred*Q100*$H58*Q87/$H44*(1-Q112)/days_in_year/(1+$H30)*PowerFactor</f>
        <v>0</v>
      </c>
      <c r="R139" s="119"/>
      <c r="S139" s="119"/>
      <c r="T139" s="119"/>
      <c r="U139" s="119"/>
      <c r="V139" s="119"/>
      <c r="W139" s="119"/>
      <c r="X139" s="119"/>
      <c r="Y139" s="119"/>
    </row>
    <row r="140" spans="3:27" x14ac:dyDescent="0.25">
      <c r="C140" s="105"/>
      <c r="F140" t="s">
        <v>196</v>
      </c>
      <c r="G140" t="s">
        <v>269</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0.95673958136839465</v>
      </c>
      <c r="O140" s="168">
        <f t="shared" si="26"/>
        <v>0.90291212760719641</v>
      </c>
      <c r="P140" s="168">
        <f t="shared" si="26"/>
        <v>0</v>
      </c>
      <c r="Q140" s="168">
        <f t="shared" ref="Q140" si="27">hundred*Q101*$H59*Q88/$H45*(1-Q113)/days_in_year/(1+$H31)*PowerFactor</f>
        <v>0</v>
      </c>
      <c r="R140" s="119"/>
      <c r="S140" s="119"/>
      <c r="T140" s="119"/>
      <c r="U140" s="119"/>
      <c r="V140" s="119"/>
      <c r="W140" s="119"/>
      <c r="X140" s="119"/>
      <c r="Y140" s="119"/>
    </row>
    <row r="141" spans="3:27" x14ac:dyDescent="0.25">
      <c r="C141" s="105"/>
      <c r="F141" t="s">
        <v>197</v>
      </c>
      <c r="G141" t="s">
        <v>269</v>
      </c>
      <c r="J141" s="168">
        <f t="shared" ref="J141:K141" si="28">hundred*J102*$H60*J89/$H46*(1-J114)/days_in_year/(1+$H32)*PowerFactor</f>
        <v>2.5390810377525548</v>
      </c>
      <c r="K141" s="168">
        <f t="shared" si="28"/>
        <v>2.5390810377525548</v>
      </c>
      <c r="L141" s="168">
        <f t="shared" ref="L141:M141" si="29">hundred*L102*$H60*L89/$H46*(1-L114)/days_in_year/(1+$H32)*PowerFactor</f>
        <v>2.5390810377525548</v>
      </c>
      <c r="M141" s="168">
        <f t="shared" si="29"/>
        <v>2.5390810377525548</v>
      </c>
      <c r="N141" s="168">
        <f t="shared" ref="N141:P141" si="30">hundred*N102*$H60*N89/$H46*(1-N114)/days_in_year/(1+$H32)*PowerFactor</f>
        <v>2.5390810377525548</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25">
      <c r="C142" s="105"/>
      <c r="D142"/>
      <c r="F142" t="s">
        <v>332</v>
      </c>
      <c r="G142" t="s">
        <v>269</v>
      </c>
      <c r="J142" s="119"/>
      <c r="K142" s="119"/>
      <c r="L142" s="119"/>
      <c r="M142" s="119"/>
      <c r="N142" s="119"/>
      <c r="O142" s="119"/>
      <c r="P142" s="119"/>
      <c r="Q142" s="119"/>
      <c r="R142" s="119"/>
      <c r="S142" s="119"/>
      <c r="T142" s="119"/>
      <c r="U142" s="119"/>
      <c r="V142" s="119"/>
      <c r="W142" s="119"/>
      <c r="X142" s="119"/>
      <c r="Y142" s="119"/>
    </row>
    <row r="143" spans="3:27" x14ac:dyDescent="0.25">
      <c r="C143" s="105"/>
      <c r="D143"/>
      <c r="F143" s="96" t="s">
        <v>333</v>
      </c>
      <c r="G143" s="96" t="s">
        <v>269</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J144" s="168"/>
      <c r="K144" s="168"/>
      <c r="L144" s="168"/>
      <c r="M144" s="168"/>
      <c r="N144" s="168"/>
      <c r="O144" s="168"/>
      <c r="P144" s="168"/>
      <c r="Q144" s="168"/>
      <c r="R144" s="168"/>
      <c r="S144" s="168"/>
      <c r="T144" s="168"/>
      <c r="U144" s="168"/>
      <c r="V144" s="168"/>
      <c r="W144" s="168"/>
      <c r="X144" s="168"/>
      <c r="Y144" s="168"/>
    </row>
    <row r="145" spans="3:27" x14ac:dyDescent="0.25">
      <c r="C145" s="105"/>
      <c r="E145" s="75" t="s">
        <v>577</v>
      </c>
      <c r="J145" s="168"/>
      <c r="K145" s="168"/>
      <c r="L145" s="168"/>
      <c r="M145" s="168"/>
      <c r="N145" s="168"/>
      <c r="O145" s="168"/>
      <c r="P145" s="168"/>
      <c r="Q145" s="168"/>
      <c r="R145" s="168"/>
      <c r="S145" s="168"/>
      <c r="T145" s="168"/>
      <c r="U145" s="168"/>
      <c r="V145" s="168"/>
      <c r="W145" s="168"/>
      <c r="X145" s="168"/>
      <c r="Y145" s="168"/>
    </row>
    <row r="146" spans="3:27" x14ac:dyDescent="0.25">
      <c r="C146" s="105"/>
      <c r="F146" s="95" t="s">
        <v>187</v>
      </c>
      <c r="G146" s="95" t="s">
        <v>269</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25">
      <c r="C147" s="105"/>
      <c r="F147" t="s">
        <v>189</v>
      </c>
      <c r="G147" t="s">
        <v>269</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25">
      <c r="C148" s="105"/>
      <c r="F148" t="s">
        <v>190</v>
      </c>
      <c r="G148" t="s">
        <v>269</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v>
      </c>
      <c r="Q148" s="168">
        <f t="shared" ref="Q148" si="43">hundred*Q95*$H67*Q82/$H39/days_in_year/(1+$H25)*PowerFactor</f>
        <v>0</v>
      </c>
      <c r="R148" s="119"/>
      <c r="S148" s="119"/>
      <c r="T148" s="119"/>
      <c r="U148" s="119"/>
      <c r="V148" s="119"/>
      <c r="W148" s="119"/>
      <c r="X148" s="119"/>
      <c r="Y148" s="119"/>
    </row>
    <row r="149" spans="3:27" x14ac:dyDescent="0.25">
      <c r="C149" s="105"/>
      <c r="F149" t="s">
        <v>191</v>
      </c>
      <c r="G149" t="s">
        <v>269</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25">
      <c r="C150" s="105"/>
      <c r="F150" t="s">
        <v>192</v>
      </c>
      <c r="G150" t="s">
        <v>269</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0.14643864977810067</v>
      </c>
      <c r="Q150" s="168">
        <f t="shared" ref="Q150" si="51">hundred*Q97*$H69*Q84/$H41/days_in_year/(1+$H27)*PowerFactor</f>
        <v>0</v>
      </c>
      <c r="R150" s="119"/>
      <c r="S150" s="119"/>
      <c r="T150" s="119"/>
      <c r="U150" s="119"/>
      <c r="V150" s="119"/>
      <c r="W150" s="119"/>
      <c r="X150" s="119"/>
      <c r="Y150" s="119"/>
    </row>
    <row r="151" spans="3:27" x14ac:dyDescent="0.25">
      <c r="C151" s="105"/>
      <c r="F151" t="s">
        <v>193</v>
      </c>
      <c r="G151" t="s">
        <v>269</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0.27861762820191377</v>
      </c>
      <c r="Q151" s="168">
        <f t="shared" ref="Q151" si="55">hundred*Q98*$H70*Q85/$H42/days_in_year/(1+$H28)*PowerFactor</f>
        <v>0</v>
      </c>
      <c r="R151" s="119"/>
      <c r="S151" s="119"/>
      <c r="T151" s="119"/>
      <c r="U151" s="119"/>
      <c r="V151" s="119"/>
      <c r="W151" s="119"/>
      <c r="X151" s="119"/>
      <c r="Y151" s="119"/>
    </row>
    <row r="152" spans="3:27" x14ac:dyDescent="0.25">
      <c r="C152" s="105"/>
      <c r="F152" t="s">
        <v>194</v>
      </c>
      <c r="G152" t="s">
        <v>269</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v>
      </c>
      <c r="Q152" s="168">
        <f t="shared" ref="Q152" si="59">hundred*Q99*$H71*Q86/$H43/days_in_year/(1+$H29)*PowerFactor</f>
        <v>0</v>
      </c>
      <c r="R152" s="119"/>
      <c r="S152" s="119"/>
      <c r="T152" s="119"/>
      <c r="U152" s="119"/>
      <c r="V152" s="119"/>
      <c r="W152" s="119"/>
      <c r="X152" s="119"/>
      <c r="Y152" s="119"/>
    </row>
    <row r="153" spans="3:27" x14ac:dyDescent="0.25">
      <c r="C153" s="105"/>
      <c r="F153" t="s">
        <v>195</v>
      </c>
      <c r="G153" t="s">
        <v>269</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0.20712222842618824</v>
      </c>
      <c r="O153" s="168">
        <f t="shared" si="62"/>
        <v>0.9773462684357338</v>
      </c>
      <c r="P153" s="168">
        <f t="shared" si="62"/>
        <v>0.96231017199826085</v>
      </c>
      <c r="Q153" s="168">
        <f t="shared" ref="Q153" si="63">hundred*Q100*$H72*Q87/$H44/days_in_year/(1+$H30)*PowerFactor</f>
        <v>0</v>
      </c>
      <c r="R153" s="119"/>
      <c r="S153" s="119"/>
      <c r="T153" s="119"/>
      <c r="U153" s="119"/>
      <c r="V153" s="119"/>
      <c r="W153" s="119"/>
      <c r="X153" s="119"/>
      <c r="Y153" s="119"/>
    </row>
    <row r="154" spans="3:27" x14ac:dyDescent="0.25">
      <c r="C154" s="105"/>
      <c r="F154" t="s">
        <v>196</v>
      </c>
      <c r="G154" t="s">
        <v>269</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0.31497162937175682</v>
      </c>
      <c r="O154" s="168">
        <f t="shared" si="66"/>
        <v>0.2972509024924021</v>
      </c>
      <c r="P154" s="168">
        <f t="shared" si="66"/>
        <v>0</v>
      </c>
      <c r="Q154" s="168">
        <f t="shared" ref="Q154" si="67">hundred*Q101*$H73*Q88/$H45/days_in_year/(1+$H31)*PowerFactor</f>
        <v>0</v>
      </c>
      <c r="R154" s="119"/>
      <c r="S154" s="119"/>
      <c r="T154" s="119"/>
      <c r="U154" s="119"/>
      <c r="V154" s="119"/>
      <c r="W154" s="119"/>
      <c r="X154" s="119"/>
      <c r="Y154" s="119"/>
    </row>
    <row r="155" spans="3:27" x14ac:dyDescent="0.25">
      <c r="C155" s="105"/>
      <c r="F155" t="s">
        <v>197</v>
      </c>
      <c r="G155" t="s">
        <v>269</v>
      </c>
      <c r="J155" s="168">
        <f t="shared" ref="J155:K155" si="68">hundred*J102*$H74*J89/$H46/days_in_year/(1+$H32)*PowerFactor</f>
        <v>0.83589986987264886</v>
      </c>
      <c r="K155" s="168">
        <f t="shared" si="68"/>
        <v>0.83589986987264886</v>
      </c>
      <c r="L155" s="168">
        <f t="shared" ref="L155:M155" si="69">hundred*L102*$H74*L89/$H46/days_in_year/(1+$H32)*PowerFactor</f>
        <v>0.83589986987264886</v>
      </c>
      <c r="M155" s="168">
        <f t="shared" si="69"/>
        <v>0.83589986987264886</v>
      </c>
      <c r="N155" s="168">
        <f t="shared" ref="N155:P155" si="70">hundred*N102*$H74*N89/$H46/days_in_year/(1+$H32)*PowerFactor</f>
        <v>0.83589986987264886</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25">
      <c r="C156" s="105"/>
      <c r="D156"/>
      <c r="F156" t="s">
        <v>332</v>
      </c>
      <c r="G156" t="s">
        <v>269</v>
      </c>
      <c r="J156" s="119"/>
      <c r="K156" s="119"/>
      <c r="L156" s="119"/>
      <c r="M156" s="119"/>
      <c r="N156" s="119"/>
      <c r="O156" s="119"/>
      <c r="P156" s="119"/>
      <c r="Q156" s="119"/>
      <c r="R156" s="119"/>
      <c r="S156" s="119"/>
      <c r="T156" s="119"/>
      <c r="U156" s="119"/>
      <c r="V156" s="119"/>
      <c r="W156" s="119"/>
      <c r="X156" s="119"/>
      <c r="Y156" s="119"/>
    </row>
    <row r="157" spans="3:27" x14ac:dyDescent="0.25">
      <c r="C157" s="105"/>
      <c r="D157"/>
      <c r="F157" s="96" t="s">
        <v>333</v>
      </c>
      <c r="G157" s="96" t="s">
        <v>269</v>
      </c>
      <c r="H157" s="96"/>
      <c r="I157" s="96"/>
      <c r="J157" s="121"/>
      <c r="K157" s="121"/>
      <c r="L157" s="121"/>
      <c r="M157" s="121"/>
      <c r="N157" s="121"/>
      <c r="O157" s="121"/>
      <c r="P157" s="121"/>
      <c r="Q157" s="121"/>
      <c r="R157" s="121"/>
      <c r="S157" s="121"/>
      <c r="T157" s="121"/>
      <c r="U157" s="121"/>
      <c r="V157" s="121"/>
      <c r="W157" s="121"/>
      <c r="X157" s="121"/>
      <c r="Y157" s="121"/>
    </row>
    <row r="158" spans="3:27" x14ac:dyDescent="0.25">
      <c r="C158" s="105"/>
      <c r="J158" s="168"/>
      <c r="K158" s="168"/>
      <c r="L158" s="168"/>
      <c r="M158" s="168"/>
      <c r="N158" s="168"/>
      <c r="O158" s="168"/>
      <c r="P158" s="168"/>
      <c r="Q158" s="168"/>
      <c r="R158" s="168"/>
      <c r="S158" s="168"/>
      <c r="T158" s="168"/>
      <c r="U158" s="168"/>
      <c r="V158" s="168"/>
      <c r="W158" s="168"/>
      <c r="X158" s="168"/>
      <c r="Y158" s="168"/>
    </row>
    <row r="159" spans="3:27" x14ac:dyDescent="0.2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J160" s="106"/>
      <c r="K160" s="106"/>
      <c r="L160" s="106"/>
      <c r="M160" s="106"/>
      <c r="N160" s="106"/>
      <c r="O160" s="106"/>
      <c r="P160" s="106"/>
      <c r="Q160" s="106"/>
      <c r="R160" s="106"/>
      <c r="S160" s="106"/>
      <c r="T160" s="106"/>
      <c r="U160" s="106"/>
      <c r="V160" s="106"/>
      <c r="W160" s="106"/>
      <c r="X160" s="106"/>
      <c r="Y160" s="106"/>
    </row>
    <row r="161" spans="3:25" x14ac:dyDescent="0.25">
      <c r="C161" s="105"/>
      <c r="E161" s="75" t="s">
        <v>576</v>
      </c>
      <c r="J161" s="106"/>
      <c r="K161" s="106"/>
      <c r="L161" s="106"/>
      <c r="M161" s="106"/>
      <c r="N161" s="106"/>
      <c r="O161" s="106"/>
      <c r="P161" s="106"/>
      <c r="Q161" s="106"/>
      <c r="R161" s="106"/>
      <c r="S161" s="106"/>
      <c r="T161" s="106"/>
      <c r="U161" s="106"/>
      <c r="V161" s="106"/>
      <c r="W161" s="106"/>
      <c r="X161" s="106"/>
      <c r="Y161" s="106"/>
    </row>
    <row r="162" spans="3:25" x14ac:dyDescent="0.25">
      <c r="C162" s="105"/>
      <c r="F162" s="95" t="s">
        <v>187</v>
      </c>
      <c r="G162" s="95" t="s">
        <v>269</v>
      </c>
      <c r="H162" s="95"/>
      <c r="I162" s="95"/>
      <c r="J162" s="117"/>
      <c r="K162" s="117"/>
      <c r="L162" s="117"/>
      <c r="M162" s="117"/>
      <c r="N162" s="117"/>
      <c r="O162" s="117"/>
      <c r="P162" s="117"/>
      <c r="Q162" s="117"/>
      <c r="R162" s="117"/>
      <c r="S162" s="117"/>
      <c r="T162" s="117"/>
      <c r="U162" s="117"/>
      <c r="V162" s="117"/>
      <c r="W162" s="117"/>
      <c r="X162" s="117"/>
      <c r="Y162" s="117"/>
    </row>
    <row r="163" spans="3:25" x14ac:dyDescent="0.25">
      <c r="C163" s="105"/>
      <c r="F163" t="s">
        <v>189</v>
      </c>
      <c r="G163" t="s">
        <v>269</v>
      </c>
      <c r="J163" s="119"/>
      <c r="K163" s="119"/>
      <c r="L163" s="119"/>
      <c r="M163" s="119"/>
      <c r="N163" s="119"/>
      <c r="O163" s="119"/>
      <c r="P163" s="119"/>
      <c r="Q163" s="119"/>
      <c r="R163" s="119"/>
      <c r="S163" s="119"/>
      <c r="T163" s="119"/>
      <c r="U163" s="119"/>
      <c r="V163" s="119"/>
      <c r="W163" s="119"/>
      <c r="X163" s="119"/>
      <c r="Y163" s="119"/>
    </row>
    <row r="164" spans="3:25" x14ac:dyDescent="0.25">
      <c r="C164" s="105"/>
      <c r="F164" t="s">
        <v>190</v>
      </c>
      <c r="G164" t="s">
        <v>269</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v>
      </c>
      <c r="Q164" s="168">
        <f t="shared" ref="Q164" si="75">hundred*Q95*$H53*Q82/$H39/days_in_year/(1+$H25)*PowerFactor</f>
        <v>0</v>
      </c>
      <c r="R164" s="119"/>
      <c r="S164" s="119"/>
      <c r="T164" s="119"/>
      <c r="U164" s="119"/>
      <c r="V164" s="119"/>
      <c r="W164" s="119"/>
      <c r="X164" s="119"/>
      <c r="Y164" s="119"/>
    </row>
    <row r="165" spans="3:25" x14ac:dyDescent="0.25">
      <c r="C165" s="105"/>
      <c r="F165" t="s">
        <v>191</v>
      </c>
      <c r="G165" t="s">
        <v>269</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25">
      <c r="C166" s="105"/>
      <c r="F166" t="s">
        <v>192</v>
      </c>
      <c r="G166" t="s">
        <v>269</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0.44481356230179864</v>
      </c>
      <c r="Q166" s="168">
        <f t="shared" ref="Q166" si="83">hundred*Q97*$H55*Q84/$H41/days_in_year/(1+$H27)*PowerFactor</f>
        <v>0</v>
      </c>
      <c r="R166" s="119"/>
      <c r="S166" s="119"/>
      <c r="T166" s="119"/>
      <c r="U166" s="119"/>
      <c r="V166" s="119"/>
      <c r="W166" s="119"/>
      <c r="X166" s="119"/>
      <c r="Y166" s="119"/>
    </row>
    <row r="167" spans="3:25" x14ac:dyDescent="0.25">
      <c r="C167" s="105"/>
      <c r="F167" t="s">
        <v>193</v>
      </c>
      <c r="G167" t="s">
        <v>269</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0.84631277267557159</v>
      </c>
      <c r="Q167" s="168">
        <f t="shared" ref="Q167" si="87">hundred*Q98*$H56*Q85/$H42/days_in_year/(1+$H28)*PowerFactor</f>
        <v>0</v>
      </c>
      <c r="R167" s="119"/>
      <c r="S167" s="119"/>
      <c r="T167" s="119"/>
      <c r="U167" s="119"/>
      <c r="V167" s="119"/>
      <c r="W167" s="119"/>
      <c r="X167" s="119"/>
      <c r="Y167" s="119"/>
    </row>
    <row r="168" spans="3:25" x14ac:dyDescent="0.25">
      <c r="C168" s="105"/>
      <c r="F168" t="s">
        <v>194</v>
      </c>
      <c r="G168" t="s">
        <v>269</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v>
      </c>
      <c r="Q168" s="168">
        <f t="shared" ref="Q168" si="91">hundred*Q99*$H57*Q86/$H43/days_in_year/(1+$H29)*PowerFactor</f>
        <v>0</v>
      </c>
      <c r="R168" s="119"/>
      <c r="S168" s="119"/>
      <c r="T168" s="119"/>
      <c r="U168" s="119"/>
      <c r="V168" s="119"/>
      <c r="W168" s="119"/>
      <c r="X168" s="119"/>
      <c r="Y168" s="119"/>
    </row>
    <row r="169" spans="3:25" x14ac:dyDescent="0.25">
      <c r="C169" s="105"/>
      <c r="F169" t="s">
        <v>195</v>
      </c>
      <c r="G169" t="s">
        <v>269</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0.62914248661638106</v>
      </c>
      <c r="O169" s="168">
        <f t="shared" si="94"/>
        <v>2.9687304268649566</v>
      </c>
      <c r="P169" s="168">
        <f t="shared" si="94"/>
        <v>2.9230576510670341</v>
      </c>
      <c r="Q169" s="168">
        <f t="shared" ref="Q169" si="95">hundred*Q100*$H58*Q87/$H44/days_in_year/(1+$H30)*PowerFactor</f>
        <v>0</v>
      </c>
      <c r="R169" s="119"/>
      <c r="S169" s="119"/>
      <c r="T169" s="119"/>
      <c r="U169" s="119"/>
      <c r="V169" s="119"/>
      <c r="W169" s="119"/>
      <c r="X169" s="119"/>
      <c r="Y169" s="119"/>
    </row>
    <row r="170" spans="3:25" x14ac:dyDescent="0.25">
      <c r="C170" s="105"/>
      <c r="F170" t="s">
        <v>196</v>
      </c>
      <c r="G170" t="s">
        <v>269</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0.95673958136839465</v>
      </c>
      <c r="O170" s="168">
        <f t="shared" si="98"/>
        <v>0.90291212760719641</v>
      </c>
      <c r="P170" s="168">
        <f t="shared" si="98"/>
        <v>0</v>
      </c>
      <c r="Q170" s="168">
        <f t="shared" ref="Q170" si="99">hundred*Q101*$H59*Q88/$H45/days_in_year/(1+$H31)*PowerFactor</f>
        <v>0</v>
      </c>
      <c r="R170" s="119"/>
      <c r="S170" s="119"/>
      <c r="T170" s="119"/>
      <c r="U170" s="119"/>
      <c r="V170" s="119"/>
      <c r="W170" s="119"/>
      <c r="X170" s="119"/>
      <c r="Y170" s="119"/>
    </row>
    <row r="171" spans="3:25" x14ac:dyDescent="0.25">
      <c r="C171" s="105"/>
      <c r="F171" t="s">
        <v>197</v>
      </c>
      <c r="G171" t="s">
        <v>269</v>
      </c>
      <c r="J171" s="168">
        <f t="shared" ref="J171:K171" si="100">hundred*J102*$H60*J89/$H46/days_in_year/(1+$H32)*PowerFactor</f>
        <v>2.5390810377525548</v>
      </c>
      <c r="K171" s="168">
        <f t="shared" si="100"/>
        <v>2.5390810377525548</v>
      </c>
      <c r="L171" s="168">
        <f t="shared" ref="L171:M171" si="101">hundred*L102*$H60*L89/$H46/days_in_year/(1+$H32)*PowerFactor</f>
        <v>2.5390810377525548</v>
      </c>
      <c r="M171" s="168">
        <f t="shared" si="101"/>
        <v>2.5390810377525548</v>
      </c>
      <c r="N171" s="168">
        <f t="shared" ref="N171:P171" si="102">hundred*N102*$H60*N89/$H46/days_in_year/(1+$H32)*PowerFactor</f>
        <v>2.5390810377525548</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25">
      <c r="C172" s="105"/>
      <c r="F172" t="s">
        <v>332</v>
      </c>
      <c r="G172" t="s">
        <v>269</v>
      </c>
      <c r="J172" s="119"/>
      <c r="K172" s="119"/>
      <c r="L172" s="119"/>
      <c r="M172" s="119"/>
      <c r="N172" s="119"/>
      <c r="O172" s="119"/>
      <c r="P172" s="119"/>
      <c r="Q172" s="119"/>
      <c r="R172" s="119"/>
      <c r="S172" s="119"/>
      <c r="T172" s="119"/>
      <c r="U172" s="119"/>
      <c r="V172" s="119"/>
      <c r="W172" s="119"/>
      <c r="X172" s="119"/>
      <c r="Y172" s="119"/>
    </row>
    <row r="173" spans="3:25" x14ac:dyDescent="0.25">
      <c r="C173" s="105"/>
      <c r="F173" s="96" t="s">
        <v>333</v>
      </c>
      <c r="G173" s="96" t="s">
        <v>269</v>
      </c>
      <c r="H173" s="96"/>
      <c r="I173" s="96"/>
      <c r="J173" s="121"/>
      <c r="K173" s="121"/>
      <c r="L173" s="121"/>
      <c r="M173" s="121"/>
      <c r="N173" s="121"/>
      <c r="O173" s="121"/>
      <c r="P173" s="121"/>
      <c r="Q173" s="121"/>
      <c r="R173" s="121"/>
      <c r="S173" s="121"/>
      <c r="T173" s="121"/>
      <c r="U173" s="121"/>
      <c r="V173" s="121"/>
      <c r="W173" s="121"/>
      <c r="X173" s="121"/>
      <c r="Y173" s="121"/>
    </row>
    <row r="174" spans="3:25" x14ac:dyDescent="0.25">
      <c r="C174" s="105"/>
      <c r="D174"/>
      <c r="J174" s="106"/>
      <c r="K174" s="106"/>
      <c r="L174" s="106"/>
      <c r="M174" s="106"/>
      <c r="N174" s="106"/>
      <c r="O174" s="106"/>
      <c r="P174" s="106"/>
      <c r="Q174" s="106"/>
      <c r="R174" s="106"/>
      <c r="S174" s="106"/>
      <c r="T174" s="106"/>
      <c r="U174" s="106"/>
      <c r="V174" s="106"/>
      <c r="W174" s="106"/>
      <c r="X174" s="106"/>
      <c r="Y174" s="106"/>
    </row>
    <row r="175" spans="3:25" x14ac:dyDescent="0.25">
      <c r="C175" s="105"/>
      <c r="E175" s="75" t="s">
        <v>577</v>
      </c>
      <c r="J175" s="106"/>
      <c r="K175" s="106"/>
      <c r="L175" s="106"/>
      <c r="M175" s="106"/>
      <c r="N175" s="106"/>
      <c r="O175" s="106"/>
      <c r="P175" s="106"/>
      <c r="Q175" s="106"/>
      <c r="R175" s="106"/>
      <c r="S175" s="106"/>
      <c r="T175" s="106"/>
      <c r="U175" s="106"/>
      <c r="V175" s="106"/>
      <c r="W175" s="106"/>
      <c r="X175" s="106"/>
      <c r="Y175" s="106"/>
    </row>
    <row r="176" spans="3:25" x14ac:dyDescent="0.25">
      <c r="C176" s="105"/>
      <c r="F176" s="95" t="s">
        <v>187</v>
      </c>
      <c r="G176" s="95" t="s">
        <v>269</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25">
      <c r="C177" s="105"/>
      <c r="F177" t="s">
        <v>189</v>
      </c>
      <c r="G177" t="s">
        <v>269</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25">
      <c r="C178" s="105"/>
      <c r="F178" t="s">
        <v>190</v>
      </c>
      <c r="G178" t="s">
        <v>269</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v>
      </c>
      <c r="Q178" s="168">
        <f t="shared" ref="Q178" si="115">hundred*Q95*$H67*Q82/$H39/days_in_year/(1+$H25)*PowerFactor</f>
        <v>0</v>
      </c>
      <c r="R178" s="119"/>
      <c r="S178" s="119"/>
      <c r="T178" s="119"/>
      <c r="U178" s="119"/>
      <c r="V178" s="119"/>
      <c r="W178" s="119"/>
      <c r="X178" s="119"/>
      <c r="Y178" s="119"/>
    </row>
    <row r="179" spans="3:27" x14ac:dyDescent="0.25">
      <c r="C179" s="105"/>
      <c r="F179" t="s">
        <v>191</v>
      </c>
      <c r="G179" t="s">
        <v>269</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25">
      <c r="C180" s="105"/>
      <c r="F180" t="s">
        <v>192</v>
      </c>
      <c r="G180" t="s">
        <v>269</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0.14643864977810067</v>
      </c>
      <c r="Q180" s="168">
        <f t="shared" ref="Q180" si="123">hundred*Q97*$H69*Q84/$H41/days_in_year/(1+$H27)*PowerFactor</f>
        <v>0</v>
      </c>
      <c r="R180" s="119"/>
      <c r="S180" s="119"/>
      <c r="T180" s="119"/>
      <c r="U180" s="119"/>
      <c r="V180" s="119"/>
      <c r="W180" s="119"/>
      <c r="X180" s="119"/>
      <c r="Y180" s="119"/>
    </row>
    <row r="181" spans="3:27" x14ac:dyDescent="0.25">
      <c r="C181" s="105"/>
      <c r="F181" t="s">
        <v>193</v>
      </c>
      <c r="G181" t="s">
        <v>269</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0.27861762820191377</v>
      </c>
      <c r="Q181" s="168">
        <f t="shared" ref="Q181" si="127">hundred*Q98*$H70*Q85/$H42/days_in_year/(1+$H28)*PowerFactor</f>
        <v>0</v>
      </c>
      <c r="R181" s="119"/>
      <c r="S181" s="119"/>
      <c r="T181" s="119"/>
      <c r="U181" s="119"/>
      <c r="V181" s="119"/>
      <c r="W181" s="119"/>
      <c r="X181" s="119"/>
      <c r="Y181" s="119"/>
    </row>
    <row r="182" spans="3:27" x14ac:dyDescent="0.25">
      <c r="C182" s="105"/>
      <c r="F182" t="s">
        <v>194</v>
      </c>
      <c r="G182" t="s">
        <v>269</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v>
      </c>
      <c r="Q182" s="168">
        <f t="shared" ref="Q182" si="131">hundred*Q99*$H71*Q86/$H43/days_in_year/(1+$H29)*PowerFactor</f>
        <v>0</v>
      </c>
      <c r="R182" s="119"/>
      <c r="S182" s="119"/>
      <c r="T182" s="119"/>
      <c r="U182" s="119"/>
      <c r="V182" s="119"/>
      <c r="W182" s="119"/>
      <c r="X182" s="119"/>
      <c r="Y182" s="119"/>
    </row>
    <row r="183" spans="3:27" x14ac:dyDescent="0.25">
      <c r="C183" s="105"/>
      <c r="F183" t="s">
        <v>195</v>
      </c>
      <c r="G183" t="s">
        <v>269</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0.20712222842618824</v>
      </c>
      <c r="O183" s="168">
        <f t="shared" si="134"/>
        <v>0.9773462684357338</v>
      </c>
      <c r="P183" s="168">
        <f t="shared" si="134"/>
        <v>0.96231017199826085</v>
      </c>
      <c r="Q183" s="168">
        <f t="shared" ref="Q183" si="135">hundred*Q100*$H72*Q87/$H44/days_in_year/(1+$H30)*PowerFactor</f>
        <v>0</v>
      </c>
      <c r="R183" s="119"/>
      <c r="S183" s="119"/>
      <c r="T183" s="119"/>
      <c r="U183" s="119"/>
      <c r="V183" s="119"/>
      <c r="W183" s="119"/>
      <c r="X183" s="119"/>
      <c r="Y183" s="119"/>
    </row>
    <row r="184" spans="3:27" x14ac:dyDescent="0.25">
      <c r="C184" s="105"/>
      <c r="F184" t="s">
        <v>196</v>
      </c>
      <c r="G184" t="s">
        <v>269</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0.31497162937175682</v>
      </c>
      <c r="O184" s="168">
        <f t="shared" si="138"/>
        <v>0.2972509024924021</v>
      </c>
      <c r="P184" s="168">
        <f t="shared" si="138"/>
        <v>0</v>
      </c>
      <c r="Q184" s="168">
        <f t="shared" ref="Q184" si="139">hundred*Q101*$H73*Q88/$H45/days_in_year/(1+$H31)*PowerFactor</f>
        <v>0</v>
      </c>
      <c r="R184" s="119"/>
      <c r="S184" s="119"/>
      <c r="T184" s="119"/>
      <c r="U184" s="119"/>
      <c r="V184" s="119"/>
      <c r="W184" s="119"/>
      <c r="X184" s="119"/>
      <c r="Y184" s="119"/>
    </row>
    <row r="185" spans="3:27" x14ac:dyDescent="0.25">
      <c r="C185" s="105"/>
      <c r="F185" t="s">
        <v>197</v>
      </c>
      <c r="G185" t="s">
        <v>269</v>
      </c>
      <c r="J185" s="168">
        <f t="shared" ref="J185:K185" si="140">hundred*J102*$H74*J89/$H46/days_in_year/(1+$H32)*PowerFactor</f>
        <v>0.83589986987264886</v>
      </c>
      <c r="K185" s="168">
        <f t="shared" si="140"/>
        <v>0.83589986987264886</v>
      </c>
      <c r="L185" s="168">
        <f t="shared" ref="L185:M185" si="141">hundred*L102*$H74*L89/$H46/days_in_year/(1+$H32)*PowerFactor</f>
        <v>0.83589986987264886</v>
      </c>
      <c r="M185" s="168">
        <f t="shared" si="141"/>
        <v>0.83589986987264886</v>
      </c>
      <c r="N185" s="168">
        <f t="shared" ref="N185:P185" si="142">hundred*N102*$H74*N89/$H46/days_in_year/(1+$H32)*PowerFactor</f>
        <v>0.83589986987264886</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25">
      <c r="C186" s="105"/>
      <c r="F186" t="s">
        <v>332</v>
      </c>
      <c r="G186" t="s">
        <v>269</v>
      </c>
      <c r="J186" s="119"/>
      <c r="K186" s="119"/>
      <c r="L186" s="119"/>
      <c r="M186" s="119"/>
      <c r="N186" s="119"/>
      <c r="O186" s="119"/>
      <c r="P186" s="119"/>
      <c r="Q186" s="119"/>
      <c r="R186" s="119"/>
      <c r="S186" s="119"/>
      <c r="T186" s="119"/>
      <c r="U186" s="119"/>
      <c r="V186" s="119"/>
      <c r="W186" s="119"/>
      <c r="X186" s="119"/>
      <c r="Y186" s="119"/>
    </row>
    <row r="187" spans="3:27" x14ac:dyDescent="0.25">
      <c r="C187" s="105"/>
      <c r="F187" s="96" t="s">
        <v>333</v>
      </c>
      <c r="G187" s="96" t="s">
        <v>269</v>
      </c>
      <c r="H187" s="96"/>
      <c r="I187" s="96"/>
      <c r="J187" s="121"/>
      <c r="K187" s="121"/>
      <c r="L187" s="121"/>
      <c r="M187" s="121"/>
      <c r="N187" s="121"/>
      <c r="O187" s="121"/>
      <c r="P187" s="121"/>
      <c r="Q187" s="121"/>
      <c r="R187" s="121"/>
      <c r="S187" s="121"/>
      <c r="T187" s="121"/>
      <c r="U187" s="121"/>
      <c r="V187" s="121"/>
      <c r="W187" s="121"/>
      <c r="X187" s="121"/>
      <c r="Y187" s="121"/>
    </row>
    <row r="188" spans="3:27" x14ac:dyDescent="0.25">
      <c r="C188" s="105"/>
      <c r="J188" s="106"/>
      <c r="K188" s="106"/>
      <c r="L188" s="106"/>
      <c r="M188" s="106"/>
      <c r="N188" s="106"/>
      <c r="O188" s="106"/>
      <c r="P188" s="106"/>
      <c r="Q188" s="106"/>
      <c r="R188" s="106"/>
      <c r="S188" s="106"/>
      <c r="T188" s="106"/>
      <c r="U188" s="106"/>
      <c r="V188" s="106"/>
      <c r="W188" s="106"/>
      <c r="X188" s="106"/>
      <c r="Y188" s="106"/>
    </row>
    <row r="189" spans="3:27" x14ac:dyDescent="0.2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25">
      <c r="D190" s="75"/>
      <c r="E190" s="75"/>
      <c r="I190" t="s">
        <v>152</v>
      </c>
      <c r="J190" s="106"/>
      <c r="K190" s="106"/>
      <c r="L190" s="106"/>
      <c r="M190" s="106"/>
      <c r="N190" s="106"/>
      <c r="O190" s="106"/>
      <c r="P190" s="106"/>
      <c r="Q190" s="106"/>
      <c r="R190" s="106"/>
      <c r="S190" s="106"/>
      <c r="T190" s="106"/>
      <c r="U190" s="106"/>
      <c r="V190" s="106"/>
      <c r="W190" s="106"/>
      <c r="X190" s="106"/>
      <c r="Y190" s="106"/>
      <c r="AA190" t="s">
        <v>660</v>
      </c>
    </row>
    <row r="191" spans="3:27" x14ac:dyDescent="0.25">
      <c r="C191" s="105"/>
      <c r="D191"/>
      <c r="E191" s="75" t="s">
        <v>576</v>
      </c>
      <c r="J191" s="106"/>
      <c r="K191" s="106"/>
      <c r="L191" s="106"/>
      <c r="M191" s="106"/>
      <c r="N191" s="106"/>
      <c r="O191" s="106"/>
      <c r="P191" s="106"/>
      <c r="Q191" s="106"/>
      <c r="R191" s="106"/>
      <c r="S191" s="106"/>
      <c r="T191" s="106"/>
      <c r="U191" s="106"/>
      <c r="V191" s="106"/>
      <c r="W191" s="106"/>
      <c r="X191" s="106"/>
      <c r="Y191" s="106"/>
    </row>
    <row r="192" spans="3:27" x14ac:dyDescent="0.25">
      <c r="C192" s="105"/>
      <c r="D192"/>
      <c r="F192" s="95" t="s">
        <v>187</v>
      </c>
      <c r="G192" s="95" t="s">
        <v>269</v>
      </c>
      <c r="H192" s="95"/>
      <c r="I192" s="95"/>
      <c r="J192" s="117"/>
      <c r="K192" s="117"/>
      <c r="L192" s="117"/>
      <c r="M192" s="117"/>
      <c r="N192" s="117"/>
      <c r="O192" s="117"/>
      <c r="P192" s="117"/>
      <c r="Q192" s="117"/>
      <c r="R192" s="117"/>
      <c r="S192" s="117"/>
      <c r="T192" s="117"/>
      <c r="U192" s="117"/>
      <c r="V192" s="117"/>
      <c r="W192" s="117"/>
      <c r="X192" s="117"/>
      <c r="Y192" s="117"/>
    </row>
    <row r="193" spans="3:25" x14ac:dyDescent="0.25">
      <c r="C193" s="105"/>
      <c r="D193"/>
      <c r="F193" t="s">
        <v>189</v>
      </c>
      <c r="G193" t="s">
        <v>269</v>
      </c>
      <c r="J193" s="119"/>
      <c r="K193" s="119"/>
      <c r="L193" s="119"/>
      <c r="M193" s="119"/>
      <c r="N193" s="119"/>
      <c r="O193" s="119"/>
      <c r="P193" s="119"/>
      <c r="Q193" s="119"/>
      <c r="R193" s="119"/>
      <c r="S193" s="119"/>
      <c r="T193" s="119"/>
      <c r="U193" s="119"/>
      <c r="V193" s="119"/>
      <c r="W193" s="119"/>
      <c r="X193" s="119"/>
      <c r="Y193" s="119"/>
    </row>
    <row r="194" spans="3:25" x14ac:dyDescent="0.25">
      <c r="C194" s="105"/>
      <c r="D194"/>
      <c r="F194" t="s">
        <v>190</v>
      </c>
      <c r="G194" t="s">
        <v>269</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v>
      </c>
      <c r="Q194" s="168">
        <f t="shared" ref="Q194" si="147">Q$121 * Q134</f>
        <v>0</v>
      </c>
      <c r="R194" s="119"/>
      <c r="S194" s="119"/>
      <c r="T194" s="119"/>
      <c r="U194" s="119"/>
      <c r="V194" s="119"/>
      <c r="W194" s="119"/>
      <c r="X194" s="119"/>
      <c r="Y194" s="119"/>
    </row>
    <row r="195" spans="3:25" x14ac:dyDescent="0.25">
      <c r="C195" s="105"/>
      <c r="D195"/>
      <c r="F195" t="s">
        <v>191</v>
      </c>
      <c r="G195" t="s">
        <v>269</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25">
      <c r="C196" s="105"/>
      <c r="D196"/>
      <c r="F196" t="s">
        <v>192</v>
      </c>
      <c r="G196" t="s">
        <v>269</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0.44481356230179864</v>
      </c>
      <c r="Q196" s="168">
        <f t="shared" ref="Q196" si="155">Q$121 * Q136</f>
        <v>0</v>
      </c>
      <c r="R196" s="119"/>
      <c r="S196" s="119"/>
      <c r="T196" s="119"/>
      <c r="U196" s="119"/>
      <c r="V196" s="119"/>
      <c r="W196" s="119"/>
      <c r="X196" s="119"/>
      <c r="Y196" s="119"/>
    </row>
    <row r="197" spans="3:25" x14ac:dyDescent="0.25">
      <c r="C197" s="105"/>
      <c r="D197"/>
      <c r="F197" t="s">
        <v>193</v>
      </c>
      <c r="G197" t="s">
        <v>269</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0.84631277267557159</v>
      </c>
      <c r="Q197" s="168">
        <f t="shared" ref="Q197" si="159">Q$121 * Q137</f>
        <v>0</v>
      </c>
      <c r="R197" s="119"/>
      <c r="S197" s="119"/>
      <c r="T197" s="119"/>
      <c r="U197" s="119"/>
      <c r="V197" s="119"/>
      <c r="W197" s="119"/>
      <c r="X197" s="119"/>
      <c r="Y197" s="119"/>
    </row>
    <row r="198" spans="3:25" x14ac:dyDescent="0.25">
      <c r="C198" s="105"/>
      <c r="D198"/>
      <c r="F198" t="s">
        <v>194</v>
      </c>
      <c r="G198" t="s">
        <v>269</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v>
      </c>
      <c r="Q198" s="168">
        <f t="shared" ref="Q198" si="163">Q$121 * Q138</f>
        <v>0</v>
      </c>
      <c r="R198" s="119"/>
      <c r="S198" s="119"/>
      <c r="T198" s="119"/>
      <c r="U198" s="119"/>
      <c r="V198" s="119"/>
      <c r="W198" s="119"/>
      <c r="X198" s="119"/>
      <c r="Y198" s="119"/>
    </row>
    <row r="199" spans="3:25" x14ac:dyDescent="0.25">
      <c r="C199" s="105"/>
      <c r="D199"/>
      <c r="F199" t="s">
        <v>195</v>
      </c>
      <c r="G199" t="s">
        <v>269</v>
      </c>
      <c r="J199" s="168">
        <f t="shared" ref="J199:K199" si="164">J$121 * J139</f>
        <v>0</v>
      </c>
      <c r="K199" s="168">
        <f t="shared" si="164"/>
        <v>0</v>
      </c>
      <c r="L199" s="168">
        <f t="shared" ref="L199:M199" si="165">L$121 * L139</f>
        <v>0</v>
      </c>
      <c r="M199" s="168">
        <f t="shared" si="165"/>
        <v>0</v>
      </c>
      <c r="N199" s="168">
        <f t="shared" ref="N199:P199" si="166">N$121 * N139</f>
        <v>0.62914248661638106</v>
      </c>
      <c r="O199" s="168">
        <f t="shared" si="166"/>
        <v>2.9687304268649566</v>
      </c>
      <c r="P199" s="168">
        <f t="shared" si="166"/>
        <v>2.9230576510670341</v>
      </c>
      <c r="Q199" s="168">
        <f t="shared" ref="Q199" si="167">Q$121 * Q139</f>
        <v>0</v>
      </c>
      <c r="R199" s="119"/>
      <c r="S199" s="119"/>
      <c r="T199" s="119"/>
      <c r="U199" s="119"/>
      <c r="V199" s="119"/>
      <c r="W199" s="119"/>
      <c r="X199" s="119"/>
      <c r="Y199" s="119"/>
    </row>
    <row r="200" spans="3:25" x14ac:dyDescent="0.25">
      <c r="C200" s="105"/>
      <c r="D200"/>
      <c r="F200" t="s">
        <v>196</v>
      </c>
      <c r="G200" t="s">
        <v>269</v>
      </c>
      <c r="J200" s="168">
        <f t="shared" ref="J200:K200" si="168">J$121 * J140</f>
        <v>0</v>
      </c>
      <c r="K200" s="168">
        <f t="shared" si="168"/>
        <v>0</v>
      </c>
      <c r="L200" s="168">
        <f t="shared" ref="L200:M200" si="169">L$121 * L140</f>
        <v>0</v>
      </c>
      <c r="M200" s="168">
        <f t="shared" si="169"/>
        <v>0</v>
      </c>
      <c r="N200" s="168">
        <f t="shared" ref="N200:P200" si="170">N$121 * N140</f>
        <v>0.95673958136839465</v>
      </c>
      <c r="O200" s="168">
        <f t="shared" si="170"/>
        <v>0.90291212760719641</v>
      </c>
      <c r="P200" s="168">
        <f t="shared" si="170"/>
        <v>0</v>
      </c>
      <c r="Q200" s="168">
        <f t="shared" ref="Q200" si="171">Q$121 * Q140</f>
        <v>0</v>
      </c>
      <c r="R200" s="119"/>
      <c r="S200" s="119"/>
      <c r="T200" s="119"/>
      <c r="U200" s="119"/>
      <c r="V200" s="119"/>
      <c r="W200" s="119"/>
      <c r="X200" s="119"/>
      <c r="Y200" s="119"/>
    </row>
    <row r="201" spans="3:25" x14ac:dyDescent="0.25">
      <c r="C201" s="105"/>
      <c r="D201"/>
      <c r="F201" t="s">
        <v>197</v>
      </c>
      <c r="G201" t="s">
        <v>269</v>
      </c>
      <c r="J201" s="168">
        <f t="shared" ref="J201:K201" si="172">J$121 * J141</f>
        <v>0</v>
      </c>
      <c r="K201" s="168">
        <f t="shared" si="172"/>
        <v>0</v>
      </c>
      <c r="L201" s="168">
        <f t="shared" ref="L201:M201" si="173">L$121 * L141</f>
        <v>0</v>
      </c>
      <c r="M201" s="168">
        <f t="shared" si="173"/>
        <v>0</v>
      </c>
      <c r="N201" s="168">
        <f t="shared" ref="N201:P201" si="174">N$121 * N141</f>
        <v>2.5390810377525548</v>
      </c>
      <c r="O201" s="168">
        <f t="shared" si="174"/>
        <v>0</v>
      </c>
      <c r="P201" s="168">
        <f t="shared" si="174"/>
        <v>0</v>
      </c>
      <c r="Q201" s="168">
        <f t="shared" ref="Q201" si="175">Q$121 * Q141</f>
        <v>0</v>
      </c>
      <c r="R201" s="119"/>
      <c r="S201" s="119"/>
      <c r="T201" s="119"/>
      <c r="U201" s="119"/>
      <c r="V201" s="119"/>
      <c r="W201" s="119"/>
      <c r="X201" s="119"/>
      <c r="Y201" s="119"/>
    </row>
    <row r="202" spans="3:25" x14ac:dyDescent="0.25">
      <c r="C202" s="105"/>
      <c r="D202"/>
      <c r="F202" t="s">
        <v>332</v>
      </c>
      <c r="G202" t="s">
        <v>269</v>
      </c>
      <c r="J202" s="119"/>
      <c r="K202" s="119"/>
      <c r="L202" s="119"/>
      <c r="M202" s="119"/>
      <c r="N202" s="119"/>
      <c r="O202" s="119"/>
      <c r="P202" s="119"/>
      <c r="Q202" s="119"/>
      <c r="R202" s="119"/>
      <c r="S202" s="119"/>
      <c r="T202" s="119"/>
      <c r="U202" s="119"/>
      <c r="V202" s="119"/>
      <c r="W202" s="119"/>
      <c r="X202" s="119"/>
      <c r="Y202" s="119"/>
    </row>
    <row r="203" spans="3:25" x14ac:dyDescent="0.25">
      <c r="C203" s="105"/>
      <c r="D203"/>
      <c r="F203" s="96" t="s">
        <v>333</v>
      </c>
      <c r="G203" s="96" t="s">
        <v>269</v>
      </c>
      <c r="H203" s="96"/>
      <c r="I203" s="96"/>
      <c r="J203" s="121"/>
      <c r="K203" s="121"/>
      <c r="L203" s="121"/>
      <c r="M203" s="121"/>
      <c r="N203" s="121"/>
      <c r="O203" s="121"/>
      <c r="P203" s="121"/>
      <c r="Q203" s="121"/>
      <c r="R203" s="121"/>
      <c r="S203" s="121"/>
      <c r="T203" s="121"/>
      <c r="U203" s="121"/>
      <c r="V203" s="121"/>
      <c r="W203" s="121"/>
      <c r="X203" s="121"/>
      <c r="Y203" s="121"/>
    </row>
    <row r="204" spans="3:25" x14ac:dyDescent="0.25">
      <c r="C204" s="105"/>
      <c r="D204"/>
      <c r="J204" s="106"/>
      <c r="K204" s="106"/>
      <c r="L204" s="106"/>
      <c r="M204" s="106"/>
      <c r="N204" s="106"/>
      <c r="O204" s="106"/>
      <c r="P204" s="106"/>
      <c r="Q204" s="106"/>
      <c r="R204" s="106"/>
      <c r="S204" s="106"/>
      <c r="T204" s="106"/>
      <c r="U204" s="106"/>
      <c r="V204" s="106"/>
      <c r="W204" s="106"/>
      <c r="X204" s="106"/>
      <c r="Y204" s="106"/>
    </row>
    <row r="205" spans="3:25" x14ac:dyDescent="0.25">
      <c r="C205" s="105"/>
      <c r="D205"/>
      <c r="E205" s="75" t="s">
        <v>577</v>
      </c>
      <c r="J205" s="106"/>
      <c r="K205" s="106"/>
      <c r="L205" s="106"/>
      <c r="M205" s="106"/>
      <c r="N205" s="106"/>
      <c r="O205" s="106"/>
      <c r="P205" s="106"/>
      <c r="Q205" s="106"/>
      <c r="R205" s="106"/>
      <c r="S205" s="106"/>
      <c r="T205" s="106"/>
      <c r="U205" s="106"/>
      <c r="V205" s="106"/>
      <c r="W205" s="106"/>
      <c r="X205" s="106"/>
      <c r="Y205" s="106"/>
    </row>
    <row r="206" spans="3:25" x14ac:dyDescent="0.25">
      <c r="C206" s="105"/>
      <c r="D206"/>
      <c r="F206" s="95" t="s">
        <v>187</v>
      </c>
      <c r="G206" s="95" t="s">
        <v>269</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25">
      <c r="C207" s="105"/>
      <c r="D207"/>
      <c r="F207" t="s">
        <v>189</v>
      </c>
      <c r="G207" t="s">
        <v>269</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25">
      <c r="C208" s="105"/>
      <c r="D208"/>
      <c r="F208" t="s">
        <v>190</v>
      </c>
      <c r="G208" t="s">
        <v>269</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v>
      </c>
      <c r="Q208" s="168">
        <f t="shared" ref="Q208" si="187">Q$121 * Q148</f>
        <v>0</v>
      </c>
      <c r="R208" s="119"/>
      <c r="S208" s="119"/>
      <c r="T208" s="119"/>
      <c r="U208" s="119"/>
      <c r="V208" s="119"/>
      <c r="W208" s="119"/>
      <c r="X208" s="119"/>
      <c r="Y208" s="119"/>
    </row>
    <row r="209" spans="3:27" x14ac:dyDescent="0.25">
      <c r="C209" s="105"/>
      <c r="D209"/>
      <c r="F209" t="s">
        <v>191</v>
      </c>
      <c r="G209" t="s">
        <v>269</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25">
      <c r="C210" s="105"/>
      <c r="D210"/>
      <c r="F210" t="s">
        <v>192</v>
      </c>
      <c r="G210" t="s">
        <v>269</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0.14643864977810067</v>
      </c>
      <c r="Q210" s="168">
        <f t="shared" ref="Q210" si="195">Q$121 * Q150</f>
        <v>0</v>
      </c>
      <c r="R210" s="119"/>
      <c r="S210" s="119"/>
      <c r="T210" s="119"/>
      <c r="U210" s="119"/>
      <c r="V210" s="119"/>
      <c r="W210" s="119"/>
      <c r="X210" s="119"/>
      <c r="Y210" s="119"/>
    </row>
    <row r="211" spans="3:27" x14ac:dyDescent="0.25">
      <c r="C211" s="105"/>
      <c r="D211"/>
      <c r="F211" t="s">
        <v>193</v>
      </c>
      <c r="G211" t="s">
        <v>269</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0.27861762820191377</v>
      </c>
      <c r="Q211" s="168">
        <f t="shared" ref="Q211" si="199">Q$121 * Q151</f>
        <v>0</v>
      </c>
      <c r="R211" s="119"/>
      <c r="S211" s="119"/>
      <c r="T211" s="119"/>
      <c r="U211" s="119"/>
      <c r="V211" s="119"/>
      <c r="W211" s="119"/>
      <c r="X211" s="119"/>
      <c r="Y211" s="119"/>
    </row>
    <row r="212" spans="3:27" x14ac:dyDescent="0.25">
      <c r="C212" s="105"/>
      <c r="D212"/>
      <c r="F212" t="s">
        <v>194</v>
      </c>
      <c r="G212" t="s">
        <v>269</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v>
      </c>
      <c r="Q212" s="168">
        <f t="shared" ref="Q212" si="203">Q$121 * Q152</f>
        <v>0</v>
      </c>
      <c r="R212" s="119"/>
      <c r="S212" s="119"/>
      <c r="T212" s="119"/>
      <c r="U212" s="119"/>
      <c r="V212" s="119"/>
      <c r="W212" s="119"/>
      <c r="X212" s="119"/>
      <c r="Y212" s="119"/>
    </row>
    <row r="213" spans="3:27" x14ac:dyDescent="0.25">
      <c r="C213" s="105"/>
      <c r="D213"/>
      <c r="F213" t="s">
        <v>195</v>
      </c>
      <c r="G213" t="s">
        <v>269</v>
      </c>
      <c r="J213" s="168">
        <f t="shared" ref="J213:K213" si="204">J$121 * J153</f>
        <v>0</v>
      </c>
      <c r="K213" s="168">
        <f t="shared" si="204"/>
        <v>0</v>
      </c>
      <c r="L213" s="168">
        <f t="shared" ref="L213:M213" si="205">L$121 * L153</f>
        <v>0</v>
      </c>
      <c r="M213" s="168">
        <f t="shared" si="205"/>
        <v>0</v>
      </c>
      <c r="N213" s="168">
        <f t="shared" ref="N213:P213" si="206">N$121 * N153</f>
        <v>0.20712222842618824</v>
      </c>
      <c r="O213" s="168">
        <f t="shared" si="206"/>
        <v>0.9773462684357338</v>
      </c>
      <c r="P213" s="168">
        <f t="shared" si="206"/>
        <v>0.96231017199826085</v>
      </c>
      <c r="Q213" s="168">
        <f t="shared" ref="Q213" si="207">Q$121 * Q153</f>
        <v>0</v>
      </c>
      <c r="R213" s="119"/>
      <c r="S213" s="119"/>
      <c r="T213" s="119"/>
      <c r="U213" s="119"/>
      <c r="V213" s="119"/>
      <c r="W213" s="119"/>
      <c r="X213" s="119"/>
      <c r="Y213" s="119"/>
    </row>
    <row r="214" spans="3:27" x14ac:dyDescent="0.25">
      <c r="C214" s="105"/>
      <c r="D214"/>
      <c r="F214" t="s">
        <v>196</v>
      </c>
      <c r="G214" t="s">
        <v>269</v>
      </c>
      <c r="J214" s="168">
        <f t="shared" ref="J214:K214" si="208">J$121 * J154</f>
        <v>0</v>
      </c>
      <c r="K214" s="168">
        <f t="shared" si="208"/>
        <v>0</v>
      </c>
      <c r="L214" s="168">
        <f t="shared" ref="L214:M214" si="209">L$121 * L154</f>
        <v>0</v>
      </c>
      <c r="M214" s="168">
        <f t="shared" si="209"/>
        <v>0</v>
      </c>
      <c r="N214" s="168">
        <f t="shared" ref="N214:P214" si="210">N$121 * N154</f>
        <v>0.31497162937175682</v>
      </c>
      <c r="O214" s="168">
        <f t="shared" si="210"/>
        <v>0.2972509024924021</v>
      </c>
      <c r="P214" s="168">
        <f t="shared" si="210"/>
        <v>0</v>
      </c>
      <c r="Q214" s="168">
        <f t="shared" ref="Q214" si="211">Q$121 * Q154</f>
        <v>0</v>
      </c>
      <c r="R214" s="119"/>
      <c r="S214" s="119"/>
      <c r="T214" s="119"/>
      <c r="U214" s="119"/>
      <c r="V214" s="119"/>
      <c r="W214" s="119"/>
      <c r="X214" s="119"/>
      <c r="Y214" s="119"/>
    </row>
    <row r="215" spans="3:27" x14ac:dyDescent="0.25">
      <c r="C215" s="105"/>
      <c r="D215"/>
      <c r="F215" t="s">
        <v>197</v>
      </c>
      <c r="G215" t="s">
        <v>269</v>
      </c>
      <c r="J215" s="168">
        <f t="shared" ref="J215:K215" si="212">J$121 * J155</f>
        <v>0</v>
      </c>
      <c r="K215" s="168">
        <f t="shared" si="212"/>
        <v>0</v>
      </c>
      <c r="L215" s="168">
        <f t="shared" ref="L215:M215" si="213">L$121 * L155</f>
        <v>0</v>
      </c>
      <c r="M215" s="168">
        <f t="shared" si="213"/>
        <v>0</v>
      </c>
      <c r="N215" s="168">
        <f t="shared" ref="N215:P215" si="214">N$121 * N155</f>
        <v>0.83589986987264886</v>
      </c>
      <c r="O215" s="168">
        <f t="shared" si="214"/>
        <v>0</v>
      </c>
      <c r="P215" s="168">
        <f t="shared" si="214"/>
        <v>0</v>
      </c>
      <c r="Q215" s="168">
        <f t="shared" ref="Q215" si="215">Q$121 * Q155</f>
        <v>0</v>
      </c>
      <c r="R215" s="119"/>
      <c r="S215" s="119"/>
      <c r="T215" s="119"/>
      <c r="U215" s="119"/>
      <c r="V215" s="119"/>
      <c r="W215" s="119"/>
      <c r="X215" s="119"/>
      <c r="Y215" s="119"/>
    </row>
    <row r="216" spans="3:27" x14ac:dyDescent="0.25">
      <c r="C216" s="105"/>
      <c r="D216"/>
      <c r="F216" t="s">
        <v>332</v>
      </c>
      <c r="G216" t="s">
        <v>269</v>
      </c>
      <c r="J216" s="119"/>
      <c r="K216" s="119"/>
      <c r="L216" s="119"/>
      <c r="M216" s="119"/>
      <c r="N216" s="119"/>
      <c r="O216" s="119"/>
      <c r="P216" s="119"/>
      <c r="Q216" s="119"/>
      <c r="R216" s="119"/>
      <c r="S216" s="119"/>
      <c r="T216" s="119"/>
      <c r="U216" s="119"/>
      <c r="V216" s="119"/>
      <c r="W216" s="119"/>
      <c r="X216" s="119"/>
      <c r="Y216" s="119"/>
    </row>
    <row r="217" spans="3:27" x14ac:dyDescent="0.25">
      <c r="C217" s="105"/>
      <c r="D217"/>
      <c r="F217" s="96" t="s">
        <v>333</v>
      </c>
      <c r="G217" s="96" t="s">
        <v>269</v>
      </c>
      <c r="H217" s="96"/>
      <c r="I217" s="96"/>
      <c r="J217" s="121"/>
      <c r="K217" s="121"/>
      <c r="L217" s="121"/>
      <c r="M217" s="121"/>
      <c r="N217" s="121"/>
      <c r="O217" s="121"/>
      <c r="P217" s="121"/>
      <c r="Q217" s="121"/>
      <c r="R217" s="121"/>
      <c r="S217" s="121"/>
      <c r="T217" s="121"/>
      <c r="U217" s="121"/>
      <c r="V217" s="121"/>
      <c r="W217" s="121"/>
      <c r="X217" s="121"/>
      <c r="Y217" s="121"/>
    </row>
    <row r="218" spans="3:27" x14ac:dyDescent="0.25">
      <c r="C218" s="105"/>
      <c r="J218" s="106"/>
      <c r="K218" s="106"/>
      <c r="L218" s="106"/>
      <c r="M218" s="106"/>
      <c r="N218" s="106"/>
      <c r="O218" s="106"/>
      <c r="P218" s="106"/>
      <c r="Q218" s="106"/>
      <c r="R218" s="106"/>
      <c r="S218" s="106"/>
      <c r="T218" s="106"/>
      <c r="U218" s="106"/>
      <c r="V218" s="106"/>
      <c r="W218" s="106"/>
      <c r="X218" s="106"/>
      <c r="Y218" s="106"/>
    </row>
    <row r="219" spans="3:27" x14ac:dyDescent="0.2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25">
      <c r="D220" s="75"/>
      <c r="E220" s="75"/>
      <c r="I220" t="s">
        <v>152</v>
      </c>
      <c r="J220" s="106"/>
      <c r="K220" s="106"/>
      <c r="L220" s="106"/>
      <c r="M220" s="106"/>
      <c r="N220" s="106"/>
      <c r="O220" s="106"/>
      <c r="P220" s="106"/>
      <c r="Q220" s="106"/>
      <c r="R220" s="106"/>
      <c r="S220" s="106"/>
      <c r="T220" s="106"/>
      <c r="U220" s="106"/>
      <c r="V220" s="106"/>
      <c r="W220" s="106"/>
      <c r="X220" s="106"/>
      <c r="Y220" s="106"/>
      <c r="AA220" t="s">
        <v>661</v>
      </c>
    </row>
    <row r="221" spans="3:27" x14ac:dyDescent="0.25">
      <c r="C221" s="105"/>
      <c r="D221"/>
      <c r="E221" s="75" t="s">
        <v>576</v>
      </c>
      <c r="J221" s="106"/>
      <c r="K221" s="106"/>
      <c r="L221" s="106"/>
      <c r="M221" s="106"/>
      <c r="N221" s="106"/>
      <c r="O221" s="106"/>
      <c r="P221" s="106"/>
      <c r="Q221" s="106"/>
      <c r="R221" s="106"/>
      <c r="S221" s="106"/>
      <c r="T221" s="106"/>
      <c r="U221" s="106"/>
      <c r="V221" s="106"/>
      <c r="W221" s="106"/>
      <c r="X221" s="106"/>
      <c r="Y221" s="106"/>
    </row>
    <row r="222" spans="3:27" x14ac:dyDescent="0.25">
      <c r="C222" s="105"/>
      <c r="D222"/>
      <c r="F222" s="95" t="s">
        <v>187</v>
      </c>
      <c r="G222" s="95" t="s">
        <v>269</v>
      </c>
      <c r="H222" s="95"/>
      <c r="I222" s="95"/>
      <c r="J222" s="117"/>
      <c r="K222" s="117"/>
      <c r="L222" s="117"/>
      <c r="M222" s="117"/>
      <c r="N222" s="117"/>
      <c r="O222" s="117"/>
      <c r="P222" s="117"/>
      <c r="Q222" s="117"/>
      <c r="R222" s="117"/>
      <c r="S222" s="117"/>
      <c r="T222" s="117"/>
      <c r="U222" s="117"/>
      <c r="V222" s="117"/>
      <c r="W222" s="117"/>
      <c r="X222" s="117"/>
      <c r="Y222" s="117"/>
    </row>
    <row r="223" spans="3:27" x14ac:dyDescent="0.25">
      <c r="C223" s="105"/>
      <c r="D223"/>
      <c r="F223" t="s">
        <v>189</v>
      </c>
      <c r="G223" t="s">
        <v>269</v>
      </c>
      <c r="J223" s="119"/>
      <c r="K223" s="119"/>
      <c r="L223" s="119"/>
      <c r="M223" s="119"/>
      <c r="N223" s="119"/>
      <c r="O223" s="119"/>
      <c r="P223" s="119"/>
      <c r="Q223" s="119"/>
      <c r="R223" s="119"/>
      <c r="S223" s="119"/>
      <c r="T223" s="119"/>
      <c r="U223" s="119"/>
      <c r="V223" s="119"/>
      <c r="W223" s="119"/>
      <c r="X223" s="119"/>
      <c r="Y223" s="119"/>
    </row>
    <row r="224" spans="3:27" x14ac:dyDescent="0.25">
      <c r="C224" s="105"/>
      <c r="D224"/>
      <c r="F224" t="s">
        <v>190</v>
      </c>
      <c r="G224" t="s">
        <v>269</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v>
      </c>
      <c r="Q224" s="168">
        <f t="shared" ref="Q224" si="219">Q$122 * Q164</f>
        <v>0</v>
      </c>
      <c r="R224" s="119"/>
      <c r="S224" s="119"/>
      <c r="T224" s="119"/>
      <c r="U224" s="119"/>
      <c r="V224" s="119"/>
      <c r="W224" s="119"/>
      <c r="X224" s="119"/>
      <c r="Y224" s="119"/>
    </row>
    <row r="225" spans="3:25" x14ac:dyDescent="0.25">
      <c r="C225" s="105"/>
      <c r="D225"/>
      <c r="F225" t="s">
        <v>191</v>
      </c>
      <c r="G225" t="s">
        <v>269</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25">
      <c r="C226" s="105"/>
      <c r="D226"/>
      <c r="F226" t="s">
        <v>192</v>
      </c>
      <c r="G226" t="s">
        <v>269</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0.44481356230179864</v>
      </c>
      <c r="Q226" s="168">
        <f t="shared" ref="Q226" si="227">Q$122 * Q166</f>
        <v>0</v>
      </c>
      <c r="R226" s="119"/>
      <c r="S226" s="119"/>
      <c r="T226" s="119"/>
      <c r="U226" s="119"/>
      <c r="V226" s="119"/>
      <c r="W226" s="119"/>
      <c r="X226" s="119"/>
      <c r="Y226" s="119"/>
    </row>
    <row r="227" spans="3:25" x14ac:dyDescent="0.25">
      <c r="C227" s="105"/>
      <c r="D227"/>
      <c r="F227" t="s">
        <v>193</v>
      </c>
      <c r="G227" t="s">
        <v>269</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0.84631277267557159</v>
      </c>
      <c r="Q227" s="168">
        <f t="shared" ref="Q227" si="231">Q$122 * Q167</f>
        <v>0</v>
      </c>
      <c r="R227" s="119"/>
      <c r="S227" s="119"/>
      <c r="T227" s="119"/>
      <c r="U227" s="119"/>
      <c r="V227" s="119"/>
      <c r="W227" s="119"/>
      <c r="X227" s="119"/>
      <c r="Y227" s="119"/>
    </row>
    <row r="228" spans="3:25" x14ac:dyDescent="0.25">
      <c r="C228" s="105"/>
      <c r="D228"/>
      <c r="F228" t="s">
        <v>194</v>
      </c>
      <c r="G228" t="s">
        <v>269</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v>
      </c>
      <c r="Q228" s="168">
        <f t="shared" ref="Q228" si="235">Q$122 * Q168</f>
        <v>0</v>
      </c>
      <c r="R228" s="119"/>
      <c r="S228" s="119"/>
      <c r="T228" s="119"/>
      <c r="U228" s="119"/>
      <c r="V228" s="119"/>
      <c r="W228" s="119"/>
      <c r="X228" s="119"/>
      <c r="Y228" s="119"/>
    </row>
    <row r="229" spans="3:25" x14ac:dyDescent="0.25">
      <c r="C229" s="105"/>
      <c r="D229"/>
      <c r="F229" t="s">
        <v>195</v>
      </c>
      <c r="G229" t="s">
        <v>269</v>
      </c>
      <c r="J229" s="168">
        <f t="shared" ref="J229:K229" si="236">J$122 * J169</f>
        <v>0</v>
      </c>
      <c r="K229" s="168">
        <f t="shared" si="236"/>
        <v>0</v>
      </c>
      <c r="L229" s="168">
        <f t="shared" ref="L229:M229" si="237">L$122 * L169</f>
        <v>0</v>
      </c>
      <c r="M229" s="168">
        <f t="shared" si="237"/>
        <v>0</v>
      </c>
      <c r="N229" s="168">
        <f t="shared" ref="N229:P229" si="238">N$122 * N169</f>
        <v>0.62914248661638106</v>
      </c>
      <c r="O229" s="168">
        <f t="shared" si="238"/>
        <v>2.9687304268649566</v>
      </c>
      <c r="P229" s="168">
        <f t="shared" si="238"/>
        <v>2.9230576510670341</v>
      </c>
      <c r="Q229" s="168">
        <f t="shared" ref="Q229" si="239">Q$122 * Q169</f>
        <v>0</v>
      </c>
      <c r="R229" s="119"/>
      <c r="S229" s="119"/>
      <c r="T229" s="119"/>
      <c r="U229" s="119"/>
      <c r="V229" s="119"/>
      <c r="W229" s="119"/>
      <c r="X229" s="119"/>
      <c r="Y229" s="119"/>
    </row>
    <row r="230" spans="3:25" x14ac:dyDescent="0.25">
      <c r="C230" s="105"/>
      <c r="D230"/>
      <c r="F230" t="s">
        <v>196</v>
      </c>
      <c r="G230" t="s">
        <v>269</v>
      </c>
      <c r="J230" s="168">
        <f t="shared" ref="J230:K230" si="240">J$122 * J170</f>
        <v>0</v>
      </c>
      <c r="K230" s="168">
        <f t="shared" si="240"/>
        <v>0</v>
      </c>
      <c r="L230" s="168">
        <f t="shared" ref="L230:M230" si="241">L$122 * L170</f>
        <v>0</v>
      </c>
      <c r="M230" s="168">
        <f t="shared" si="241"/>
        <v>0</v>
      </c>
      <c r="N230" s="168">
        <f t="shared" ref="N230:P230" si="242">N$122 * N170</f>
        <v>0.95673958136839465</v>
      </c>
      <c r="O230" s="168">
        <f t="shared" si="242"/>
        <v>0.90291212760719641</v>
      </c>
      <c r="P230" s="168">
        <f t="shared" si="242"/>
        <v>0</v>
      </c>
      <c r="Q230" s="168">
        <f t="shared" ref="Q230" si="243">Q$122 * Q170</f>
        <v>0</v>
      </c>
      <c r="R230" s="119"/>
      <c r="S230" s="119"/>
      <c r="T230" s="119"/>
      <c r="U230" s="119"/>
      <c r="V230" s="119"/>
      <c r="W230" s="119"/>
      <c r="X230" s="119"/>
      <c r="Y230" s="119"/>
    </row>
    <row r="231" spans="3:25" x14ac:dyDescent="0.25">
      <c r="C231" s="105"/>
      <c r="D231"/>
      <c r="F231" t="s">
        <v>197</v>
      </c>
      <c r="G231" t="s">
        <v>269</v>
      </c>
      <c r="J231" s="168">
        <f t="shared" ref="J231:K231" si="244">J$122 * J171</f>
        <v>0</v>
      </c>
      <c r="K231" s="168">
        <f t="shared" si="244"/>
        <v>0</v>
      </c>
      <c r="L231" s="168">
        <f t="shared" ref="L231:M231" si="245">L$122 * L171</f>
        <v>0</v>
      </c>
      <c r="M231" s="168">
        <f t="shared" si="245"/>
        <v>0</v>
      </c>
      <c r="N231" s="168">
        <f t="shared" ref="N231:P231" si="246">N$122 * N171</f>
        <v>2.5390810377525548</v>
      </c>
      <c r="O231" s="168">
        <f t="shared" si="246"/>
        <v>0</v>
      </c>
      <c r="P231" s="168">
        <f t="shared" si="246"/>
        <v>0</v>
      </c>
      <c r="Q231" s="168">
        <f t="shared" ref="Q231" si="247">Q$122 * Q171</f>
        <v>0</v>
      </c>
      <c r="R231" s="119"/>
      <c r="S231" s="119"/>
      <c r="T231" s="119"/>
      <c r="U231" s="119"/>
      <c r="V231" s="119"/>
      <c r="W231" s="119"/>
      <c r="X231" s="119"/>
      <c r="Y231" s="119"/>
    </row>
    <row r="232" spans="3:25" x14ac:dyDescent="0.25">
      <c r="C232" s="105"/>
      <c r="D232"/>
      <c r="F232" t="s">
        <v>332</v>
      </c>
      <c r="G232" t="s">
        <v>269</v>
      </c>
      <c r="J232" s="119"/>
      <c r="K232" s="119"/>
      <c r="L232" s="119"/>
      <c r="M232" s="119"/>
      <c r="N232" s="119"/>
      <c r="O232" s="119"/>
      <c r="P232" s="119"/>
      <c r="Q232" s="119"/>
      <c r="R232" s="119"/>
      <c r="S232" s="119"/>
      <c r="T232" s="119"/>
      <c r="U232" s="119"/>
      <c r="V232" s="119"/>
      <c r="W232" s="119"/>
      <c r="X232" s="119"/>
      <c r="Y232" s="119"/>
    </row>
    <row r="233" spans="3:25" x14ac:dyDescent="0.25">
      <c r="C233" s="105"/>
      <c r="D233"/>
      <c r="F233" s="96" t="s">
        <v>333</v>
      </c>
      <c r="G233" s="96" t="s">
        <v>269</v>
      </c>
      <c r="H233" s="96"/>
      <c r="I233" s="96"/>
      <c r="J233" s="121"/>
      <c r="K233" s="121"/>
      <c r="L233" s="121"/>
      <c r="M233" s="121"/>
      <c r="N233" s="121"/>
      <c r="O233" s="121"/>
      <c r="P233" s="121"/>
      <c r="Q233" s="121"/>
      <c r="R233" s="121"/>
      <c r="S233" s="121"/>
      <c r="T233" s="121"/>
      <c r="U233" s="121"/>
      <c r="V233" s="121"/>
      <c r="W233" s="121"/>
      <c r="X233" s="121"/>
      <c r="Y233" s="121"/>
    </row>
    <row r="234" spans="3:25" x14ac:dyDescent="0.25">
      <c r="C234" s="105"/>
      <c r="D234"/>
      <c r="J234" s="106"/>
      <c r="K234" s="106"/>
      <c r="L234" s="106"/>
      <c r="M234" s="106"/>
      <c r="N234" s="106"/>
      <c r="O234" s="106"/>
      <c r="P234" s="106"/>
      <c r="Q234" s="106"/>
      <c r="R234" s="106"/>
      <c r="S234" s="106"/>
      <c r="T234" s="106"/>
      <c r="U234" s="106"/>
      <c r="V234" s="106"/>
      <c r="W234" s="106"/>
      <c r="X234" s="106"/>
      <c r="Y234" s="106"/>
    </row>
    <row r="235" spans="3:25" x14ac:dyDescent="0.25">
      <c r="C235" s="105"/>
      <c r="D235"/>
      <c r="E235" s="75" t="s">
        <v>577</v>
      </c>
      <c r="J235" s="106"/>
      <c r="K235" s="106"/>
      <c r="L235" s="106"/>
      <c r="M235" s="106"/>
      <c r="N235" s="106"/>
      <c r="O235" s="106"/>
      <c r="P235" s="106"/>
      <c r="Q235" s="106"/>
      <c r="R235" s="106"/>
      <c r="S235" s="106"/>
      <c r="T235" s="106"/>
      <c r="U235" s="106"/>
      <c r="V235" s="106"/>
      <c r="W235" s="106"/>
      <c r="X235" s="106"/>
      <c r="Y235" s="106"/>
    </row>
    <row r="236" spans="3:25" x14ac:dyDescent="0.25">
      <c r="C236" s="105"/>
      <c r="D236"/>
      <c r="F236" s="95" t="s">
        <v>187</v>
      </c>
      <c r="G236" s="95" t="s">
        <v>269</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25">
      <c r="C237" s="105"/>
      <c r="D237"/>
      <c r="F237" t="s">
        <v>189</v>
      </c>
      <c r="G237" t="s">
        <v>269</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25">
      <c r="C238" s="105"/>
      <c r="D238"/>
      <c r="F238" t="s">
        <v>190</v>
      </c>
      <c r="G238" t="s">
        <v>269</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v>
      </c>
      <c r="Q238" s="168">
        <f t="shared" ref="Q238" si="259">Q$122 * Q178</f>
        <v>0</v>
      </c>
      <c r="R238" s="119"/>
      <c r="S238" s="119"/>
      <c r="T238" s="119"/>
      <c r="U238" s="119"/>
      <c r="V238" s="119"/>
      <c r="W238" s="119"/>
      <c r="X238" s="119"/>
      <c r="Y238" s="119"/>
    </row>
    <row r="239" spans="3:25" x14ac:dyDescent="0.25">
      <c r="C239" s="105"/>
      <c r="D239"/>
      <c r="F239" t="s">
        <v>191</v>
      </c>
      <c r="G239" t="s">
        <v>269</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25">
      <c r="C240" s="105"/>
      <c r="D240"/>
      <c r="F240" t="s">
        <v>192</v>
      </c>
      <c r="G240" t="s">
        <v>269</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0.14643864977810067</v>
      </c>
      <c r="Q240" s="168">
        <f t="shared" ref="Q240" si="267">Q$122 * Q180</f>
        <v>0</v>
      </c>
      <c r="R240" s="119"/>
      <c r="S240" s="119"/>
      <c r="T240" s="119"/>
      <c r="U240" s="119"/>
      <c r="V240" s="119"/>
      <c r="W240" s="119"/>
      <c r="X240" s="119"/>
      <c r="Y240" s="119"/>
    </row>
    <row r="241" spans="2:27" x14ac:dyDescent="0.25">
      <c r="C241" s="105"/>
      <c r="D241"/>
      <c r="F241" t="s">
        <v>193</v>
      </c>
      <c r="G241" t="s">
        <v>269</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0.27861762820191377</v>
      </c>
      <c r="Q241" s="168">
        <f t="shared" ref="Q241" si="271">Q$122 * Q181</f>
        <v>0</v>
      </c>
      <c r="R241" s="119"/>
      <c r="S241" s="119"/>
      <c r="T241" s="119"/>
      <c r="U241" s="119"/>
      <c r="V241" s="119"/>
      <c r="W241" s="119"/>
      <c r="X241" s="119"/>
      <c r="Y241" s="119"/>
    </row>
    <row r="242" spans="2:27" x14ac:dyDescent="0.25">
      <c r="C242" s="105"/>
      <c r="D242"/>
      <c r="F242" t="s">
        <v>194</v>
      </c>
      <c r="G242" t="s">
        <v>269</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v>
      </c>
      <c r="Q242" s="168">
        <f t="shared" ref="Q242" si="275">Q$122 * Q182</f>
        <v>0</v>
      </c>
      <c r="R242" s="119"/>
      <c r="S242" s="119"/>
      <c r="T242" s="119"/>
      <c r="U242" s="119"/>
      <c r="V242" s="119"/>
      <c r="W242" s="119"/>
      <c r="X242" s="119"/>
      <c r="Y242" s="119"/>
    </row>
    <row r="243" spans="2:27" x14ac:dyDescent="0.25">
      <c r="C243" s="105"/>
      <c r="D243"/>
      <c r="F243" t="s">
        <v>195</v>
      </c>
      <c r="G243" t="s">
        <v>269</v>
      </c>
      <c r="J243" s="168">
        <f t="shared" ref="J243:K243" si="276">J$122 * J183</f>
        <v>0</v>
      </c>
      <c r="K243" s="168">
        <f t="shared" si="276"/>
        <v>0</v>
      </c>
      <c r="L243" s="168">
        <f t="shared" ref="L243:M243" si="277">L$122 * L183</f>
        <v>0</v>
      </c>
      <c r="M243" s="168">
        <f t="shared" si="277"/>
        <v>0</v>
      </c>
      <c r="N243" s="168">
        <f t="shared" ref="N243:P243" si="278">N$122 * N183</f>
        <v>0.20712222842618824</v>
      </c>
      <c r="O243" s="168">
        <f t="shared" si="278"/>
        <v>0.9773462684357338</v>
      </c>
      <c r="P243" s="168">
        <f t="shared" si="278"/>
        <v>0.96231017199826085</v>
      </c>
      <c r="Q243" s="168">
        <f t="shared" ref="Q243" si="279">Q$122 * Q183</f>
        <v>0</v>
      </c>
      <c r="R243" s="119"/>
      <c r="S243" s="119"/>
      <c r="T243" s="119"/>
      <c r="U243" s="119"/>
      <c r="V243" s="119"/>
      <c r="W243" s="119"/>
      <c r="X243" s="119"/>
      <c r="Y243" s="119"/>
    </row>
    <row r="244" spans="2:27" x14ac:dyDescent="0.25">
      <c r="C244" s="105"/>
      <c r="D244"/>
      <c r="F244" t="s">
        <v>196</v>
      </c>
      <c r="G244" t="s">
        <v>269</v>
      </c>
      <c r="J244" s="168">
        <f t="shared" ref="J244:K244" si="280">J$122 * J184</f>
        <v>0</v>
      </c>
      <c r="K244" s="168">
        <f t="shared" si="280"/>
        <v>0</v>
      </c>
      <c r="L244" s="168">
        <f t="shared" ref="L244:M244" si="281">L$122 * L184</f>
        <v>0</v>
      </c>
      <c r="M244" s="168">
        <f t="shared" si="281"/>
        <v>0</v>
      </c>
      <c r="N244" s="168">
        <f t="shared" ref="N244:P244" si="282">N$122 * N184</f>
        <v>0.31497162937175682</v>
      </c>
      <c r="O244" s="168">
        <f t="shared" si="282"/>
        <v>0.2972509024924021</v>
      </c>
      <c r="P244" s="168">
        <f t="shared" si="282"/>
        <v>0</v>
      </c>
      <c r="Q244" s="168">
        <f t="shared" ref="Q244" si="283">Q$122 * Q184</f>
        <v>0</v>
      </c>
      <c r="R244" s="119"/>
      <c r="S244" s="119"/>
      <c r="T244" s="119"/>
      <c r="U244" s="119"/>
      <c r="V244" s="119"/>
      <c r="W244" s="119"/>
      <c r="X244" s="119"/>
      <c r="Y244" s="119"/>
    </row>
    <row r="245" spans="2:27" x14ac:dyDescent="0.25">
      <c r="C245" s="105"/>
      <c r="D245"/>
      <c r="F245" t="s">
        <v>197</v>
      </c>
      <c r="G245" t="s">
        <v>269</v>
      </c>
      <c r="J245" s="168">
        <f t="shared" ref="J245:K245" si="284">J$122 * J185</f>
        <v>0</v>
      </c>
      <c r="K245" s="168">
        <f t="shared" si="284"/>
        <v>0</v>
      </c>
      <c r="L245" s="168">
        <f t="shared" ref="L245:M245" si="285">L$122 * L185</f>
        <v>0</v>
      </c>
      <c r="M245" s="168">
        <f t="shared" si="285"/>
        <v>0</v>
      </c>
      <c r="N245" s="168">
        <f t="shared" ref="N245:P245" si="286">N$122 * N185</f>
        <v>0.83589986987264886</v>
      </c>
      <c r="O245" s="168">
        <f t="shared" si="286"/>
        <v>0</v>
      </c>
      <c r="P245" s="168">
        <f t="shared" si="286"/>
        <v>0</v>
      </c>
      <c r="Q245" s="168">
        <f t="shared" ref="Q245" si="287">Q$122 * Q185</f>
        <v>0</v>
      </c>
      <c r="R245" s="119"/>
      <c r="S245" s="119"/>
      <c r="T245" s="119"/>
      <c r="U245" s="119"/>
      <c r="V245" s="119"/>
      <c r="W245" s="119"/>
      <c r="X245" s="119"/>
      <c r="Y245" s="119"/>
    </row>
    <row r="246" spans="2:27" x14ac:dyDescent="0.25">
      <c r="C246" s="105"/>
      <c r="D246"/>
      <c r="F246" t="s">
        <v>332</v>
      </c>
      <c r="G246" t="s">
        <v>269</v>
      </c>
      <c r="J246" s="119"/>
      <c r="K246" s="119"/>
      <c r="L246" s="119"/>
      <c r="M246" s="119"/>
      <c r="N246" s="119"/>
      <c r="O246" s="119"/>
      <c r="P246" s="119"/>
      <c r="Q246" s="119"/>
      <c r="R246" s="119"/>
      <c r="S246" s="119"/>
      <c r="T246" s="119"/>
      <c r="U246" s="119"/>
      <c r="V246" s="119"/>
      <c r="W246" s="119"/>
      <c r="X246" s="119"/>
      <c r="Y246" s="119"/>
    </row>
    <row r="247" spans="2:27" x14ac:dyDescent="0.25">
      <c r="C247" s="105"/>
      <c r="D247"/>
      <c r="F247" s="96" t="s">
        <v>333</v>
      </c>
      <c r="G247" s="96" t="s">
        <v>269</v>
      </c>
      <c r="H247" s="96"/>
      <c r="I247" s="96"/>
      <c r="J247" s="121"/>
      <c r="K247" s="121"/>
      <c r="L247" s="121"/>
      <c r="M247" s="121"/>
      <c r="N247" s="121"/>
      <c r="O247" s="121"/>
      <c r="P247" s="121"/>
      <c r="Q247" s="121"/>
      <c r="R247" s="121"/>
      <c r="S247" s="121"/>
      <c r="T247" s="121"/>
      <c r="U247" s="121"/>
      <c r="V247" s="121"/>
      <c r="W247" s="121"/>
      <c r="X247" s="121"/>
      <c r="Y247" s="121"/>
    </row>
    <row r="248" spans="2:27" x14ac:dyDescent="0.25">
      <c r="C248" s="105"/>
      <c r="J248" s="106"/>
      <c r="K248" s="106"/>
      <c r="L248" s="106"/>
      <c r="M248" s="106"/>
      <c r="N248" s="106"/>
      <c r="O248" s="106"/>
      <c r="P248" s="106"/>
      <c r="Q248" s="106"/>
      <c r="R248" s="106"/>
      <c r="S248" s="106"/>
      <c r="T248" s="106"/>
      <c r="U248" s="106"/>
      <c r="V248" s="106"/>
      <c r="W248" s="106"/>
      <c r="X248" s="106"/>
      <c r="Y248" s="106"/>
    </row>
    <row r="249" spans="2:27" x14ac:dyDescent="0.25">
      <c r="B249" s="85" t="s">
        <v>662</v>
      </c>
      <c r="C249" s="85"/>
      <c r="D249" s="85"/>
      <c r="E249" s="85"/>
      <c r="F249" s="85"/>
      <c r="G249" s="85"/>
      <c r="H249" s="85"/>
      <c r="I249" s="85"/>
      <c r="J249" s="247"/>
      <c r="K249" s="247"/>
      <c r="L249" s="247"/>
      <c r="M249" s="247"/>
      <c r="N249" s="247"/>
      <c r="O249" s="247"/>
      <c r="P249" s="247"/>
      <c r="Q249" s="247"/>
      <c r="R249" s="247"/>
      <c r="S249" s="247"/>
      <c r="T249" s="247"/>
      <c r="U249" s="247"/>
      <c r="V249" s="247"/>
      <c r="W249" s="247"/>
      <c r="X249" s="247"/>
      <c r="Y249" s="247"/>
      <c r="Z249" s="85"/>
      <c r="AA249" s="85"/>
    </row>
    <row r="250" spans="2:27" x14ac:dyDescent="0.25">
      <c r="J250" s="106"/>
      <c r="K250" s="106"/>
      <c r="L250" s="106"/>
      <c r="M250" s="106"/>
      <c r="N250" s="106"/>
      <c r="O250" s="106"/>
      <c r="P250" s="106"/>
      <c r="Q250" s="106"/>
      <c r="R250" s="106"/>
      <c r="S250" s="106"/>
      <c r="T250" s="106"/>
      <c r="U250" s="106"/>
      <c r="V250" s="106"/>
      <c r="W250" s="106"/>
      <c r="X250" s="106"/>
      <c r="Y250" s="106"/>
    </row>
    <row r="251" spans="2:27" x14ac:dyDescent="0.25">
      <c r="B251" s="291"/>
      <c r="C251" s="86" t="s">
        <v>663</v>
      </c>
      <c r="D251"/>
      <c r="E251"/>
      <c r="J251" s="106"/>
      <c r="K251" s="106"/>
      <c r="L251" s="106"/>
      <c r="M251" s="106"/>
      <c r="N251" s="106"/>
      <c r="O251" s="106"/>
      <c r="P251" s="106"/>
      <c r="Q251" s="106"/>
      <c r="R251" s="106"/>
      <c r="S251" s="106"/>
      <c r="T251" s="106"/>
      <c r="U251" s="106"/>
      <c r="V251" s="106"/>
      <c r="W251" s="106"/>
      <c r="X251" s="106"/>
      <c r="Y251" s="106"/>
    </row>
    <row r="252" spans="2:27" x14ac:dyDescent="0.25">
      <c r="B252" s="291"/>
      <c r="C252" s="86" t="s">
        <v>664</v>
      </c>
      <c r="D252"/>
      <c r="E252"/>
      <c r="J252" s="106"/>
      <c r="K252" s="106"/>
      <c r="L252" s="106"/>
      <c r="M252" s="106"/>
      <c r="N252" s="106"/>
      <c r="O252" s="106"/>
      <c r="P252" s="106"/>
      <c r="Q252" s="106"/>
      <c r="R252" s="106"/>
      <c r="S252" s="106"/>
      <c r="T252" s="106"/>
      <c r="U252" s="106"/>
      <c r="V252" s="106"/>
      <c r="W252" s="106"/>
      <c r="X252" s="106"/>
      <c r="Y252" s="106"/>
    </row>
    <row r="253" spans="2:27" x14ac:dyDescent="0.25">
      <c r="J253" s="106"/>
      <c r="K253" s="106"/>
      <c r="L253" s="106"/>
      <c r="M253" s="106"/>
      <c r="N253" s="106"/>
      <c r="O253" s="106"/>
      <c r="P253" s="106"/>
      <c r="Q253" s="106"/>
      <c r="R253" s="106"/>
      <c r="S253" s="106"/>
      <c r="T253" s="106"/>
      <c r="U253" s="106"/>
      <c r="V253" s="106"/>
      <c r="W253" s="106"/>
      <c r="X253" s="106"/>
      <c r="Y253" s="106"/>
    </row>
    <row r="254" spans="2:27" x14ac:dyDescent="0.2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25">
      <c r="J255" s="106"/>
      <c r="K255" s="106"/>
      <c r="L255" s="106"/>
      <c r="M255" s="106"/>
      <c r="N255" s="106"/>
      <c r="O255" s="106"/>
      <c r="P255" s="106"/>
      <c r="Q255" s="106"/>
      <c r="R255" s="106"/>
      <c r="S255" s="106"/>
      <c r="T255" s="106"/>
      <c r="U255" s="106"/>
      <c r="V255" s="106"/>
      <c r="W255" s="106"/>
      <c r="X255" s="106"/>
      <c r="Y255" s="106"/>
    </row>
    <row r="256" spans="2:27" x14ac:dyDescent="0.25">
      <c r="E256" t="s">
        <v>665</v>
      </c>
      <c r="G256" t="s">
        <v>269</v>
      </c>
      <c r="I256" t="s">
        <v>152</v>
      </c>
      <c r="J256" s="150">
        <f t="shared" ref="J256:K256" si="288">SUM(J192:J203,J206:J217)</f>
        <v>0</v>
      </c>
      <c r="K256" s="150">
        <f t="shared" si="288"/>
        <v>0</v>
      </c>
      <c r="L256" s="150">
        <f t="shared" ref="L256:M256" si="289">SUM(L192:L203,L206:L217)</f>
        <v>0</v>
      </c>
      <c r="M256" s="150">
        <f t="shared" si="289"/>
        <v>0</v>
      </c>
      <c r="N256" s="150">
        <f t="shared" ref="N256:P256" si="290">SUM(N192:N203,N206:N217)</f>
        <v>5.4829568334079246</v>
      </c>
      <c r="O256" s="150">
        <f t="shared" si="290"/>
        <v>5.1462397254002887</v>
      </c>
      <c r="P256" s="150">
        <f t="shared" si="290"/>
        <v>5.6015504360226798</v>
      </c>
      <c r="Q256" s="150">
        <f t="shared" ref="Q256" si="291">SUM(Q192:Q203,Q206:Q217)</f>
        <v>0</v>
      </c>
      <c r="R256" s="119"/>
      <c r="S256" s="119"/>
      <c r="T256" s="119"/>
      <c r="U256" s="119"/>
      <c r="V256" s="119"/>
      <c r="W256" s="119"/>
      <c r="X256" s="119"/>
      <c r="Y256" s="119"/>
      <c r="AA256" t="s">
        <v>666</v>
      </c>
    </row>
    <row r="257" spans="3:27" x14ac:dyDescent="0.25">
      <c r="E257" t="s">
        <v>667</v>
      </c>
      <c r="G257" t="s">
        <v>269</v>
      </c>
      <c r="I257" t="s">
        <v>152</v>
      </c>
      <c r="J257" s="151">
        <f t="shared" ref="J257:K257" si="292">SUM(J222:J233,J236:J247)</f>
        <v>0</v>
      </c>
      <c r="K257" s="151">
        <f t="shared" si="292"/>
        <v>0</v>
      </c>
      <c r="L257" s="151">
        <f t="shared" ref="L257:M257" si="293">SUM(L222:L233,L236:L247)</f>
        <v>0</v>
      </c>
      <c r="M257" s="151">
        <f t="shared" si="293"/>
        <v>0</v>
      </c>
      <c r="N257" s="151">
        <f t="shared" ref="N257:P257" si="294">SUM(N222:N233,N236:N247)</f>
        <v>5.4829568334079246</v>
      </c>
      <c r="O257" s="151">
        <f t="shared" si="294"/>
        <v>5.1462397254002887</v>
      </c>
      <c r="P257" s="151">
        <f t="shared" si="294"/>
        <v>5.6015504360226798</v>
      </c>
      <c r="Q257" s="151">
        <f t="shared" ref="Q257" si="295">SUM(Q222:Q233,Q236:Q247)</f>
        <v>0</v>
      </c>
      <c r="R257" s="119"/>
      <c r="S257" s="119"/>
      <c r="T257" s="119"/>
      <c r="U257" s="119"/>
      <c r="V257" s="119"/>
      <c r="W257" s="119"/>
      <c r="X257" s="119"/>
      <c r="Y257" s="119"/>
      <c r="AA257" t="s">
        <v>666</v>
      </c>
    </row>
    <row r="258" spans="3:27" x14ac:dyDescent="0.25">
      <c r="C258" s="105"/>
      <c r="J258" s="106"/>
      <c r="K258" s="106"/>
      <c r="L258" s="106"/>
      <c r="M258" s="106"/>
      <c r="N258" s="106"/>
      <c r="O258" s="106"/>
      <c r="P258" s="106"/>
      <c r="Q258" s="106"/>
      <c r="R258" s="106"/>
      <c r="S258" s="106"/>
      <c r="T258" s="106"/>
      <c r="U258" s="106"/>
      <c r="V258" s="106"/>
      <c r="W258" s="106"/>
      <c r="X258" s="106"/>
      <c r="Y258" s="106"/>
    </row>
    <row r="259" spans="3:27" x14ac:dyDescent="0.2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25">
      <c r="D260" s="75"/>
      <c r="E260" s="75"/>
      <c r="I260" t="s">
        <v>152</v>
      </c>
      <c r="J260" s="106"/>
      <c r="K260" s="106"/>
      <c r="L260" s="106"/>
      <c r="M260" s="106"/>
      <c r="N260" s="106"/>
      <c r="O260" s="106"/>
      <c r="P260" s="106"/>
      <c r="Q260" s="106"/>
      <c r="R260" s="106"/>
      <c r="S260" s="106"/>
      <c r="T260" s="106"/>
      <c r="U260" s="106"/>
      <c r="V260" s="106"/>
      <c r="W260" s="106"/>
      <c r="X260" s="106"/>
      <c r="Y260" s="106"/>
      <c r="AA260" t="s">
        <v>668</v>
      </c>
    </row>
    <row r="261" spans="3:27" x14ac:dyDescent="0.25">
      <c r="C261" s="105"/>
      <c r="D261"/>
      <c r="E261" s="75" t="s">
        <v>576</v>
      </c>
      <c r="J261" s="106"/>
      <c r="K261" s="106"/>
      <c r="L261" s="106"/>
      <c r="M261" s="106"/>
      <c r="N261" s="106"/>
      <c r="O261" s="106"/>
      <c r="P261" s="106"/>
      <c r="Q261" s="106"/>
      <c r="R261" s="106"/>
      <c r="S261" s="106"/>
      <c r="T261" s="106"/>
      <c r="U261" s="106"/>
      <c r="V261" s="106"/>
      <c r="W261" s="106"/>
      <c r="X261" s="106"/>
      <c r="Y261" s="106"/>
    </row>
    <row r="262" spans="3:27" x14ac:dyDescent="0.25">
      <c r="C262" s="105"/>
      <c r="D262"/>
      <c r="F262" s="95" t="s">
        <v>187</v>
      </c>
      <c r="G262" s="95" t="s">
        <v>269</v>
      </c>
      <c r="H262" s="95"/>
      <c r="I262" s="95"/>
      <c r="J262" s="117"/>
      <c r="K262" s="117"/>
      <c r="L262" s="117"/>
      <c r="M262" s="117"/>
      <c r="N262" s="117"/>
      <c r="O262" s="117"/>
      <c r="P262" s="117"/>
      <c r="Q262" s="117"/>
      <c r="R262" s="117"/>
      <c r="S262" s="117"/>
      <c r="T262" s="117"/>
      <c r="U262" s="117"/>
      <c r="V262" s="117"/>
      <c r="W262" s="117"/>
      <c r="X262" s="117"/>
      <c r="Y262" s="117"/>
    </row>
    <row r="263" spans="3:27" x14ac:dyDescent="0.25">
      <c r="C263" s="105"/>
      <c r="D263"/>
      <c r="F263" t="s">
        <v>189</v>
      </c>
      <c r="G263" t="s">
        <v>269</v>
      </c>
      <c r="J263" s="119"/>
      <c r="K263" s="119"/>
      <c r="L263" s="119"/>
      <c r="M263" s="119"/>
      <c r="N263" s="119"/>
      <c r="O263" s="119"/>
      <c r="P263" s="119"/>
      <c r="Q263" s="119"/>
      <c r="R263" s="119"/>
      <c r="S263" s="119"/>
      <c r="T263" s="119"/>
      <c r="U263" s="119"/>
      <c r="V263" s="119"/>
      <c r="W263" s="119"/>
      <c r="X263" s="119"/>
      <c r="Y263" s="119"/>
    </row>
    <row r="264" spans="3:27" x14ac:dyDescent="0.25">
      <c r="C264" s="105"/>
      <c r="D264"/>
      <c r="F264" t="s">
        <v>190</v>
      </c>
      <c r="G264" t="s">
        <v>269</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25">
      <c r="C265" s="105"/>
      <c r="D265"/>
      <c r="F265" t="s">
        <v>191</v>
      </c>
      <c r="G265" t="s">
        <v>269</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25">
      <c r="C266" s="105"/>
      <c r="D266"/>
      <c r="F266" t="s">
        <v>192</v>
      </c>
      <c r="G266" t="s">
        <v>269</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25">
      <c r="C267" s="105"/>
      <c r="D267"/>
      <c r="F267" t="s">
        <v>193</v>
      </c>
      <c r="G267" t="s">
        <v>269</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25">
      <c r="C268" s="105"/>
      <c r="D268"/>
      <c r="F268" t="s">
        <v>194</v>
      </c>
      <c r="G268" t="s">
        <v>269</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25">
      <c r="C269" s="105"/>
      <c r="D269"/>
      <c r="F269" t="s">
        <v>195</v>
      </c>
      <c r="G269" t="s">
        <v>269</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25">
      <c r="C270" s="105"/>
      <c r="D270"/>
      <c r="F270" t="s">
        <v>196</v>
      </c>
      <c r="G270" t="s">
        <v>269</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25">
      <c r="C271" s="105"/>
      <c r="D271"/>
      <c r="F271" t="s">
        <v>197</v>
      </c>
      <c r="G271" t="s">
        <v>269</v>
      </c>
      <c r="J271" s="151">
        <f t="shared" ref="J271:K271" si="324">J$123 * J141</f>
        <v>2.5390810377525548</v>
      </c>
      <c r="K271" s="151">
        <f t="shared" si="324"/>
        <v>0</v>
      </c>
      <c r="L271" s="151">
        <f t="shared" ref="L271:M271" si="325">L$123 * L141</f>
        <v>2.5390810377525548</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25">
      <c r="C272" s="105"/>
      <c r="D272"/>
      <c r="F272" t="s">
        <v>332</v>
      </c>
      <c r="G272" t="s">
        <v>269</v>
      </c>
      <c r="J272" s="119"/>
      <c r="K272" s="119"/>
      <c r="L272" s="119"/>
      <c r="M272" s="119"/>
      <c r="N272" s="119"/>
      <c r="O272" s="119"/>
      <c r="P272" s="119"/>
      <c r="Q272" s="119"/>
      <c r="R272" s="119"/>
      <c r="S272" s="119"/>
      <c r="T272" s="119"/>
      <c r="U272" s="119"/>
      <c r="V272" s="119"/>
      <c r="W272" s="119"/>
      <c r="X272" s="119"/>
      <c r="Y272" s="119"/>
    </row>
    <row r="273" spans="3:25" x14ac:dyDescent="0.25">
      <c r="C273" s="105"/>
      <c r="D273"/>
      <c r="F273" s="96" t="s">
        <v>333</v>
      </c>
      <c r="G273" s="96" t="s">
        <v>269</v>
      </c>
      <c r="H273" s="96"/>
      <c r="I273" s="96"/>
      <c r="J273" s="121"/>
      <c r="K273" s="121"/>
      <c r="L273" s="121"/>
      <c r="M273" s="121"/>
      <c r="N273" s="121"/>
      <c r="O273" s="121"/>
      <c r="P273" s="121"/>
      <c r="Q273" s="121"/>
      <c r="R273" s="121"/>
      <c r="S273" s="121"/>
      <c r="T273" s="121"/>
      <c r="U273" s="121"/>
      <c r="V273" s="121"/>
      <c r="W273" s="121"/>
      <c r="X273" s="121"/>
      <c r="Y273" s="121"/>
    </row>
    <row r="274" spans="3:25" x14ac:dyDescent="0.25">
      <c r="C274" s="105"/>
      <c r="D274"/>
      <c r="J274" s="106"/>
      <c r="K274" s="106"/>
      <c r="L274" s="106"/>
      <c r="M274" s="106"/>
      <c r="N274" s="106"/>
      <c r="O274" s="106"/>
      <c r="P274" s="106"/>
      <c r="Q274" s="106"/>
      <c r="R274" s="106"/>
      <c r="S274" s="106"/>
      <c r="T274" s="106"/>
      <c r="U274" s="106"/>
      <c r="V274" s="106"/>
      <c r="W274" s="106"/>
      <c r="X274" s="106"/>
      <c r="Y274" s="106"/>
    </row>
    <row r="275" spans="3:25" x14ac:dyDescent="0.25">
      <c r="C275" s="105"/>
      <c r="D275"/>
      <c r="E275" s="75" t="s">
        <v>669</v>
      </c>
      <c r="J275" s="106"/>
      <c r="K275" s="106"/>
      <c r="L275" s="106"/>
      <c r="M275" s="106"/>
      <c r="N275" s="106"/>
      <c r="O275" s="106"/>
      <c r="P275" s="106"/>
      <c r="Q275" s="106"/>
      <c r="R275" s="106"/>
      <c r="S275" s="106"/>
      <c r="T275" s="106"/>
      <c r="U275" s="106"/>
      <c r="V275" s="106"/>
      <c r="W275" s="106"/>
      <c r="X275" s="106"/>
      <c r="Y275" s="106"/>
    </row>
    <row r="276" spans="3:25" x14ac:dyDescent="0.25">
      <c r="C276" s="105"/>
      <c r="D276"/>
      <c r="F276" s="95" t="s">
        <v>187</v>
      </c>
      <c r="G276" s="95" t="s">
        <v>269</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25">
      <c r="C277" s="105"/>
      <c r="D277"/>
      <c r="F277" t="s">
        <v>189</v>
      </c>
      <c r="G277" t="s">
        <v>269</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25">
      <c r="C278" s="105"/>
      <c r="D278"/>
      <c r="F278" t="s">
        <v>190</v>
      </c>
      <c r="G278" t="s">
        <v>269</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25">
      <c r="C279" s="105"/>
      <c r="D279"/>
      <c r="F279" t="s">
        <v>191</v>
      </c>
      <c r="G279" t="s">
        <v>269</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25">
      <c r="C280" s="105"/>
      <c r="D280"/>
      <c r="F280" t="s">
        <v>192</v>
      </c>
      <c r="G280" t="s">
        <v>269</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25">
      <c r="C281" s="105"/>
      <c r="D281"/>
      <c r="F281" t="s">
        <v>193</v>
      </c>
      <c r="G281" t="s">
        <v>269</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25">
      <c r="C282" s="105"/>
      <c r="D282"/>
      <c r="F282" t="s">
        <v>194</v>
      </c>
      <c r="G282" t="s">
        <v>269</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25">
      <c r="C283" s="105"/>
      <c r="D283"/>
      <c r="F283" t="s">
        <v>195</v>
      </c>
      <c r="G283" t="s">
        <v>269</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25">
      <c r="C284" s="105"/>
      <c r="D284"/>
      <c r="F284" t="s">
        <v>196</v>
      </c>
      <c r="G284" t="s">
        <v>269</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25">
      <c r="C285" s="105"/>
      <c r="D285"/>
      <c r="F285" t="s">
        <v>197</v>
      </c>
      <c r="G285" t="s">
        <v>269</v>
      </c>
      <c r="J285" s="151">
        <f t="shared" ref="J285:K285" si="364">J$123 * J155</f>
        <v>0.83589986987264886</v>
      </c>
      <c r="K285" s="151">
        <f t="shared" si="364"/>
        <v>0</v>
      </c>
      <c r="L285" s="151">
        <f t="shared" ref="L285:M285" si="365">L$123 * L155</f>
        <v>0.83589986987264886</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25">
      <c r="C286" s="105"/>
      <c r="D286"/>
      <c r="F286" t="s">
        <v>332</v>
      </c>
      <c r="G286" t="s">
        <v>269</v>
      </c>
      <c r="J286" s="119"/>
      <c r="K286" s="119"/>
      <c r="L286" s="119"/>
      <c r="M286" s="119"/>
      <c r="N286" s="119"/>
      <c r="O286" s="119"/>
      <c r="P286" s="119"/>
      <c r="Q286" s="119"/>
      <c r="R286" s="119"/>
      <c r="S286" s="119"/>
      <c r="T286" s="119"/>
      <c r="U286" s="119"/>
      <c r="V286" s="119"/>
      <c r="W286" s="119"/>
      <c r="X286" s="119"/>
      <c r="Y286" s="119"/>
    </row>
    <row r="287" spans="3:25" x14ac:dyDescent="0.25">
      <c r="C287" s="105"/>
      <c r="D287"/>
      <c r="F287" s="96" t="s">
        <v>333</v>
      </c>
      <c r="G287" s="96" t="s">
        <v>269</v>
      </c>
      <c r="H287" s="96"/>
      <c r="I287" s="96"/>
      <c r="J287" s="121"/>
      <c r="K287" s="121"/>
      <c r="L287" s="121"/>
      <c r="M287" s="121"/>
      <c r="N287" s="121"/>
      <c r="O287" s="121"/>
      <c r="P287" s="121"/>
      <c r="Q287" s="121"/>
      <c r="R287" s="121"/>
      <c r="S287" s="121"/>
      <c r="T287" s="121"/>
      <c r="U287" s="121"/>
      <c r="V287" s="121"/>
      <c r="W287" s="121"/>
      <c r="X287" s="121"/>
      <c r="Y287" s="121"/>
    </row>
    <row r="288" spans="3:25" x14ac:dyDescent="0.25">
      <c r="C288" s="105"/>
    </row>
    <row r="289" spans="2:27" x14ac:dyDescent="0.25">
      <c r="B289" s="85" t="s">
        <v>229</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25">
      <c r="C291" s="105"/>
      <c r="E291" t="s">
        <v>230</v>
      </c>
      <c r="G291" s="6" t="s">
        <v>54</v>
      </c>
      <c r="H291" s="251">
        <f t="array" ref="H291">SUM(IF(ISERROR(H51:Y287), 1))</f>
        <v>0</v>
      </c>
    </row>
    <row r="293" spans="2:27" x14ac:dyDescent="0.25">
      <c r="E293" t="s">
        <v>670</v>
      </c>
      <c r="G293" s="6" t="s">
        <v>54</v>
      </c>
      <c r="H293" s="251">
        <f>SUM(J293:Y293)</f>
        <v>0</v>
      </c>
      <c r="J293" s="251">
        <f t="shared" ref="J293:K293" si="368">IF(J121 + J123 &lt; 2, 0, 1)</f>
        <v>0</v>
      </c>
      <c r="K293" s="251">
        <f t="shared" si="368"/>
        <v>0</v>
      </c>
      <c r="L293" s="251">
        <f t="shared" ref="L293:M293" si="369">IF(L121 + L123 &lt; 2, 0, 1)</f>
        <v>0</v>
      </c>
      <c r="M293" s="251">
        <f t="shared" si="369"/>
        <v>0</v>
      </c>
      <c r="N293" s="251">
        <f t="shared" ref="N293:P293" si="370">IF(N121 + N123 &lt; 2, 0, 1)</f>
        <v>0</v>
      </c>
      <c r="O293" s="251">
        <f t="shared" si="370"/>
        <v>0</v>
      </c>
      <c r="P293" s="251">
        <f t="shared" si="370"/>
        <v>0</v>
      </c>
      <c r="Q293" s="251">
        <f t="shared" ref="Q293:S293" si="371">IF(Q121 + Q123 &lt; 2, 0, 1)</f>
        <v>0</v>
      </c>
      <c r="R293" s="251">
        <f t="shared" si="371"/>
        <v>0</v>
      </c>
      <c r="S293" s="251">
        <f t="shared" si="371"/>
        <v>0</v>
      </c>
      <c r="T293" s="251">
        <f t="shared" ref="T293:U293" si="372">IF(T121 + T123 &lt; 2, 0, 1)</f>
        <v>0</v>
      </c>
      <c r="U293" s="251">
        <f t="shared" si="372"/>
        <v>0</v>
      </c>
      <c r="V293" s="251">
        <f t="shared" ref="V293:W293" si="373">IF(V121 + V123 &lt; 2, 0, 1)</f>
        <v>0</v>
      </c>
      <c r="W293" s="251">
        <f t="shared" si="373"/>
        <v>0</v>
      </c>
      <c r="X293" s="251">
        <f t="shared" ref="X293:Y293" si="374">IF(X121 + X123 &lt; 2, 0, 1)</f>
        <v>0</v>
      </c>
      <c r="Y293" s="251">
        <f t="shared" si="374"/>
        <v>0</v>
      </c>
    </row>
    <row r="295" spans="2:27" x14ac:dyDescent="0.25">
      <c r="C295" s="105"/>
      <c r="E295" t="s">
        <v>237</v>
      </c>
      <c r="G295" s="6" t="s">
        <v>54</v>
      </c>
      <c r="H295" s="113">
        <f>H291 + H293</f>
        <v>0</v>
      </c>
    </row>
    <row r="297" spans="2:27" x14ac:dyDescent="0.25">
      <c r="B297" s="85" t="s">
        <v>105</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H254 &amp; IF(H254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616</v>
      </c>
      <c r="D9"/>
    </row>
    <row r="10" spans="1:27" x14ac:dyDescent="0.25">
      <c r="C10" s="86" t="s">
        <v>617</v>
      </c>
      <c r="D10"/>
      <c r="E10"/>
    </row>
    <row r="11" spans="1:27" x14ac:dyDescent="0.25">
      <c r="C11" s="134" t="s">
        <v>618</v>
      </c>
    </row>
    <row r="13" spans="1:27" x14ac:dyDescent="0.25">
      <c r="B13" s="85" t="s">
        <v>619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25">
      <c r="C15" s="86" t="s">
        <v>620</v>
      </c>
    </row>
    <row r="17" spans="3:27" x14ac:dyDescent="0.2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25">
      <c r="C18" s="75"/>
      <c r="D18"/>
      <c r="E18" s="75"/>
    </row>
    <row r="19" spans="3:27" x14ac:dyDescent="0.25">
      <c r="D19" s="75" t="s">
        <v>283</v>
      </c>
    </row>
    <row r="20" spans="3:27" x14ac:dyDescent="0.25">
      <c r="D20" s="86" t="s">
        <v>621</v>
      </c>
      <c r="E20"/>
    </row>
    <row r="21" spans="3:27" x14ac:dyDescent="0.25">
      <c r="C21" s="105"/>
      <c r="E21" s="95" t="s">
        <v>187</v>
      </c>
      <c r="F21" s="95"/>
      <c r="G21" s="95" t="s">
        <v>622</v>
      </c>
      <c r="H21" s="117"/>
    </row>
    <row r="22" spans="3:27" x14ac:dyDescent="0.25">
      <c r="C22" s="105"/>
      <c r="E22" t="s">
        <v>189</v>
      </c>
      <c r="G22" t="s">
        <v>622</v>
      </c>
      <c r="H22" s="167">
        <f t="array" ref="H22:H30">TRANSPOSE('Inputs by network level'!K21:S21)</f>
        <v>0.1008783562566494</v>
      </c>
    </row>
    <row r="23" spans="3:27" x14ac:dyDescent="0.25">
      <c r="C23" s="105"/>
      <c r="E23" t="s">
        <v>190</v>
      </c>
      <c r="G23" t="s">
        <v>622</v>
      </c>
      <c r="H23" s="167">
        <v>0.1008783562566494</v>
      </c>
    </row>
    <row r="24" spans="3:27" x14ac:dyDescent="0.25">
      <c r="C24" s="105"/>
      <c r="E24" t="s">
        <v>191</v>
      </c>
      <c r="G24" t="s">
        <v>622</v>
      </c>
      <c r="H24" s="167">
        <v>0.12746109526390684</v>
      </c>
    </row>
    <row r="25" spans="3:27" x14ac:dyDescent="0.25">
      <c r="C25" s="105"/>
      <c r="E25" t="s">
        <v>192</v>
      </c>
      <c r="G25" t="s">
        <v>622</v>
      </c>
      <c r="H25" s="167">
        <v>0.12746109526390684</v>
      </c>
    </row>
    <row r="26" spans="3:27" x14ac:dyDescent="0.25">
      <c r="C26" s="105"/>
      <c r="E26" t="s">
        <v>193</v>
      </c>
      <c r="G26" t="s">
        <v>622</v>
      </c>
      <c r="H26" s="167">
        <v>9.9523041149533323E-2</v>
      </c>
    </row>
    <row r="27" spans="3:27" x14ac:dyDescent="0.25">
      <c r="C27" s="105"/>
      <c r="E27" t="s">
        <v>194</v>
      </c>
      <c r="G27" t="s">
        <v>622</v>
      </c>
      <c r="H27" s="167">
        <v>9.9523041149533323E-2</v>
      </c>
    </row>
    <row r="28" spans="3:27" x14ac:dyDescent="0.25">
      <c r="C28" s="105"/>
      <c r="E28" t="s">
        <v>195</v>
      </c>
      <c r="G28" t="s">
        <v>622</v>
      </c>
      <c r="H28" s="167">
        <v>9.9523041149533323E-2</v>
      </c>
    </row>
    <row r="29" spans="3:27" x14ac:dyDescent="0.25">
      <c r="C29" s="105"/>
      <c r="E29" t="s">
        <v>196</v>
      </c>
      <c r="G29" t="s">
        <v>622</v>
      </c>
      <c r="H29" s="167">
        <v>9.9523041149533323E-2</v>
      </c>
    </row>
    <row r="30" spans="3:27" x14ac:dyDescent="0.25">
      <c r="C30" s="105"/>
      <c r="E30" t="s">
        <v>197</v>
      </c>
      <c r="G30" t="s">
        <v>622</v>
      </c>
      <c r="H30" s="167">
        <v>0</v>
      </c>
    </row>
    <row r="31" spans="3:27" x14ac:dyDescent="0.25">
      <c r="C31" s="105"/>
      <c r="E31" t="s">
        <v>332</v>
      </c>
      <c r="G31" t="s">
        <v>622</v>
      </c>
      <c r="H31" s="119"/>
    </row>
    <row r="32" spans="3:27" x14ac:dyDescent="0.25">
      <c r="C32" s="105"/>
      <c r="E32" s="96" t="s">
        <v>333</v>
      </c>
      <c r="F32" s="96"/>
      <c r="G32" s="96" t="s">
        <v>622</v>
      </c>
      <c r="H32" s="121"/>
    </row>
    <row r="33" spans="3:8" x14ac:dyDescent="0.25">
      <c r="C33" s="105"/>
      <c r="H33" s="106"/>
    </row>
    <row r="34" spans="3:8" x14ac:dyDescent="0.25">
      <c r="D34" s="105" t="s">
        <v>350</v>
      </c>
      <c r="H34" s="106"/>
    </row>
    <row r="35" spans="3:8" x14ac:dyDescent="0.25">
      <c r="C35" s="105"/>
      <c r="E35" s="95" t="s">
        <v>187</v>
      </c>
      <c r="F35" s="95"/>
      <c r="G35" s="98" t="s">
        <v>281</v>
      </c>
      <c r="H35" s="170">
        <f t="array" ref="H35:H44">TRANSPOSE('Load &amp; loss characteristics'!J29:S29)</f>
        <v>1</v>
      </c>
    </row>
    <row r="36" spans="3:8" x14ac:dyDescent="0.25">
      <c r="C36" s="105"/>
      <c r="E36" t="s">
        <v>189</v>
      </c>
      <c r="G36" s="94" t="s">
        <v>281</v>
      </c>
      <c r="H36" s="167">
        <v>1</v>
      </c>
    </row>
    <row r="37" spans="3:8" x14ac:dyDescent="0.25">
      <c r="C37" s="105"/>
      <c r="E37" t="s">
        <v>190</v>
      </c>
      <c r="G37" s="94" t="s">
        <v>281</v>
      </c>
      <c r="H37" s="167">
        <v>1.0049999999999999</v>
      </c>
    </row>
    <row r="38" spans="3:8" x14ac:dyDescent="0.25">
      <c r="C38" s="105"/>
      <c r="E38" t="s">
        <v>191</v>
      </c>
      <c r="G38" s="94" t="s">
        <v>281</v>
      </c>
      <c r="H38" s="167">
        <v>1.008</v>
      </c>
    </row>
    <row r="39" spans="3:8" x14ac:dyDescent="0.25">
      <c r="C39" s="105"/>
      <c r="E39" t="s">
        <v>192</v>
      </c>
      <c r="G39" s="94" t="s">
        <v>281</v>
      </c>
      <c r="H39" s="167">
        <v>1.01</v>
      </c>
    </row>
    <row r="40" spans="3:8" x14ac:dyDescent="0.25">
      <c r="C40" s="105"/>
      <c r="E40" t="s">
        <v>193</v>
      </c>
      <c r="G40" s="94" t="s">
        <v>281</v>
      </c>
      <c r="H40" s="167">
        <v>1.0149999999999999</v>
      </c>
    </row>
    <row r="41" spans="3:8" x14ac:dyDescent="0.25">
      <c r="C41" s="105"/>
      <c r="E41" t="s">
        <v>194</v>
      </c>
      <c r="G41" s="94" t="s">
        <v>281</v>
      </c>
      <c r="H41" s="167">
        <v>1.0149999999999999</v>
      </c>
    </row>
    <row r="42" spans="3:8" x14ac:dyDescent="0.25">
      <c r="C42" s="105"/>
      <c r="E42" t="s">
        <v>195</v>
      </c>
      <c r="G42" s="94" t="s">
        <v>281</v>
      </c>
      <c r="H42" s="167">
        <v>1.024</v>
      </c>
    </row>
    <row r="43" spans="3:8" x14ac:dyDescent="0.25">
      <c r="C43" s="105"/>
      <c r="E43" t="s">
        <v>196</v>
      </c>
      <c r="G43" s="94" t="s">
        <v>281</v>
      </c>
      <c r="H43" s="167">
        <v>1.04</v>
      </c>
    </row>
    <row r="44" spans="3:8" x14ac:dyDescent="0.25">
      <c r="C44" s="105"/>
      <c r="E44" t="s">
        <v>197</v>
      </c>
      <c r="G44" s="94" t="s">
        <v>281</v>
      </c>
      <c r="H44" s="167">
        <v>1.1020000000000001</v>
      </c>
    </row>
    <row r="45" spans="3:8" x14ac:dyDescent="0.25">
      <c r="C45" s="105"/>
      <c r="E45" t="s">
        <v>332</v>
      </c>
      <c r="G45" s="94" t="s">
        <v>281</v>
      </c>
      <c r="H45" s="119"/>
    </row>
    <row r="46" spans="3:8" x14ac:dyDescent="0.25">
      <c r="C46" s="105"/>
      <c r="E46" s="96" t="s">
        <v>333</v>
      </c>
      <c r="F46" s="96"/>
      <c r="G46" s="101" t="s">
        <v>281</v>
      </c>
      <c r="H46" s="121"/>
    </row>
    <row r="47" spans="3:8" x14ac:dyDescent="0.25">
      <c r="C47" s="105"/>
      <c r="H47" s="106"/>
    </row>
    <row r="48" spans="3:8" x14ac:dyDescent="0.25">
      <c r="D48" s="75" t="s">
        <v>623</v>
      </c>
      <c r="H48" s="106"/>
    </row>
    <row r="49" spans="3:8" x14ac:dyDescent="0.25">
      <c r="C49" s="105"/>
      <c r="E49" s="95" t="s">
        <v>187</v>
      </c>
      <c r="F49" s="95"/>
      <c r="G49" s="95" t="s">
        <v>540</v>
      </c>
      <c r="H49" s="117"/>
    </row>
    <row r="50" spans="3:8" x14ac:dyDescent="0.25">
      <c r="C50" s="105"/>
      <c r="E50" t="s">
        <v>189</v>
      </c>
      <c r="G50" t="s">
        <v>540</v>
      </c>
      <c r="H50" s="119"/>
    </row>
    <row r="51" spans="3:8" x14ac:dyDescent="0.25">
      <c r="C51" s="105"/>
      <c r="E51" t="s">
        <v>190</v>
      </c>
      <c r="G51" t="s">
        <v>540</v>
      </c>
      <c r="H51" s="167">
        <f t="array" ref="H51:H58">TRANSPOSE('Unit costs'!L114:S114)</f>
        <v>8.097986878898574</v>
      </c>
    </row>
    <row r="52" spans="3:8" x14ac:dyDescent="0.25">
      <c r="C52" s="105"/>
      <c r="E52" t="s">
        <v>191</v>
      </c>
      <c r="G52" t="s">
        <v>540</v>
      </c>
      <c r="H52" s="167">
        <v>5.030988760542157</v>
      </c>
    </row>
    <row r="53" spans="3:8" x14ac:dyDescent="0.25">
      <c r="C53" s="105"/>
      <c r="E53" t="s">
        <v>192</v>
      </c>
      <c r="G53" t="s">
        <v>540</v>
      </c>
      <c r="H53" s="167">
        <v>15.983566151399991</v>
      </c>
    </row>
    <row r="54" spans="3:8" x14ac:dyDescent="0.25">
      <c r="C54" s="105"/>
      <c r="E54" t="s">
        <v>193</v>
      </c>
      <c r="G54" t="s">
        <v>540</v>
      </c>
      <c r="H54" s="167">
        <v>6.1122515865730254</v>
      </c>
    </row>
    <row r="55" spans="3:8" x14ac:dyDescent="0.25">
      <c r="C55" s="105"/>
      <c r="E55" t="s">
        <v>194</v>
      </c>
      <c r="G55" t="s">
        <v>540</v>
      </c>
      <c r="H55" s="167">
        <v>0</v>
      </c>
    </row>
    <row r="56" spans="3:8" x14ac:dyDescent="0.25">
      <c r="C56" s="105"/>
      <c r="E56" t="s">
        <v>195</v>
      </c>
      <c r="G56" t="s">
        <v>540</v>
      </c>
      <c r="H56" s="167">
        <v>28.539503950944976</v>
      </c>
    </row>
    <row r="57" spans="3:8" x14ac:dyDescent="0.25">
      <c r="C57" s="105"/>
      <c r="E57" t="s">
        <v>196</v>
      </c>
      <c r="G57" t="s">
        <v>540</v>
      </c>
      <c r="H57" s="167">
        <v>8.8156537808260858</v>
      </c>
    </row>
    <row r="58" spans="3:8" x14ac:dyDescent="0.25">
      <c r="C58" s="105"/>
      <c r="E58" t="s">
        <v>197</v>
      </c>
      <c r="G58" t="s">
        <v>540</v>
      </c>
      <c r="H58" s="167">
        <v>17.46010919849989</v>
      </c>
    </row>
    <row r="59" spans="3:8" x14ac:dyDescent="0.25">
      <c r="C59" s="105"/>
      <c r="E59" t="s">
        <v>332</v>
      </c>
      <c r="G59" t="s">
        <v>540</v>
      </c>
      <c r="H59" s="119"/>
    </row>
    <row r="60" spans="3:8" x14ac:dyDescent="0.25">
      <c r="C60" s="105"/>
      <c r="E60" s="96" t="s">
        <v>333</v>
      </c>
      <c r="F60" s="96"/>
      <c r="G60" s="96" t="s">
        <v>540</v>
      </c>
      <c r="H60" s="121"/>
    </row>
    <row r="61" spans="3:8" x14ac:dyDescent="0.25">
      <c r="C61" s="105"/>
      <c r="H61" s="106"/>
    </row>
    <row r="62" spans="3:8" x14ac:dyDescent="0.25">
      <c r="C62" s="105"/>
      <c r="D62" s="75" t="s">
        <v>624</v>
      </c>
      <c r="E62"/>
      <c r="H62" s="106"/>
    </row>
    <row r="63" spans="3:8" x14ac:dyDescent="0.25">
      <c r="C63" s="105"/>
      <c r="E63" s="95" t="s">
        <v>187</v>
      </c>
      <c r="F63" s="95"/>
      <c r="G63" s="95" t="s">
        <v>540</v>
      </c>
      <c r="H63" s="170">
        <f t="array" ref="H63:H72">TRANSPOSE('Unit costs'!J115:S115)</f>
        <v>6.1985244358900449</v>
      </c>
    </row>
    <row r="64" spans="3:8" x14ac:dyDescent="0.25">
      <c r="C64" s="105"/>
      <c r="E64" t="s">
        <v>189</v>
      </c>
      <c r="G64" t="s">
        <v>540</v>
      </c>
      <c r="H64" s="167">
        <v>0</v>
      </c>
    </row>
    <row r="65" spans="3:42" x14ac:dyDescent="0.25">
      <c r="C65" s="105"/>
      <c r="E65" t="s">
        <v>190</v>
      </c>
      <c r="G65" t="s">
        <v>540</v>
      </c>
      <c r="H65" s="167">
        <v>2.6659669690154315</v>
      </c>
    </row>
    <row r="66" spans="3:42" x14ac:dyDescent="0.25">
      <c r="C66" s="105"/>
      <c r="E66" t="s">
        <v>191</v>
      </c>
      <c r="G66" t="s">
        <v>540</v>
      </c>
      <c r="H66" s="167">
        <v>1.6562696454896617</v>
      </c>
    </row>
    <row r="67" spans="3:42" x14ac:dyDescent="0.25">
      <c r="C67" s="105"/>
      <c r="E67" t="s">
        <v>192</v>
      </c>
      <c r="G67" t="s">
        <v>540</v>
      </c>
      <c r="H67" s="167">
        <v>5.2620064769111092</v>
      </c>
    </row>
    <row r="68" spans="3:42" x14ac:dyDescent="0.25">
      <c r="C68" s="105"/>
      <c r="E68" t="s">
        <v>193</v>
      </c>
      <c r="G68" t="s">
        <v>540</v>
      </c>
      <c r="H68" s="167">
        <v>2.0122360136908717</v>
      </c>
    </row>
    <row r="69" spans="3:42" x14ac:dyDescent="0.25">
      <c r="C69" s="105"/>
      <c r="E69" t="s">
        <v>194</v>
      </c>
      <c r="G69" t="s">
        <v>540</v>
      </c>
      <c r="H69" s="167">
        <v>0</v>
      </c>
    </row>
    <row r="70" spans="3:42" x14ac:dyDescent="0.25">
      <c r="C70" s="105"/>
      <c r="E70" t="s">
        <v>195</v>
      </c>
      <c r="G70" t="s">
        <v>540</v>
      </c>
      <c r="H70" s="167">
        <v>9.3955912726365476</v>
      </c>
    </row>
    <row r="71" spans="3:42" x14ac:dyDescent="0.25">
      <c r="C71" s="105"/>
      <c r="E71" t="s">
        <v>196</v>
      </c>
      <c r="G71" t="s">
        <v>540</v>
      </c>
      <c r="H71" s="167">
        <v>2.9022326340389109</v>
      </c>
    </row>
    <row r="72" spans="3:42" x14ac:dyDescent="0.25">
      <c r="C72" s="105"/>
      <c r="E72" t="s">
        <v>197</v>
      </c>
      <c r="G72" t="s">
        <v>540</v>
      </c>
      <c r="H72" s="167">
        <v>5.7481044480198404</v>
      </c>
    </row>
    <row r="73" spans="3:42" x14ac:dyDescent="0.25">
      <c r="C73" s="105"/>
      <c r="E73" t="s">
        <v>332</v>
      </c>
      <c r="G73" t="s">
        <v>540</v>
      </c>
      <c r="H73" s="119"/>
    </row>
    <row r="74" spans="3:42" x14ac:dyDescent="0.25">
      <c r="C74" s="105"/>
      <c r="E74" s="96" t="s">
        <v>333</v>
      </c>
      <c r="F74" s="96"/>
      <c r="G74" s="96" t="s">
        <v>540</v>
      </c>
      <c r="H74" s="121"/>
    </row>
    <row r="75" spans="3:42" x14ac:dyDescent="0.25">
      <c r="C75" s="105"/>
      <c r="H75" s="97"/>
    </row>
    <row r="76" spans="3:42" x14ac:dyDescent="0.25">
      <c r="D76" s="105" t="s">
        <v>625</v>
      </c>
    </row>
    <row r="77" spans="3:42" x14ac:dyDescent="0.25">
      <c r="D77" s="86" t="s">
        <v>626</v>
      </c>
      <c r="E77" s="291"/>
    </row>
    <row r="78" spans="3:42" x14ac:dyDescent="0.25">
      <c r="C78" s="105"/>
      <c r="E78" t="s">
        <v>627</v>
      </c>
      <c r="G78" t="s">
        <v>628</v>
      </c>
      <c r="I78" t="s">
        <v>152</v>
      </c>
      <c r="J78" s="230">
        <f>'Fixed inputs'!J139</f>
        <v>0</v>
      </c>
      <c r="K78" s="230">
        <f>'Fixed inputs'!K139</f>
        <v>0</v>
      </c>
      <c r="L78" s="230">
        <f>'Fixed inputs'!L139</f>
        <v>0</v>
      </c>
      <c r="M78" s="230">
        <f>'Fixed inputs'!M139</f>
        <v>0</v>
      </c>
      <c r="N78" s="230">
        <f>'Fixed inputs'!N139</f>
        <v>1</v>
      </c>
      <c r="O78" s="230">
        <f>'Fixed inputs'!O139</f>
        <v>1</v>
      </c>
      <c r="P78" s="230">
        <f>'Fixed inputs'!P139</f>
        <v>1</v>
      </c>
      <c r="Q78" s="230">
        <f>'Fixed inputs'!Q139</f>
        <v>0</v>
      </c>
      <c r="R78" s="230">
        <f>'Fixed inputs'!R139</f>
        <v>0</v>
      </c>
      <c r="S78" s="230">
        <f>'Fixed inputs'!S139</f>
        <v>0</v>
      </c>
      <c r="T78" s="230">
        <f>'Fixed inputs'!T139</f>
        <v>1</v>
      </c>
      <c r="U78" s="230">
        <f>'Fixed inputs'!U139</f>
        <v>0</v>
      </c>
      <c r="V78" s="230">
        <f>'Fixed inputs'!V139</f>
        <v>1</v>
      </c>
      <c r="W78" s="230">
        <f>'Fixed inputs'!W139</f>
        <v>0</v>
      </c>
      <c r="X78" s="230">
        <f>'Fixed inputs'!X139</f>
        <v>1</v>
      </c>
      <c r="Y78" s="230">
        <f>'Fixed inputs'!Y139</f>
        <v>0</v>
      </c>
      <c r="AA78" t="s">
        <v>221</v>
      </c>
    </row>
    <row r="79" spans="3:42" x14ac:dyDescent="0.25">
      <c r="C79" s="105"/>
    </row>
    <row r="80" spans="3:42" x14ac:dyDescent="0.25">
      <c r="D80" s="75" t="s">
        <v>119</v>
      </c>
      <c r="E80"/>
      <c r="H80" s="62"/>
      <c r="J80" s="97"/>
      <c r="K80" s="97"/>
      <c r="L80" s="97"/>
      <c r="M80" s="97"/>
      <c r="N80" s="97"/>
      <c r="O80" s="97"/>
      <c r="P80" s="97"/>
      <c r="Q80" s="97"/>
      <c r="R80" s="97"/>
      <c r="S80" s="97"/>
      <c r="T80" s="97"/>
      <c r="U80" s="97"/>
      <c r="V80" s="97"/>
      <c r="W80" s="97"/>
      <c r="X80" s="97"/>
      <c r="Y80" s="97"/>
      <c r="AP80" s="3"/>
    </row>
    <row r="81" spans="3:42" x14ac:dyDescent="0.25">
      <c r="C81" s="75"/>
      <c r="D81"/>
      <c r="E81" s="95" t="s">
        <v>189</v>
      </c>
      <c r="F81" s="95"/>
      <c r="G81" s="95" t="s">
        <v>165</v>
      </c>
      <c r="H81" s="175"/>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25">
      <c r="C82" s="75"/>
      <c r="D82"/>
      <c r="E82" t="s">
        <v>190</v>
      </c>
      <c r="G82" t="s">
        <v>165</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25">
      <c r="C83" s="75"/>
      <c r="D83"/>
      <c r="E83" t="s">
        <v>191</v>
      </c>
      <c r="G83" t="s">
        <v>165</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25">
      <c r="C84" s="75"/>
      <c r="D84"/>
      <c r="E84" t="s">
        <v>192</v>
      </c>
      <c r="G84" t="s">
        <v>165</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25">
      <c r="C85" s="75"/>
      <c r="D85"/>
      <c r="E85" t="s">
        <v>193</v>
      </c>
      <c r="G85" t="s">
        <v>165</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25">
      <c r="C86" s="75"/>
      <c r="D86"/>
      <c r="E86" t="s">
        <v>194</v>
      </c>
      <c r="G86" t="s">
        <v>165</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25">
      <c r="C87" s="75"/>
      <c r="D87"/>
      <c r="E87" t="s">
        <v>195</v>
      </c>
      <c r="G87" t="s">
        <v>165</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25">
      <c r="C88" s="75"/>
      <c r="D88"/>
      <c r="E88" t="s">
        <v>196</v>
      </c>
      <c r="G88" t="s">
        <v>165</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25">
      <c r="C89" s="75"/>
      <c r="D89"/>
      <c r="E89" s="96" t="s">
        <v>197</v>
      </c>
      <c r="F89" s="96"/>
      <c r="G89" s="96" t="s">
        <v>165</v>
      </c>
      <c r="H89" s="176"/>
      <c r="I89" s="96"/>
      <c r="J89" s="186">
        <f>'Standing charge factors'!J52</f>
        <v>1</v>
      </c>
      <c r="K89" s="186">
        <f>'Standing charge factors'!K52</f>
        <v>1</v>
      </c>
      <c r="L89" s="186">
        <f>'Standing charge factors'!L52</f>
        <v>1</v>
      </c>
      <c r="M89" s="186">
        <f>'Standing charge factors'!M52</f>
        <v>1</v>
      </c>
      <c r="N89" s="186">
        <f>'Standing charge factors'!N52</f>
        <v>1</v>
      </c>
      <c r="O89" s="186">
        <f>'Standing charge factors'!O52</f>
        <v>0</v>
      </c>
      <c r="P89" s="186">
        <f>'Standing charge factors'!P52</f>
        <v>0</v>
      </c>
      <c r="Q89" s="186">
        <f>'Standing charge factors'!Q52</f>
        <v>0</v>
      </c>
      <c r="R89" s="186">
        <f>'Standing charge factors'!R52</f>
        <v>0</v>
      </c>
      <c r="S89" s="186">
        <f>'Standing charge factors'!S52</f>
        <v>0</v>
      </c>
      <c r="T89" s="186">
        <f>'Standing charge factors'!T52</f>
        <v>0</v>
      </c>
      <c r="U89" s="186">
        <f>'Standing charge factors'!U52</f>
        <v>0</v>
      </c>
      <c r="V89" s="186">
        <f>'Standing charge factors'!V52</f>
        <v>0</v>
      </c>
      <c r="W89" s="186">
        <f>'Standing charge factors'!W52</f>
        <v>0</v>
      </c>
      <c r="X89" s="186">
        <f>'Standing charge factors'!X52</f>
        <v>0</v>
      </c>
      <c r="Y89" s="186">
        <f>'Standing charge factors'!Y52</f>
        <v>0</v>
      </c>
      <c r="AP89" s="3"/>
    </row>
    <row r="90" spans="3:42" x14ac:dyDescent="0.25">
      <c r="C90" s="105"/>
    </row>
    <row r="91" spans="3:42" x14ac:dyDescent="0.25">
      <c r="D91" s="75" t="s">
        <v>360</v>
      </c>
      <c r="E91" s="75"/>
      <c r="I91" t="s">
        <v>152</v>
      </c>
      <c r="AA91" t="s">
        <v>629</v>
      </c>
    </row>
    <row r="92" spans="3:42" x14ac:dyDescent="0.25">
      <c r="D92" s="86" t="s">
        <v>357</v>
      </c>
      <c r="E92"/>
      <c r="AA92" s="292"/>
    </row>
    <row r="93" spans="3:42" x14ac:dyDescent="0.25">
      <c r="D93"/>
      <c r="E93" s="95" t="s">
        <v>187</v>
      </c>
      <c r="F93" s="95"/>
      <c r="G93" s="98" t="s">
        <v>281</v>
      </c>
      <c r="H93" s="95"/>
      <c r="I93" s="95"/>
      <c r="J93" s="117"/>
      <c r="K93" s="117"/>
      <c r="L93" s="117"/>
      <c r="M93" s="117"/>
      <c r="N93" s="117"/>
      <c r="O93" s="117"/>
      <c r="P93" s="117"/>
      <c r="Q93" s="117"/>
      <c r="R93" s="170">
        <f t="array" ref="R93:Y102">TRANSPOSE('Load &amp; loss characteristics'!J172:S179)</f>
        <v>-1.1020000000000001</v>
      </c>
      <c r="S93" s="170">
        <v>-1.04</v>
      </c>
      <c r="T93" s="170">
        <v>-1.1020000000000001</v>
      </c>
      <c r="U93" s="170">
        <v>-1.1020000000000001</v>
      </c>
      <c r="V93" s="170">
        <v>-1.04</v>
      </c>
      <c r="W93" s="170">
        <v>-1.04</v>
      </c>
      <c r="X93" s="170">
        <v>-1.024</v>
      </c>
      <c r="Y93" s="170">
        <v>-1.024</v>
      </c>
    </row>
    <row r="94" spans="3:42" x14ac:dyDescent="0.25">
      <c r="D94"/>
      <c r="E94" t="s">
        <v>189</v>
      </c>
      <c r="G94" s="94" t="s">
        <v>281</v>
      </c>
      <c r="J94" s="119"/>
      <c r="K94" s="119"/>
      <c r="L94" s="119"/>
      <c r="M94" s="119"/>
      <c r="N94" s="119"/>
      <c r="O94" s="119"/>
      <c r="P94" s="119"/>
      <c r="Q94" s="119"/>
      <c r="R94" s="167">
        <v>-1.1020000000000001</v>
      </c>
      <c r="S94" s="167">
        <v>-1.04</v>
      </c>
      <c r="T94" s="167">
        <v>-1.1020000000000001</v>
      </c>
      <c r="U94" s="167">
        <v>-1.1020000000000001</v>
      </c>
      <c r="V94" s="167">
        <v>-1.04</v>
      </c>
      <c r="W94" s="167">
        <v>-1.04</v>
      </c>
      <c r="X94" s="167">
        <v>-1.024</v>
      </c>
      <c r="Y94" s="167">
        <v>-1.024</v>
      </c>
    </row>
    <row r="95" spans="3:42" x14ac:dyDescent="0.25">
      <c r="D95"/>
      <c r="E95" t="s">
        <v>190</v>
      </c>
      <c r="G95" s="94" t="s">
        <v>281</v>
      </c>
      <c r="J95" s="119"/>
      <c r="K95" s="119"/>
      <c r="L95" s="119"/>
      <c r="M95" s="119"/>
      <c r="N95" s="119"/>
      <c r="O95" s="119"/>
      <c r="P95" s="119"/>
      <c r="Q95" s="119"/>
      <c r="R95" s="167">
        <v>-1.1020000000000001</v>
      </c>
      <c r="S95" s="167">
        <v>-1.04</v>
      </c>
      <c r="T95" s="167">
        <v>-1.1020000000000001</v>
      </c>
      <c r="U95" s="167">
        <v>-1.1020000000000001</v>
      </c>
      <c r="V95" s="167">
        <v>-1.04</v>
      </c>
      <c r="W95" s="167">
        <v>-1.04</v>
      </c>
      <c r="X95" s="167">
        <v>-1.024</v>
      </c>
      <c r="Y95" s="167">
        <v>-1.024</v>
      </c>
    </row>
    <row r="96" spans="3:42" x14ac:dyDescent="0.25">
      <c r="D96"/>
      <c r="E96" t="s">
        <v>191</v>
      </c>
      <c r="G96" s="94" t="s">
        <v>281</v>
      </c>
      <c r="J96" s="119"/>
      <c r="K96" s="119"/>
      <c r="L96" s="119"/>
      <c r="M96" s="119"/>
      <c r="N96" s="119"/>
      <c r="O96" s="119"/>
      <c r="P96" s="119"/>
      <c r="Q96" s="119"/>
      <c r="R96" s="167">
        <v>-1.1020000000000001</v>
      </c>
      <c r="S96" s="167">
        <v>-1.04</v>
      </c>
      <c r="T96" s="167">
        <v>-1.1020000000000001</v>
      </c>
      <c r="U96" s="167">
        <v>-1.1020000000000001</v>
      </c>
      <c r="V96" s="167">
        <v>-1.04</v>
      </c>
      <c r="W96" s="167">
        <v>-1.04</v>
      </c>
      <c r="X96" s="167">
        <v>-1.024</v>
      </c>
      <c r="Y96" s="167">
        <v>-1.024</v>
      </c>
    </row>
    <row r="97" spans="3:25" x14ac:dyDescent="0.25">
      <c r="D97"/>
      <c r="E97" t="s">
        <v>192</v>
      </c>
      <c r="G97" s="94" t="s">
        <v>281</v>
      </c>
      <c r="J97" s="119"/>
      <c r="K97" s="119"/>
      <c r="L97" s="119"/>
      <c r="M97" s="119"/>
      <c r="N97" s="119"/>
      <c r="O97" s="119"/>
      <c r="P97" s="119"/>
      <c r="Q97" s="119"/>
      <c r="R97" s="167">
        <v>-1.1020000000000001</v>
      </c>
      <c r="S97" s="167">
        <v>-1.04</v>
      </c>
      <c r="T97" s="167">
        <v>-1.1020000000000001</v>
      </c>
      <c r="U97" s="167">
        <v>-1.1020000000000001</v>
      </c>
      <c r="V97" s="167">
        <v>-1.04</v>
      </c>
      <c r="W97" s="167">
        <v>-1.04</v>
      </c>
      <c r="X97" s="167">
        <v>-1.024</v>
      </c>
      <c r="Y97" s="167">
        <v>-1.024</v>
      </c>
    </row>
    <row r="98" spans="3:25" x14ac:dyDescent="0.25">
      <c r="D98"/>
      <c r="E98" t="s">
        <v>193</v>
      </c>
      <c r="G98" s="94" t="s">
        <v>281</v>
      </c>
      <c r="J98" s="119"/>
      <c r="K98" s="119"/>
      <c r="L98" s="119"/>
      <c r="M98" s="119"/>
      <c r="N98" s="119"/>
      <c r="O98" s="119"/>
      <c r="P98" s="119"/>
      <c r="Q98" s="119"/>
      <c r="R98" s="167">
        <v>-1.1020000000000001</v>
      </c>
      <c r="S98" s="167">
        <v>-1.04</v>
      </c>
      <c r="T98" s="167">
        <v>-1.1020000000000001</v>
      </c>
      <c r="U98" s="167">
        <v>-1.1020000000000001</v>
      </c>
      <c r="V98" s="167">
        <v>-1.04</v>
      </c>
      <c r="W98" s="167">
        <v>-1.04</v>
      </c>
      <c r="X98" s="167">
        <v>-1.024</v>
      </c>
      <c r="Y98" s="167">
        <v>-1.024</v>
      </c>
    </row>
    <row r="99" spans="3:25" x14ac:dyDescent="0.25">
      <c r="D99"/>
      <c r="E99" t="s">
        <v>194</v>
      </c>
      <c r="G99" s="94" t="s">
        <v>281</v>
      </c>
      <c r="J99" s="119"/>
      <c r="K99" s="119"/>
      <c r="L99" s="119"/>
      <c r="M99" s="119"/>
      <c r="N99" s="119"/>
      <c r="O99" s="119"/>
      <c r="P99" s="119"/>
      <c r="Q99" s="119"/>
      <c r="R99" s="167">
        <v>0</v>
      </c>
      <c r="S99" s="167">
        <v>0</v>
      </c>
      <c r="T99" s="167">
        <v>0</v>
      </c>
      <c r="U99" s="167">
        <v>0</v>
      </c>
      <c r="V99" s="167">
        <v>0</v>
      </c>
      <c r="W99" s="167">
        <v>0</v>
      </c>
      <c r="X99" s="167">
        <v>0</v>
      </c>
      <c r="Y99" s="167">
        <v>0</v>
      </c>
    </row>
    <row r="100" spans="3:25" x14ac:dyDescent="0.25">
      <c r="D100"/>
      <c r="E100" t="s">
        <v>195</v>
      </c>
      <c r="G100" s="94" t="s">
        <v>281</v>
      </c>
      <c r="J100" s="119"/>
      <c r="K100" s="119"/>
      <c r="L100" s="119"/>
      <c r="M100" s="119"/>
      <c r="N100" s="119"/>
      <c r="O100" s="119"/>
      <c r="P100" s="119"/>
      <c r="Q100" s="119"/>
      <c r="R100" s="167">
        <v>-1.1020000000000001</v>
      </c>
      <c r="S100" s="167">
        <v>-1.04</v>
      </c>
      <c r="T100" s="167">
        <v>-1.1020000000000001</v>
      </c>
      <c r="U100" s="167">
        <v>-1.1020000000000001</v>
      </c>
      <c r="V100" s="167">
        <v>-1.04</v>
      </c>
      <c r="W100" s="167">
        <v>-1.04</v>
      </c>
      <c r="X100" s="167">
        <v>-1.024</v>
      </c>
      <c r="Y100" s="167">
        <v>-1.024</v>
      </c>
    </row>
    <row r="101" spans="3:25" x14ac:dyDescent="0.25">
      <c r="D101"/>
      <c r="E101" t="s">
        <v>196</v>
      </c>
      <c r="G101" s="94" t="s">
        <v>281</v>
      </c>
      <c r="J101" s="119"/>
      <c r="K101" s="119"/>
      <c r="L101" s="119"/>
      <c r="M101" s="119"/>
      <c r="N101" s="119"/>
      <c r="O101" s="119"/>
      <c r="P101" s="119"/>
      <c r="Q101" s="119"/>
      <c r="R101" s="167">
        <v>-1.1020000000000001</v>
      </c>
      <c r="S101" s="167">
        <v>-1.04</v>
      </c>
      <c r="T101" s="167">
        <v>-1.1020000000000001</v>
      </c>
      <c r="U101" s="167">
        <v>-1.1020000000000001</v>
      </c>
      <c r="V101" s="167">
        <v>-1.04</v>
      </c>
      <c r="W101" s="167">
        <v>-1.04</v>
      </c>
      <c r="X101" s="167">
        <v>0</v>
      </c>
      <c r="Y101" s="167">
        <v>0</v>
      </c>
    </row>
    <row r="102" spans="3:25" x14ac:dyDescent="0.25">
      <c r="D102"/>
      <c r="E102" t="s">
        <v>197</v>
      </c>
      <c r="G102" s="94" t="s">
        <v>281</v>
      </c>
      <c r="J102" s="119"/>
      <c r="K102" s="119"/>
      <c r="L102" s="119"/>
      <c r="M102" s="119"/>
      <c r="N102" s="119"/>
      <c r="O102" s="119"/>
      <c r="P102" s="119"/>
      <c r="Q102" s="119"/>
      <c r="R102" s="167">
        <v>-1.1020000000000001</v>
      </c>
      <c r="S102" s="167">
        <v>0</v>
      </c>
      <c r="T102" s="167">
        <v>-1.1020000000000001</v>
      </c>
      <c r="U102" s="167">
        <v>-1.1020000000000001</v>
      </c>
      <c r="V102" s="167">
        <v>0</v>
      </c>
      <c r="W102" s="167">
        <v>0</v>
      </c>
      <c r="X102" s="167">
        <v>0</v>
      </c>
      <c r="Y102" s="167">
        <v>0</v>
      </c>
    </row>
    <row r="103" spans="3:25" x14ac:dyDescent="0.25">
      <c r="D103"/>
      <c r="E103" t="s">
        <v>332</v>
      </c>
      <c r="G103" s="94" t="s">
        <v>281</v>
      </c>
      <c r="J103" s="119"/>
      <c r="K103" s="119"/>
      <c r="L103" s="119"/>
      <c r="M103" s="119"/>
      <c r="N103" s="119"/>
      <c r="O103" s="119"/>
      <c r="P103" s="119"/>
      <c r="Q103" s="119"/>
      <c r="R103" s="119"/>
      <c r="S103" s="119"/>
      <c r="T103" s="119"/>
      <c r="U103" s="119"/>
      <c r="V103" s="119"/>
      <c r="W103" s="119"/>
      <c r="X103" s="119"/>
      <c r="Y103" s="119"/>
    </row>
    <row r="104" spans="3:25" x14ac:dyDescent="0.25">
      <c r="D104"/>
      <c r="E104" s="96" t="s">
        <v>333</v>
      </c>
      <c r="F104" s="96"/>
      <c r="G104" s="101" t="s">
        <v>281</v>
      </c>
      <c r="H104" s="96"/>
      <c r="I104" s="96"/>
      <c r="J104" s="121"/>
      <c r="K104" s="121"/>
      <c r="L104" s="121"/>
      <c r="M104" s="121"/>
      <c r="N104" s="121"/>
      <c r="O104" s="121"/>
      <c r="P104" s="121"/>
      <c r="Q104" s="121"/>
      <c r="R104" s="121"/>
      <c r="S104" s="121"/>
      <c r="T104" s="121"/>
      <c r="U104" s="121"/>
      <c r="V104" s="121"/>
      <c r="W104" s="121"/>
      <c r="X104" s="121"/>
      <c r="Y104" s="121"/>
    </row>
    <row r="105" spans="3:25" x14ac:dyDescent="0.25">
      <c r="C105" s="105"/>
    </row>
    <row r="106" spans="3:25" x14ac:dyDescent="0.25">
      <c r="D106" s="75" t="s">
        <v>371</v>
      </c>
      <c r="E106"/>
    </row>
    <row r="107" spans="3:25" x14ac:dyDescent="0.25">
      <c r="C107" s="105"/>
      <c r="E107" s="95" t="s">
        <v>187</v>
      </c>
      <c r="F107" s="95"/>
      <c r="G107" s="95" t="s">
        <v>165</v>
      </c>
      <c r="H107" s="95"/>
      <c r="I107" s="95"/>
      <c r="J107" s="99"/>
      <c r="K107" s="99"/>
      <c r="L107" s="99"/>
      <c r="M107" s="99"/>
      <c r="N107" s="99"/>
      <c r="O107" s="99"/>
      <c r="P107" s="99"/>
      <c r="Q107" s="99"/>
      <c r="R107" s="99"/>
      <c r="S107" s="99"/>
      <c r="T107" s="99"/>
      <c r="U107" s="99"/>
      <c r="V107" s="99"/>
      <c r="W107" s="99"/>
      <c r="X107" s="99"/>
      <c r="Y107" s="99"/>
    </row>
    <row r="108" spans="3:25" x14ac:dyDescent="0.25">
      <c r="C108" s="105"/>
      <c r="E108" t="s">
        <v>189</v>
      </c>
      <c r="G108" t="s">
        <v>165</v>
      </c>
      <c r="J108" s="100"/>
      <c r="K108" s="100"/>
      <c r="L108" s="100"/>
      <c r="M108" s="100"/>
      <c r="N108" s="100"/>
      <c r="O108" s="100"/>
      <c r="P108" s="100"/>
      <c r="Q108" s="100"/>
      <c r="R108" s="100"/>
      <c r="S108" s="100"/>
      <c r="T108" s="100"/>
      <c r="U108" s="100"/>
      <c r="V108" s="100"/>
      <c r="W108" s="100"/>
      <c r="X108" s="100"/>
      <c r="Y108" s="100"/>
    </row>
    <row r="109" spans="3:25" x14ac:dyDescent="0.25">
      <c r="C109" s="105"/>
      <c r="E109" t="s">
        <v>190</v>
      </c>
      <c r="G109" t="s">
        <v>165</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25">
      <c r="C110" s="105"/>
      <c r="E110" t="s">
        <v>191</v>
      </c>
      <c r="G110" t="s">
        <v>165</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25">
      <c r="C111" s="105"/>
      <c r="E111" t="s">
        <v>192</v>
      </c>
      <c r="G111" t="s">
        <v>165</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25">
      <c r="C112" s="105"/>
      <c r="E112" t="s">
        <v>193</v>
      </c>
      <c r="G112" t="s">
        <v>165</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25">
      <c r="C113" s="105"/>
      <c r="E113" t="s">
        <v>194</v>
      </c>
      <c r="G113" t="s">
        <v>165</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25">
      <c r="C114" s="105"/>
      <c r="E114" t="s">
        <v>195</v>
      </c>
      <c r="G114" t="s">
        <v>165</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25">
      <c r="C115" s="105"/>
      <c r="E115" t="s">
        <v>196</v>
      </c>
      <c r="G115" t="s">
        <v>165</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25">
      <c r="C116" s="105"/>
      <c r="E116" t="s">
        <v>197</v>
      </c>
      <c r="G116" t="s">
        <v>165</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25">
      <c r="C117" s="105"/>
      <c r="E117" t="s">
        <v>332</v>
      </c>
      <c r="G117" t="s">
        <v>165</v>
      </c>
      <c r="J117" s="100"/>
      <c r="K117" s="100"/>
      <c r="L117" s="100"/>
      <c r="M117" s="100"/>
      <c r="N117" s="100"/>
      <c r="O117" s="100"/>
      <c r="P117" s="100"/>
      <c r="Q117" s="100"/>
      <c r="R117" s="100"/>
      <c r="S117" s="100"/>
      <c r="T117" s="100"/>
      <c r="U117" s="100"/>
      <c r="V117" s="100"/>
      <c r="W117" s="100"/>
      <c r="X117" s="100"/>
      <c r="Y117" s="100"/>
    </row>
    <row r="118" spans="3:27" x14ac:dyDescent="0.25">
      <c r="C118" s="105"/>
      <c r="E118" s="96" t="s">
        <v>333</v>
      </c>
      <c r="F118" s="96"/>
      <c r="G118" s="96" t="s">
        <v>165</v>
      </c>
      <c r="H118" s="96"/>
      <c r="I118" s="96"/>
      <c r="J118" s="102"/>
      <c r="K118" s="102"/>
      <c r="L118" s="102"/>
      <c r="M118" s="102"/>
      <c r="N118" s="102"/>
      <c r="O118" s="102"/>
      <c r="P118" s="102"/>
      <c r="Q118" s="102"/>
      <c r="R118" s="102"/>
      <c r="S118" s="102"/>
      <c r="T118" s="102"/>
      <c r="U118" s="102"/>
      <c r="V118" s="102"/>
      <c r="W118" s="102"/>
      <c r="X118" s="102"/>
      <c r="Y118" s="102"/>
    </row>
    <row r="120" spans="3:27" x14ac:dyDescent="0.2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25">
      <c r="C121" s="75"/>
      <c r="D121"/>
      <c r="E121" s="75"/>
    </row>
    <row r="122" spans="3:27" x14ac:dyDescent="0.25">
      <c r="D122" s="75" t="s">
        <v>576</v>
      </c>
      <c r="E122"/>
    </row>
    <row r="123" spans="3:27" x14ac:dyDescent="0.25">
      <c r="E123" s="95" t="s">
        <v>187</v>
      </c>
      <c r="F123" s="95"/>
      <c r="G123" s="95" t="s">
        <v>267</v>
      </c>
      <c r="H123" s="265"/>
      <c r="I123" s="265"/>
      <c r="J123" s="279"/>
      <c r="K123" s="279"/>
      <c r="L123" s="279"/>
      <c r="M123" s="279"/>
      <c r="N123" s="279"/>
      <c r="O123" s="279"/>
      <c r="P123" s="279"/>
      <c r="Q123" s="279"/>
      <c r="R123" s="279"/>
      <c r="S123" s="279"/>
      <c r="T123" s="279"/>
      <c r="U123" s="279"/>
      <c r="V123" s="279"/>
      <c r="W123" s="279"/>
      <c r="X123" s="279"/>
      <c r="Y123" s="279"/>
      <c r="Z123" s="267"/>
      <c r="AA123" s="267"/>
    </row>
    <row r="124" spans="3:27" x14ac:dyDescent="0.25">
      <c r="E124" t="s">
        <v>189</v>
      </c>
      <c r="G124" t="s">
        <v>267</v>
      </c>
      <c r="H124" s="267"/>
      <c r="I124" s="267"/>
      <c r="J124" s="293"/>
      <c r="K124" s="293"/>
      <c r="L124" s="293"/>
      <c r="M124" s="293"/>
      <c r="N124" s="293"/>
      <c r="O124" s="293"/>
      <c r="P124" s="293"/>
      <c r="Q124" s="293"/>
      <c r="R124" s="293"/>
      <c r="S124" s="293"/>
      <c r="T124" s="293"/>
      <c r="U124" s="293"/>
      <c r="V124" s="293"/>
      <c r="W124" s="293"/>
      <c r="X124" s="293"/>
      <c r="Y124" s="293"/>
      <c r="Z124" s="267"/>
      <c r="AA124" s="267"/>
    </row>
    <row r="125" spans="3:27" x14ac:dyDescent="0.25">
      <c r="E125" t="s">
        <v>190</v>
      </c>
      <c r="G125" t="s">
        <v>267</v>
      </c>
      <c r="H125" s="267"/>
      <c r="I125" s="267"/>
      <c r="J125" s="278">
        <f>'Initial unit rates'!J125</f>
        <v>0.19638503674094424</v>
      </c>
      <c r="K125" s="278">
        <f>'Initial unit rates'!K125</f>
        <v>0.19638503674094424</v>
      </c>
      <c r="L125" s="278">
        <f>'Initial unit rates'!L125</f>
        <v>0.18707251954238027</v>
      </c>
      <c r="M125" s="278">
        <f>'Initial unit rates'!M125</f>
        <v>0.18707251954238027</v>
      </c>
      <c r="N125" s="278">
        <f>'Initial unit rates'!N125</f>
        <v>0.15362762083445713</v>
      </c>
      <c r="O125" s="278">
        <f>'Initial unit rates'!O125</f>
        <v>0.12285957908225582</v>
      </c>
      <c r="P125" s="278">
        <f>'Initial unit rates'!P125</f>
        <v>0.11397107503969295</v>
      </c>
      <c r="Q125" s="278">
        <f>'Initial unit rates'!Q125</f>
        <v>0.20627603129481978</v>
      </c>
      <c r="R125" s="293"/>
      <c r="S125" s="293"/>
      <c r="T125" s="293"/>
      <c r="U125" s="293"/>
      <c r="V125" s="293"/>
      <c r="W125" s="293"/>
      <c r="X125" s="293"/>
      <c r="Y125" s="293"/>
      <c r="Z125" s="267"/>
      <c r="AA125" s="267"/>
    </row>
    <row r="126" spans="3:27" x14ac:dyDescent="0.25">
      <c r="E126" t="s">
        <v>191</v>
      </c>
      <c r="G126" t="s">
        <v>267</v>
      </c>
      <c r="H126" s="267"/>
      <c r="I126" s="267"/>
      <c r="J126" s="278">
        <f>'Initial unit rates'!J126</f>
        <v>0.12164386268404656</v>
      </c>
      <c r="K126" s="278">
        <f>'Initial unit rates'!K126</f>
        <v>0.12164386268404656</v>
      </c>
      <c r="L126" s="278">
        <f>'Initial unit rates'!L126</f>
        <v>0.11587554865083818</v>
      </c>
      <c r="M126" s="278">
        <f>'Initial unit rates'!M126</f>
        <v>0.11587554865083818</v>
      </c>
      <c r="N126" s="278">
        <f>'Initial unit rates'!N126</f>
        <v>9.5159272434360856E-2</v>
      </c>
      <c r="O126" s="278">
        <f>'Initial unit rates'!O126</f>
        <v>7.6101081911938692E-2</v>
      </c>
      <c r="P126" s="278">
        <f>'Initial unit rates'!P126</f>
        <v>7.0595408042058327E-2</v>
      </c>
      <c r="Q126" s="278">
        <f>'Initial unit rates'!Q126</f>
        <v>0.12777049434238125</v>
      </c>
      <c r="R126" s="293"/>
      <c r="S126" s="293"/>
      <c r="T126" s="293"/>
      <c r="U126" s="293"/>
      <c r="V126" s="293"/>
      <c r="W126" s="293"/>
      <c r="X126" s="293"/>
      <c r="Y126" s="293"/>
      <c r="Z126" s="267"/>
      <c r="AA126" s="267"/>
    </row>
    <row r="127" spans="3:27" x14ac:dyDescent="0.25">
      <c r="E127" t="s">
        <v>192</v>
      </c>
      <c r="G127" t="s">
        <v>267</v>
      </c>
      <c r="H127" s="267"/>
      <c r="I127" s="267"/>
      <c r="J127" s="278">
        <f>'Initial unit rates'!J127</f>
        <v>0.38570005103827792</v>
      </c>
      <c r="K127" s="278">
        <f>'Initial unit rates'!K127</f>
        <v>0.38570005103827792</v>
      </c>
      <c r="L127" s="278">
        <f>'Initial unit rates'!L127</f>
        <v>0.36741027490060285</v>
      </c>
      <c r="M127" s="278">
        <f>'Initial unit rates'!M127</f>
        <v>0.36741027490060285</v>
      </c>
      <c r="N127" s="278">
        <f>'Initial unit rates'!N127</f>
        <v>0.30172452127756966</v>
      </c>
      <c r="O127" s="278">
        <f>'Initial unit rates'!O127</f>
        <v>0.24129611251938995</v>
      </c>
      <c r="P127" s="278">
        <f>'Initial unit rates'!P127</f>
        <v>0.22383909787222625</v>
      </c>
      <c r="Q127" s="278">
        <f>'Initial unit rates'!Q127</f>
        <v>0.40512595622718245</v>
      </c>
      <c r="R127" s="293"/>
      <c r="S127" s="293"/>
      <c r="T127" s="293"/>
      <c r="U127" s="293"/>
      <c r="V127" s="293"/>
      <c r="W127" s="293"/>
      <c r="X127" s="293"/>
      <c r="Y127" s="293"/>
      <c r="Z127" s="267"/>
      <c r="AA127" s="267"/>
    </row>
    <row r="128" spans="3:27" x14ac:dyDescent="0.25">
      <c r="E128" t="s">
        <v>193</v>
      </c>
      <c r="G128" t="s">
        <v>267</v>
      </c>
      <c r="H128" s="267"/>
      <c r="I128" s="267"/>
      <c r="J128" s="278">
        <f>'Initial unit rates'!J128</f>
        <v>0.14676840244085987</v>
      </c>
      <c r="K128" s="278">
        <f>'Initial unit rates'!K128</f>
        <v>0.14676840244085987</v>
      </c>
      <c r="L128" s="278">
        <f>'Initial unit rates'!L128</f>
        <v>0.13980869056760134</v>
      </c>
      <c r="M128" s="278">
        <f>'Initial unit rates'!M128</f>
        <v>0.13980869056760134</v>
      </c>
      <c r="N128" s="278">
        <f>'Initial unit rates'!N128</f>
        <v>0.11481363781501626</v>
      </c>
      <c r="O128" s="278">
        <f>'Initial unit rates'!O128</f>
        <v>9.1819134724838769E-2</v>
      </c>
      <c r="P128" s="278">
        <f>'Initial unit rates'!P128</f>
        <v>8.5176309181378765E-2</v>
      </c>
      <c r="Q128" s="278">
        <f>'Initial unit rates'!Q128</f>
        <v>0.15416043949884869</v>
      </c>
      <c r="R128" s="293"/>
      <c r="S128" s="293"/>
      <c r="T128" s="293"/>
      <c r="U128" s="293"/>
      <c r="V128" s="293"/>
      <c r="W128" s="293"/>
      <c r="X128" s="293"/>
      <c r="Y128" s="293"/>
      <c r="Z128" s="267"/>
      <c r="AA128" s="267"/>
    </row>
    <row r="129" spans="4:27" x14ac:dyDescent="0.25">
      <c r="E129" t="s">
        <v>194</v>
      </c>
      <c r="G129" t="s">
        <v>267</v>
      </c>
      <c r="H129" s="267"/>
      <c r="I129" s="267"/>
      <c r="J129" s="278">
        <f>'Initial unit rates'!J129</f>
        <v>0</v>
      </c>
      <c r="K129" s="278">
        <f>'Initial unit rates'!K129</f>
        <v>0</v>
      </c>
      <c r="L129" s="278">
        <f>'Initial unit rates'!L129</f>
        <v>0</v>
      </c>
      <c r="M129" s="278">
        <f>'Initial unit rates'!M129</f>
        <v>0</v>
      </c>
      <c r="N129" s="278">
        <f>'Initial unit rates'!N129</f>
        <v>0</v>
      </c>
      <c r="O129" s="278">
        <f>'Initial unit rates'!O129</f>
        <v>0</v>
      </c>
      <c r="P129" s="278">
        <f>'Initial unit rates'!P129</f>
        <v>0</v>
      </c>
      <c r="Q129" s="278">
        <f>'Initial unit rates'!Q129</f>
        <v>0</v>
      </c>
      <c r="R129" s="293"/>
      <c r="S129" s="293"/>
      <c r="T129" s="293"/>
      <c r="U129" s="293"/>
      <c r="V129" s="293"/>
      <c r="W129" s="293"/>
      <c r="X129" s="293"/>
      <c r="Y129" s="293"/>
      <c r="Z129" s="267"/>
      <c r="AA129" s="267"/>
    </row>
    <row r="130" spans="4:27" x14ac:dyDescent="0.25">
      <c r="E130" t="s">
        <v>195</v>
      </c>
      <c r="G130" t="s">
        <v>267</v>
      </c>
      <c r="H130" s="267"/>
      <c r="I130" s="267"/>
      <c r="J130" s="278">
        <f>'Initial unit rates'!J130</f>
        <v>0.67927221569240592</v>
      </c>
      <c r="K130" s="278">
        <f>'Initial unit rates'!K130</f>
        <v>0.67927221569240592</v>
      </c>
      <c r="L130" s="278">
        <f>'Initial unit rates'!L130</f>
        <v>0.64706133905883345</v>
      </c>
      <c r="M130" s="278">
        <f>'Initial unit rates'!M130</f>
        <v>0.64706133905883345</v>
      </c>
      <c r="N130" s="278">
        <f>'Initial unit rates'!N130</f>
        <v>0.53137945806650966</v>
      </c>
      <c r="O130" s="278">
        <f>'Initial unit rates'!O130</f>
        <v>0.42495650324076228</v>
      </c>
      <c r="P130" s="278">
        <f>'Initial unit rates'!P130</f>
        <v>0.39421223710226277</v>
      </c>
      <c r="Q130" s="278">
        <f>'Initial unit rates'!Q130</f>
        <v>0.71348397590342105</v>
      </c>
      <c r="R130" s="293"/>
      <c r="S130" s="293"/>
      <c r="T130" s="293"/>
      <c r="U130" s="293"/>
      <c r="V130" s="293"/>
      <c r="W130" s="293"/>
      <c r="X130" s="293"/>
      <c r="Y130" s="293"/>
      <c r="Z130" s="267"/>
      <c r="AA130" s="267"/>
    </row>
    <row r="131" spans="4:27" x14ac:dyDescent="0.25">
      <c r="E131" t="s">
        <v>196</v>
      </c>
      <c r="G131" t="s">
        <v>267</v>
      </c>
      <c r="H131" s="267"/>
      <c r="I131" s="267"/>
      <c r="J131" s="278">
        <f>'Initial unit rates'!J131</f>
        <v>0.20659441353958405</v>
      </c>
      <c r="K131" s="278">
        <f>'Initial unit rates'!K131</f>
        <v>0.20659441353958405</v>
      </c>
      <c r="L131" s="278">
        <f>'Initial unit rates'!L131</f>
        <v>0.1967977708770757</v>
      </c>
      <c r="M131" s="278">
        <f>'Initial unit rates'!M131</f>
        <v>0.1967977708770757</v>
      </c>
      <c r="N131" s="278">
        <f>'Initial unit rates'!N131</f>
        <v>0.1616141879059928</v>
      </c>
      <c r="O131" s="278">
        <f>'Initial unit rates'!O131</f>
        <v>0.12924662239771798</v>
      </c>
      <c r="P131" s="278">
        <f>'Initial unit rates'!P131</f>
        <v>0</v>
      </c>
      <c r="Q131" s="278">
        <f>'Initial unit rates'!Q131</f>
        <v>0.21699960658836334</v>
      </c>
      <c r="R131" s="293"/>
      <c r="S131" s="293"/>
      <c r="T131" s="293"/>
      <c r="U131" s="293"/>
      <c r="V131" s="293"/>
      <c r="W131" s="293"/>
      <c r="X131" s="293"/>
      <c r="Y131" s="293"/>
      <c r="Z131" s="267"/>
      <c r="AA131" s="267"/>
    </row>
    <row r="132" spans="4:27" x14ac:dyDescent="0.25">
      <c r="E132" t="s">
        <v>197</v>
      </c>
      <c r="G132" t="s">
        <v>267</v>
      </c>
      <c r="H132" s="267"/>
      <c r="I132" s="267"/>
      <c r="J132" s="278">
        <f>'Initial unit rates'!J132</f>
        <v>0.38615596544248459</v>
      </c>
      <c r="K132" s="278">
        <f>'Initial unit rates'!K132</f>
        <v>0.38615596544248459</v>
      </c>
      <c r="L132" s="278">
        <f>'Initial unit rates'!L132</f>
        <v>0.36784456998594139</v>
      </c>
      <c r="M132" s="278">
        <f>'Initial unit rates'!M132</f>
        <v>0.36784456998594139</v>
      </c>
      <c r="N132" s="278">
        <f>'Initial unit rates'!N132</f>
        <v>0.30208117291653758</v>
      </c>
      <c r="O132" s="278">
        <f>'Initial unit rates'!O132</f>
        <v>0</v>
      </c>
      <c r="P132" s="278">
        <f>'Initial unit rates'!P132</f>
        <v>0</v>
      </c>
      <c r="Q132" s="278">
        <f>'Initial unit rates'!Q132</f>
        <v>0.40560483290470634</v>
      </c>
      <c r="R132" s="293"/>
      <c r="S132" s="293"/>
      <c r="T132" s="293"/>
      <c r="U132" s="293"/>
      <c r="V132" s="293"/>
      <c r="W132" s="293"/>
      <c r="X132" s="293"/>
      <c r="Y132" s="293"/>
      <c r="Z132" s="267"/>
      <c r="AA132" s="267"/>
    </row>
    <row r="133" spans="4:27" x14ac:dyDescent="0.25">
      <c r="E133" t="s">
        <v>332</v>
      </c>
      <c r="G133" t="s">
        <v>267</v>
      </c>
      <c r="H133" s="267"/>
      <c r="I133" s="267"/>
      <c r="J133" s="293"/>
      <c r="K133" s="293"/>
      <c r="L133" s="293"/>
      <c r="M133" s="293"/>
      <c r="N133" s="293"/>
      <c r="O133" s="293"/>
      <c r="P133" s="293"/>
      <c r="Q133" s="293"/>
      <c r="R133" s="293"/>
      <c r="S133" s="293"/>
      <c r="T133" s="293"/>
      <c r="U133" s="293"/>
      <c r="V133" s="293"/>
      <c r="W133" s="293"/>
      <c r="X133" s="293"/>
      <c r="Y133" s="293"/>
      <c r="Z133" s="267"/>
      <c r="AA133" s="267"/>
    </row>
    <row r="134" spans="4:27" x14ac:dyDescent="0.25">
      <c r="E134" s="96" t="s">
        <v>333</v>
      </c>
      <c r="F134" s="96"/>
      <c r="G134" s="96" t="s">
        <v>267</v>
      </c>
      <c r="H134" s="269"/>
      <c r="I134" s="269"/>
      <c r="J134" s="275"/>
      <c r="K134" s="275"/>
      <c r="L134" s="275"/>
      <c r="M134" s="275"/>
      <c r="N134" s="275"/>
      <c r="O134" s="275"/>
      <c r="P134" s="275"/>
      <c r="Q134" s="275"/>
      <c r="R134" s="275"/>
      <c r="S134" s="275"/>
      <c r="T134" s="275"/>
      <c r="U134" s="275"/>
      <c r="V134" s="275"/>
      <c r="W134" s="275"/>
      <c r="X134" s="275"/>
      <c r="Y134" s="275"/>
      <c r="Z134" s="267"/>
      <c r="AA134" s="267"/>
    </row>
    <row r="135" spans="4:27" x14ac:dyDescent="0.25">
      <c r="E135"/>
      <c r="J135" s="106"/>
      <c r="K135" s="106"/>
      <c r="L135" s="106"/>
      <c r="M135" s="106"/>
      <c r="N135" s="106"/>
      <c r="O135" s="106"/>
      <c r="P135" s="106"/>
      <c r="Q135" s="106"/>
      <c r="R135" s="106"/>
      <c r="S135" s="106"/>
      <c r="T135" s="106"/>
      <c r="U135" s="106"/>
      <c r="V135" s="106"/>
      <c r="W135" s="106"/>
      <c r="X135" s="106"/>
      <c r="Y135" s="106"/>
    </row>
    <row r="136" spans="4:27" x14ac:dyDescent="0.25">
      <c r="D136" s="75" t="s">
        <v>577</v>
      </c>
      <c r="E136"/>
      <c r="J136" s="106"/>
      <c r="K136" s="106"/>
      <c r="L136" s="106"/>
      <c r="M136" s="106"/>
      <c r="N136" s="106"/>
      <c r="O136" s="106"/>
      <c r="P136" s="106"/>
      <c r="Q136" s="106"/>
      <c r="R136" s="106"/>
      <c r="S136" s="106"/>
      <c r="T136" s="106"/>
      <c r="U136" s="106"/>
      <c r="V136" s="106"/>
      <c r="W136" s="106"/>
      <c r="X136" s="106"/>
      <c r="Y136" s="106"/>
    </row>
    <row r="137" spans="4:27" x14ac:dyDescent="0.25">
      <c r="E137" s="95" t="s">
        <v>187</v>
      </c>
      <c r="F137" s="95"/>
      <c r="G137" s="95" t="s">
        <v>267</v>
      </c>
      <c r="H137" s="265"/>
      <c r="I137" s="265"/>
      <c r="J137" s="277">
        <f>'Initial unit rates'!J135</f>
        <v>0.15107260046508147</v>
      </c>
      <c r="K137" s="277">
        <f>'Initial unit rates'!K135</f>
        <v>0.15107260046508147</v>
      </c>
      <c r="L137" s="277">
        <f>'Initial unit rates'!L135</f>
        <v>0.14390878486380082</v>
      </c>
      <c r="M137" s="277">
        <f>'Initial unit rates'!M135</f>
        <v>0.14390878486380082</v>
      </c>
      <c r="N137" s="277">
        <f>'Initial unit rates'!N135</f>
        <v>0.11818071563843413</v>
      </c>
      <c r="O137" s="277">
        <f>'Initial unit rates'!O135</f>
        <v>9.4511865119772637E-2</v>
      </c>
      <c r="P137" s="277">
        <f>'Initial unit rates'!P135</f>
        <v>8.7674229003301643E-2</v>
      </c>
      <c r="Q137" s="277">
        <f>'Initial unit rates'!Q135</f>
        <v>0.15868141981933323</v>
      </c>
      <c r="R137" s="279"/>
      <c r="S137" s="279"/>
      <c r="T137" s="279"/>
      <c r="U137" s="279"/>
      <c r="V137" s="279"/>
      <c r="W137" s="279"/>
      <c r="X137" s="279"/>
      <c r="Y137" s="279"/>
      <c r="Z137" s="267"/>
      <c r="AA137" s="267"/>
    </row>
    <row r="138" spans="4:27" x14ac:dyDescent="0.25">
      <c r="E138" t="s">
        <v>189</v>
      </c>
      <c r="G138" t="s">
        <v>267</v>
      </c>
      <c r="H138" s="267"/>
      <c r="I138" s="267"/>
      <c r="J138" s="278">
        <f>'Initial unit rates'!J136</f>
        <v>0</v>
      </c>
      <c r="K138" s="278">
        <f>'Initial unit rates'!K136</f>
        <v>0</v>
      </c>
      <c r="L138" s="278">
        <f>'Initial unit rates'!L136</f>
        <v>0</v>
      </c>
      <c r="M138" s="278">
        <f>'Initial unit rates'!M136</f>
        <v>0</v>
      </c>
      <c r="N138" s="278">
        <f>'Initial unit rates'!N136</f>
        <v>0</v>
      </c>
      <c r="O138" s="278">
        <f>'Initial unit rates'!O136</f>
        <v>0</v>
      </c>
      <c r="P138" s="278">
        <f>'Initial unit rates'!P136</f>
        <v>0</v>
      </c>
      <c r="Q138" s="278">
        <f>'Initial unit rates'!Q136</f>
        <v>0</v>
      </c>
      <c r="R138" s="293"/>
      <c r="S138" s="293"/>
      <c r="T138" s="293"/>
      <c r="U138" s="293"/>
      <c r="V138" s="293"/>
      <c r="W138" s="293"/>
      <c r="X138" s="293"/>
      <c r="Y138" s="293"/>
      <c r="Z138" s="267"/>
      <c r="AA138" s="267"/>
    </row>
    <row r="139" spans="4:27" x14ac:dyDescent="0.25">
      <c r="E139" t="s">
        <v>190</v>
      </c>
      <c r="G139" t="s">
        <v>267</v>
      </c>
      <c r="H139" s="267"/>
      <c r="I139" s="267"/>
      <c r="J139" s="278">
        <f>'Initial unit rates'!J137</f>
        <v>6.4652614160749217E-2</v>
      </c>
      <c r="K139" s="278">
        <f>'Initial unit rates'!K137</f>
        <v>6.4652614160749217E-2</v>
      </c>
      <c r="L139" s="278">
        <f>'Initial unit rates'!L137</f>
        <v>6.158680735949932E-2</v>
      </c>
      <c r="M139" s="278">
        <f>'Initial unit rates'!M137</f>
        <v>6.158680735949932E-2</v>
      </c>
      <c r="N139" s="278">
        <f>'Initial unit rates'!N137</f>
        <v>5.0576293688536542E-2</v>
      </c>
      <c r="O139" s="278">
        <f>'Initial unit rates'!O137</f>
        <v>4.044703758583796E-2</v>
      </c>
      <c r="P139" s="278">
        <f>'Initial unit rates'!P137</f>
        <v>3.7520821658867262E-2</v>
      </c>
      <c r="Q139" s="278">
        <f>'Initial unit rates'!Q137</f>
        <v>6.7908863542932726E-2</v>
      </c>
      <c r="R139" s="293"/>
      <c r="S139" s="293"/>
      <c r="T139" s="293"/>
      <c r="U139" s="293"/>
      <c r="V139" s="293"/>
      <c r="W139" s="293"/>
      <c r="X139" s="293"/>
      <c r="Y139" s="293"/>
      <c r="Z139" s="267"/>
      <c r="AA139" s="267"/>
    </row>
    <row r="140" spans="4:27" x14ac:dyDescent="0.25">
      <c r="E140" t="s">
        <v>191</v>
      </c>
      <c r="G140" t="s">
        <v>267</v>
      </c>
      <c r="H140" s="267"/>
      <c r="I140" s="267"/>
      <c r="J140" s="278">
        <f>'Initial unit rates'!J138</f>
        <v>4.0046807280481232E-2</v>
      </c>
      <c r="K140" s="278">
        <f>'Initial unit rates'!K138</f>
        <v>4.0046807280481232E-2</v>
      </c>
      <c r="L140" s="278">
        <f>'Initial unit rates'!L138</f>
        <v>3.814780016804524E-2</v>
      </c>
      <c r="M140" s="278">
        <f>'Initial unit rates'!M138</f>
        <v>3.814780016804524E-2</v>
      </c>
      <c r="N140" s="278">
        <f>'Initial unit rates'!N138</f>
        <v>3.1327721432422448E-2</v>
      </c>
      <c r="O140" s="278">
        <f>'Initial unit rates'!O138</f>
        <v>2.5053506966309237E-2</v>
      </c>
      <c r="P140" s="278">
        <f>'Initial unit rates'!P138</f>
        <v>2.3240964553142375E-2</v>
      </c>
      <c r="Q140" s="278">
        <f>'Initial unit rates'!Q138</f>
        <v>4.2063777408576329E-2</v>
      </c>
      <c r="R140" s="293"/>
      <c r="S140" s="293"/>
      <c r="T140" s="293"/>
      <c r="U140" s="293"/>
      <c r="V140" s="293"/>
      <c r="W140" s="293"/>
      <c r="X140" s="293"/>
      <c r="Y140" s="293"/>
      <c r="Z140" s="267"/>
      <c r="AA140" s="267"/>
    </row>
    <row r="141" spans="4:27" x14ac:dyDescent="0.25">
      <c r="E141" t="s">
        <v>192</v>
      </c>
      <c r="G141" t="s">
        <v>267</v>
      </c>
      <c r="H141" s="267"/>
      <c r="I141" s="267"/>
      <c r="J141" s="278">
        <f>'Initial unit rates'!J139</f>
        <v>0.12697768116851671</v>
      </c>
      <c r="K141" s="278">
        <f>'Initial unit rates'!K139</f>
        <v>0.12697768116851671</v>
      </c>
      <c r="L141" s="278">
        <f>'Initial unit rates'!L139</f>
        <v>0.1209564391261537</v>
      </c>
      <c r="M141" s="278">
        <f>'Initial unit rates'!M139</f>
        <v>0.1209564391261537</v>
      </c>
      <c r="N141" s="278">
        <f>'Initial unit rates'!N139</f>
        <v>9.9331799309781157E-2</v>
      </c>
      <c r="O141" s="278">
        <f>'Initial unit rates'!O139</f>
        <v>7.9437948634466002E-2</v>
      </c>
      <c r="P141" s="278">
        <f>'Initial unit rates'!P139</f>
        <v>7.3690862954662206E-2</v>
      </c>
      <c r="Q141" s="278">
        <f>'Initial unit rates'!Q139</f>
        <v>0.13337295228358784</v>
      </c>
      <c r="R141" s="293"/>
      <c r="S141" s="293"/>
      <c r="T141" s="293"/>
      <c r="U141" s="293"/>
      <c r="V141" s="293"/>
      <c r="W141" s="293"/>
      <c r="X141" s="293"/>
      <c r="Y141" s="293"/>
      <c r="Z141" s="267"/>
      <c r="AA141" s="267"/>
    </row>
    <row r="142" spans="4:27" x14ac:dyDescent="0.25">
      <c r="E142" t="s">
        <v>193</v>
      </c>
      <c r="G142" t="s">
        <v>267</v>
      </c>
      <c r="H142" s="267"/>
      <c r="I142" s="267"/>
      <c r="J142" s="278">
        <f>'Initial unit rates'!J140</f>
        <v>4.8318146084192604E-2</v>
      </c>
      <c r="K142" s="278">
        <f>'Initial unit rates'!K140</f>
        <v>4.8318146084192604E-2</v>
      </c>
      <c r="L142" s="278">
        <f>'Initial unit rates'!L140</f>
        <v>4.6026914665144497E-2</v>
      </c>
      <c r="M142" s="278">
        <f>'Initial unit rates'!M140</f>
        <v>4.6026914665144497E-2</v>
      </c>
      <c r="N142" s="278">
        <f>'Initial unit rates'!N140</f>
        <v>3.7798204737146512E-2</v>
      </c>
      <c r="O142" s="278">
        <f>'Initial unit rates'!O140</f>
        <v>3.0228102855767033E-2</v>
      </c>
      <c r="P142" s="278">
        <f>'Initial unit rates'!P140</f>
        <v>2.8041194708762839E-2</v>
      </c>
      <c r="Q142" s="278">
        <f>'Initial unit rates'!Q140</f>
        <v>5.0751704809965277E-2</v>
      </c>
      <c r="R142" s="293"/>
      <c r="S142" s="293"/>
      <c r="T142" s="293"/>
      <c r="U142" s="293"/>
      <c r="V142" s="293"/>
      <c r="W142" s="293"/>
      <c r="X142" s="293"/>
      <c r="Y142" s="293"/>
      <c r="Z142" s="267"/>
      <c r="AA142" s="267"/>
    </row>
    <row r="143" spans="4:27" x14ac:dyDescent="0.25">
      <c r="E143" t="s">
        <v>194</v>
      </c>
      <c r="G143" t="s">
        <v>267</v>
      </c>
      <c r="H143" s="267"/>
      <c r="I143" s="267"/>
      <c r="J143" s="278">
        <f>'Initial unit rates'!J141</f>
        <v>0</v>
      </c>
      <c r="K143" s="278">
        <f>'Initial unit rates'!K141</f>
        <v>0</v>
      </c>
      <c r="L143" s="278">
        <f>'Initial unit rates'!L141</f>
        <v>0</v>
      </c>
      <c r="M143" s="278">
        <f>'Initial unit rates'!M141</f>
        <v>0</v>
      </c>
      <c r="N143" s="278">
        <f>'Initial unit rates'!N141</f>
        <v>0</v>
      </c>
      <c r="O143" s="278">
        <f>'Initial unit rates'!O141</f>
        <v>0</v>
      </c>
      <c r="P143" s="278">
        <f>'Initial unit rates'!P141</f>
        <v>0</v>
      </c>
      <c r="Q143" s="278">
        <f>'Initial unit rates'!Q141</f>
        <v>0</v>
      </c>
      <c r="R143" s="293"/>
      <c r="S143" s="293"/>
      <c r="T143" s="293"/>
      <c r="U143" s="293"/>
      <c r="V143" s="293"/>
      <c r="W143" s="293"/>
      <c r="X143" s="293"/>
      <c r="Y143" s="293"/>
      <c r="Z143" s="267"/>
      <c r="AA143" s="267"/>
    </row>
    <row r="144" spans="4:27" x14ac:dyDescent="0.25">
      <c r="E144" t="s">
        <v>195</v>
      </c>
      <c r="G144" t="s">
        <v>267</v>
      </c>
      <c r="H144" s="267"/>
      <c r="I144" s="267"/>
      <c r="J144" s="278">
        <f>'Initial unit rates'!J142</f>
        <v>0.22362561425293237</v>
      </c>
      <c r="K144" s="278">
        <f>'Initial unit rates'!K142</f>
        <v>0.22362561425293237</v>
      </c>
      <c r="L144" s="278">
        <f>'Initial unit rates'!L142</f>
        <v>0.21302135736386527</v>
      </c>
      <c r="M144" s="278">
        <f>'Initial unit rates'!M142</f>
        <v>0.21302135736386527</v>
      </c>
      <c r="N144" s="278">
        <f>'Initial unit rates'!N142</f>
        <v>0.17493731521226125</v>
      </c>
      <c r="O144" s="278">
        <f>'Initial unit rates'!O142</f>
        <v>0.13990143696827803</v>
      </c>
      <c r="P144" s="278">
        <f>'Initial unit rates'!P142</f>
        <v>0.12978000811965446</v>
      </c>
      <c r="Q144" s="278">
        <f>'Initial unit rates'!Q142</f>
        <v>0.23488858911797036</v>
      </c>
      <c r="R144" s="293"/>
      <c r="S144" s="293"/>
      <c r="T144" s="293"/>
      <c r="U144" s="293"/>
      <c r="V144" s="293"/>
      <c r="W144" s="293"/>
      <c r="X144" s="293"/>
      <c r="Y144" s="293"/>
      <c r="Z144" s="267"/>
      <c r="AA144" s="267"/>
    </row>
    <row r="145" spans="2:27" x14ac:dyDescent="0.25">
      <c r="E145" t="s">
        <v>196</v>
      </c>
      <c r="G145" t="s">
        <v>267</v>
      </c>
      <c r="H145" s="267"/>
      <c r="I145" s="267"/>
      <c r="J145" s="278">
        <f>'Initial unit rates'!J143</f>
        <v>6.8013679290445772E-2</v>
      </c>
      <c r="K145" s="278">
        <f>'Initial unit rates'!K143</f>
        <v>6.8013679290445772E-2</v>
      </c>
      <c r="L145" s="278">
        <f>'Initial unit rates'!L143</f>
        <v>6.4788491828911263E-2</v>
      </c>
      <c r="M145" s="278">
        <f>'Initial unit rates'!M143</f>
        <v>6.4788491828911263E-2</v>
      </c>
      <c r="N145" s="278">
        <f>'Initial unit rates'!N143</f>
        <v>5.3205579747769606E-2</v>
      </c>
      <c r="O145" s="278">
        <f>'Initial unit rates'!O143</f>
        <v>4.2549738758775504E-2</v>
      </c>
      <c r="P145" s="278">
        <f>'Initial unit rates'!P143</f>
        <v>0</v>
      </c>
      <c r="Q145" s="278">
        <f>'Initial unit rates'!Q143</f>
        <v>7.1439209782049554E-2</v>
      </c>
      <c r="R145" s="293"/>
      <c r="S145" s="293"/>
      <c r="T145" s="293"/>
      <c r="U145" s="293"/>
      <c r="V145" s="293"/>
      <c r="W145" s="293"/>
      <c r="X145" s="293"/>
      <c r="Y145" s="293"/>
      <c r="Z145" s="267"/>
      <c r="AA145" s="267"/>
    </row>
    <row r="146" spans="2:27" x14ac:dyDescent="0.25">
      <c r="E146" t="s">
        <v>197</v>
      </c>
      <c r="G146" t="s">
        <v>267</v>
      </c>
      <c r="H146" s="267"/>
      <c r="I146" s="267"/>
      <c r="J146" s="278">
        <f>'Initial unit rates'!J144</f>
        <v>0.12712777436581252</v>
      </c>
      <c r="K146" s="278">
        <f>'Initial unit rates'!K144</f>
        <v>0.12712777436581252</v>
      </c>
      <c r="L146" s="278">
        <f>'Initial unit rates'!L144</f>
        <v>0.12109941495084107</v>
      </c>
      <c r="M146" s="278">
        <f>'Initial unit rates'!M144</f>
        <v>0.12109941495084107</v>
      </c>
      <c r="N146" s="278">
        <f>'Initial unit rates'!N144</f>
        <v>9.9449213860230909E-2</v>
      </c>
      <c r="O146" s="278">
        <f>'Initial unit rates'!O144</f>
        <v>0</v>
      </c>
      <c r="P146" s="278">
        <f>'Initial unit rates'!P144</f>
        <v>0</v>
      </c>
      <c r="Q146" s="278">
        <f>'Initial unit rates'!Q144</f>
        <v>0.13353060497228719</v>
      </c>
      <c r="R146" s="293"/>
      <c r="S146" s="293"/>
      <c r="T146" s="293"/>
      <c r="U146" s="293"/>
      <c r="V146" s="293"/>
      <c r="W146" s="293"/>
      <c r="X146" s="293"/>
      <c r="Y146" s="293"/>
      <c r="Z146" s="267"/>
      <c r="AA146" s="267"/>
    </row>
    <row r="147" spans="2:27" x14ac:dyDescent="0.25">
      <c r="E147" t="s">
        <v>332</v>
      </c>
      <c r="G147" t="s">
        <v>267</v>
      </c>
      <c r="H147" s="267"/>
      <c r="I147" s="267"/>
      <c r="J147" s="293"/>
      <c r="K147" s="293"/>
      <c r="L147" s="293"/>
      <c r="M147" s="293"/>
      <c r="N147" s="293"/>
      <c r="O147" s="293"/>
      <c r="P147" s="293"/>
      <c r="Q147" s="293"/>
      <c r="R147" s="293"/>
      <c r="S147" s="293"/>
      <c r="T147" s="293"/>
      <c r="U147" s="293"/>
      <c r="V147" s="293"/>
      <c r="W147" s="293"/>
      <c r="X147" s="293"/>
      <c r="Y147" s="293"/>
      <c r="Z147" s="267"/>
      <c r="AA147" s="267"/>
    </row>
    <row r="148" spans="2:27" x14ac:dyDescent="0.25">
      <c r="E148" s="96" t="s">
        <v>333</v>
      </c>
      <c r="F148" s="96"/>
      <c r="G148" s="96" t="s">
        <v>267</v>
      </c>
      <c r="H148" s="269"/>
      <c r="I148" s="269"/>
      <c r="J148" s="275"/>
      <c r="K148" s="275"/>
      <c r="L148" s="275"/>
      <c r="M148" s="275"/>
      <c r="N148" s="275"/>
      <c r="O148" s="275"/>
      <c r="P148" s="275"/>
      <c r="Q148" s="275"/>
      <c r="R148" s="275"/>
      <c r="S148" s="275"/>
      <c r="T148" s="275"/>
      <c r="U148" s="275"/>
      <c r="V148" s="275"/>
      <c r="W148" s="275"/>
      <c r="X148" s="275"/>
      <c r="Y148" s="275"/>
      <c r="Z148" s="267"/>
      <c r="AA148" s="267"/>
    </row>
    <row r="149" spans="2:27" x14ac:dyDescent="0.25">
      <c r="D149"/>
      <c r="E149"/>
      <c r="J149" s="106"/>
      <c r="K149" s="106"/>
      <c r="L149" s="106"/>
      <c r="M149" s="106"/>
      <c r="N149" s="106"/>
      <c r="O149" s="106"/>
      <c r="P149" s="106"/>
      <c r="Q149" s="106"/>
      <c r="R149" s="106"/>
      <c r="S149" s="106"/>
      <c r="T149" s="106"/>
      <c r="U149" s="106"/>
      <c r="V149" s="106"/>
      <c r="W149" s="106"/>
      <c r="X149" s="106"/>
      <c r="Y149" s="106"/>
    </row>
    <row r="150" spans="2:27" x14ac:dyDescent="0.25">
      <c r="B150" s="85" t="s">
        <v>630</v>
      </c>
      <c r="C150" s="85"/>
      <c r="D150" s="85"/>
      <c r="E150" s="85"/>
      <c r="F150" s="85"/>
      <c r="G150" s="85"/>
      <c r="H150" s="85"/>
      <c r="I150" s="85"/>
      <c r="J150" s="247"/>
      <c r="K150" s="247"/>
      <c r="L150" s="247"/>
      <c r="M150" s="247"/>
      <c r="N150" s="247"/>
      <c r="O150" s="247"/>
      <c r="P150" s="247"/>
      <c r="Q150" s="247"/>
      <c r="R150" s="247"/>
      <c r="S150" s="247"/>
      <c r="T150" s="247"/>
      <c r="U150" s="247"/>
      <c r="V150" s="247"/>
      <c r="W150" s="247"/>
      <c r="X150" s="247"/>
      <c r="Y150" s="247"/>
      <c r="Z150" s="85"/>
      <c r="AA150" s="85"/>
    </row>
    <row r="151" spans="2:27" x14ac:dyDescent="0.25">
      <c r="C151" s="294"/>
      <c r="D151"/>
      <c r="E151"/>
      <c r="J151" s="106"/>
      <c r="K151" s="106"/>
      <c r="L151" s="106"/>
      <c r="M151" s="106"/>
      <c r="N151" s="106"/>
      <c r="O151" s="106"/>
      <c r="P151" s="106"/>
      <c r="Q151" s="106"/>
      <c r="R151" s="106"/>
      <c r="S151" s="106"/>
      <c r="T151" s="106"/>
      <c r="U151" s="106"/>
      <c r="V151" s="106"/>
      <c r="W151" s="106"/>
      <c r="X151" s="106"/>
      <c r="Y151" s="106"/>
    </row>
    <row r="152" spans="2:27" x14ac:dyDescent="0.25">
      <c r="C152" s="86" t="s">
        <v>631</v>
      </c>
      <c r="D152"/>
      <c r="E152"/>
      <c r="J152" s="106"/>
      <c r="K152" s="106"/>
      <c r="L152" s="106"/>
      <c r="M152" s="106"/>
      <c r="N152" s="106"/>
      <c r="O152" s="106"/>
      <c r="P152" s="106"/>
      <c r="Q152" s="106"/>
      <c r="R152" s="106"/>
      <c r="S152" s="106"/>
      <c r="T152" s="106"/>
      <c r="U152" s="106"/>
      <c r="V152" s="106"/>
      <c r="W152" s="106"/>
      <c r="X152" s="106"/>
      <c r="Y152" s="106"/>
    </row>
    <row r="153" spans="2:27" x14ac:dyDescent="0.25">
      <c r="C153" s="86" t="s">
        <v>632</v>
      </c>
      <c r="D153"/>
      <c r="E153"/>
      <c r="J153" s="106"/>
      <c r="K153" s="106"/>
      <c r="L153" s="106"/>
      <c r="M153" s="106"/>
      <c r="N153" s="106"/>
      <c r="O153" s="106"/>
      <c r="P153" s="106"/>
      <c r="Q153" s="106"/>
      <c r="R153" s="106"/>
      <c r="S153" s="106"/>
      <c r="T153" s="106"/>
      <c r="U153" s="106"/>
      <c r="V153" s="106"/>
      <c r="W153" s="106"/>
      <c r="X153" s="106"/>
      <c r="Y153" s="106"/>
    </row>
    <row r="154" spans="2:27" x14ac:dyDescent="0.25">
      <c r="C154" s="294"/>
      <c r="D154"/>
      <c r="E154"/>
      <c r="J154" s="106"/>
      <c r="K154" s="106"/>
      <c r="L154" s="106"/>
      <c r="M154" s="106"/>
      <c r="N154" s="106"/>
      <c r="O154" s="106"/>
      <c r="P154" s="106"/>
      <c r="Q154" s="106"/>
      <c r="R154" s="106"/>
      <c r="S154" s="106"/>
      <c r="T154" s="106"/>
      <c r="U154" s="106"/>
      <c r="V154" s="106"/>
      <c r="W154" s="106"/>
      <c r="X154" s="106"/>
      <c r="Y154" s="106"/>
    </row>
    <row r="155" spans="2:27" x14ac:dyDescent="0.2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25">
      <c r="D156" s="75"/>
      <c r="E156" s="75"/>
      <c r="I156" t="s">
        <v>152</v>
      </c>
      <c r="J156" s="106"/>
      <c r="K156" s="106"/>
      <c r="L156" s="106"/>
      <c r="M156" s="106"/>
      <c r="N156" s="106"/>
      <c r="O156" s="106"/>
      <c r="P156" s="106"/>
      <c r="Q156" s="106"/>
      <c r="R156" s="106"/>
      <c r="S156" s="106"/>
      <c r="T156" s="106"/>
      <c r="U156" s="106"/>
      <c r="V156" s="106"/>
      <c r="W156" s="106"/>
      <c r="X156" s="106"/>
      <c r="Y156" s="106"/>
      <c r="AA156" t="s">
        <v>633</v>
      </c>
    </row>
    <row r="157" spans="2:27" x14ac:dyDescent="0.25">
      <c r="D157"/>
      <c r="E157" s="75" t="s">
        <v>576</v>
      </c>
      <c r="J157" s="106"/>
      <c r="K157" s="106"/>
      <c r="L157" s="106"/>
      <c r="M157" s="106"/>
      <c r="N157" s="106"/>
      <c r="O157" s="106"/>
      <c r="P157" s="106"/>
      <c r="Q157" s="106"/>
      <c r="R157" s="106"/>
      <c r="S157" s="106"/>
      <c r="T157" s="106"/>
      <c r="U157" s="106"/>
      <c r="V157" s="106"/>
      <c r="W157" s="106"/>
      <c r="X157" s="106"/>
      <c r="Y157" s="106"/>
    </row>
    <row r="158" spans="2:27" x14ac:dyDescent="0.25">
      <c r="D158"/>
      <c r="F158" s="95" t="s">
        <v>187</v>
      </c>
      <c r="G158" s="95" t="s">
        <v>267</v>
      </c>
      <c r="H158" s="265"/>
      <c r="I158" s="265"/>
      <c r="J158" s="279"/>
      <c r="K158" s="279"/>
      <c r="L158" s="279"/>
      <c r="M158" s="279"/>
      <c r="N158" s="279"/>
      <c r="O158" s="279"/>
      <c r="P158" s="279"/>
      <c r="Q158" s="279"/>
      <c r="R158" s="279"/>
      <c r="S158" s="279"/>
      <c r="T158" s="279"/>
      <c r="U158" s="279"/>
      <c r="V158" s="279"/>
      <c r="W158" s="279"/>
      <c r="X158" s="279"/>
      <c r="Y158" s="279"/>
      <c r="Z158" s="267"/>
      <c r="AA158" s="267"/>
    </row>
    <row r="159" spans="2:27" x14ac:dyDescent="0.25">
      <c r="D159"/>
      <c r="F159" t="s">
        <v>189</v>
      </c>
      <c r="G159" t="s">
        <v>267</v>
      </c>
      <c r="H159" s="267"/>
      <c r="I159" s="267"/>
      <c r="J159" s="293"/>
      <c r="K159" s="293"/>
      <c r="L159" s="293"/>
      <c r="M159" s="293"/>
      <c r="N159" s="293"/>
      <c r="O159" s="293"/>
      <c r="P159" s="293"/>
      <c r="Q159" s="293"/>
      <c r="R159" s="293"/>
      <c r="S159" s="293"/>
      <c r="T159" s="293"/>
      <c r="U159" s="293"/>
      <c r="V159" s="293"/>
      <c r="W159" s="293"/>
      <c r="X159" s="293"/>
      <c r="Y159" s="293"/>
      <c r="Z159" s="267"/>
      <c r="AA159" s="267"/>
    </row>
    <row r="160" spans="2:27" x14ac:dyDescent="0.25">
      <c r="D160"/>
      <c r="F160" t="s">
        <v>190</v>
      </c>
      <c r="G160" t="s">
        <v>267</v>
      </c>
      <c r="H160" s="267"/>
      <c r="I160" s="267"/>
      <c r="J160" s="293"/>
      <c r="K160" s="293"/>
      <c r="L160" s="293"/>
      <c r="M160" s="293"/>
      <c r="N160" s="293"/>
      <c r="O160" s="293"/>
      <c r="P160" s="293"/>
      <c r="Q160" s="293"/>
      <c r="R160" s="281">
        <f t="shared" ref="R160:S160" si="0">hundred * $H51 * R95 / $H37 * (1 - R109) / hours_in_year</f>
        <v>-0.10136510984513766</v>
      </c>
      <c r="S160" s="281">
        <f t="shared" si="0"/>
        <v>-9.5662172630619949E-2</v>
      </c>
      <c r="T160" s="281">
        <f t="shared" ref="T160:U160" si="1">hundred * $H51 * T95 / $H37 * (1 - T109) / hours_in_year</f>
        <v>-0.10136510984513766</v>
      </c>
      <c r="U160" s="281">
        <f t="shared" si="1"/>
        <v>-0.10136510984513766</v>
      </c>
      <c r="V160" s="281">
        <f t="shared" ref="V160:W160" si="2">hundred * $H51 * V95 / $H37 * (1 - V109) / hours_in_year</f>
        <v>-9.5662172630619949E-2</v>
      </c>
      <c r="W160" s="281">
        <f t="shared" si="2"/>
        <v>-9.5662172630619949E-2</v>
      </c>
      <c r="X160" s="281">
        <f t="shared" ref="X160:Y160" si="3">hundred * $H51 * X95 / $H37 * (1 - X109) / hours_in_year</f>
        <v>-9.4190446897841174E-2</v>
      </c>
      <c r="Y160" s="281">
        <f t="shared" si="3"/>
        <v>-9.4190446897841174E-2</v>
      </c>
      <c r="Z160" s="267"/>
      <c r="AA160" s="267"/>
    </row>
    <row r="161" spans="4:27" x14ac:dyDescent="0.25">
      <c r="D161"/>
      <c r="F161" t="s">
        <v>191</v>
      </c>
      <c r="G161" t="s">
        <v>267</v>
      </c>
      <c r="H161" s="267"/>
      <c r="I161" s="267"/>
      <c r="J161" s="293"/>
      <c r="K161" s="293"/>
      <c r="L161" s="293"/>
      <c r="M161" s="293"/>
      <c r="N161" s="293"/>
      <c r="O161" s="293"/>
      <c r="P161" s="293"/>
      <c r="Q161" s="293"/>
      <c r="R161" s="281">
        <f t="shared" ref="R161:S161" si="4">hundred * $H52 * R96 / $H38 * (1 - R110) / hours_in_year</f>
        <v>-6.2787082496619032E-2</v>
      </c>
      <c r="S161" s="281">
        <f t="shared" si="4"/>
        <v>-5.9254596911509777E-2</v>
      </c>
      <c r="T161" s="281">
        <f t="shared" ref="T161:U161" si="5">hundred * $H52 * T96 / $H38 * (1 - T110) / hours_in_year</f>
        <v>-6.2787082496619032E-2</v>
      </c>
      <c r="U161" s="281">
        <f t="shared" si="5"/>
        <v>-6.2787082496619032E-2</v>
      </c>
      <c r="V161" s="281">
        <f t="shared" ref="V161:W161" si="6">hundred * $H52 * V96 / $H38 * (1 - V110) / hours_in_year</f>
        <v>-5.9254596911509777E-2</v>
      </c>
      <c r="W161" s="281">
        <f t="shared" si="6"/>
        <v>-5.9254596911509777E-2</v>
      </c>
      <c r="X161" s="281">
        <f t="shared" ref="X161:Y161" si="7">hundred * $H52 * X96 / $H38 * (1 - X110) / hours_in_year</f>
        <v>-5.8342987728255788E-2</v>
      </c>
      <c r="Y161" s="281">
        <f t="shared" si="7"/>
        <v>-5.8342987728255788E-2</v>
      </c>
      <c r="Z161" s="267"/>
      <c r="AA161" s="267"/>
    </row>
    <row r="162" spans="4:27" x14ac:dyDescent="0.25">
      <c r="D162"/>
      <c r="F162" t="s">
        <v>192</v>
      </c>
      <c r="G162" t="s">
        <v>267</v>
      </c>
      <c r="H162" s="267"/>
      <c r="I162" s="267"/>
      <c r="J162" s="293"/>
      <c r="K162" s="293"/>
      <c r="L162" s="293"/>
      <c r="M162" s="293"/>
      <c r="N162" s="293"/>
      <c r="O162" s="293"/>
      <c r="P162" s="293"/>
      <c r="Q162" s="293"/>
      <c r="R162" s="281">
        <f t="shared" ref="R162:S162" si="8">hundred * $H53 * R97 / $H39 * (1 - R111) / hours_in_year</f>
        <v>-0.19908099257248058</v>
      </c>
      <c r="S162" s="281">
        <f t="shared" si="8"/>
        <v>-0.18788042856205062</v>
      </c>
      <c r="T162" s="281">
        <f t="shared" ref="T162:U162" si="9">hundred * $H53 * T97 / $H39 * (1 - T111) / hours_in_year</f>
        <v>-0.19908099257248058</v>
      </c>
      <c r="U162" s="281">
        <f t="shared" si="9"/>
        <v>-0.19908099257248058</v>
      </c>
      <c r="V162" s="281">
        <f t="shared" ref="V162:W162" si="10">hundred * $H53 * V97 / $H39 * (1 - V111) / hours_in_year</f>
        <v>-0.18788042856205062</v>
      </c>
      <c r="W162" s="281">
        <f t="shared" si="10"/>
        <v>-0.18788042856205062</v>
      </c>
      <c r="X162" s="281">
        <f t="shared" ref="X162:Y162" si="11">hundred * $H53 * X97 / $H39 * (1 - X111) / hours_in_year</f>
        <v>-0.18498996043032676</v>
      </c>
      <c r="Y162" s="281">
        <f t="shared" si="11"/>
        <v>-0.18498996043032676</v>
      </c>
      <c r="Z162" s="267"/>
      <c r="AA162" s="267"/>
    </row>
    <row r="163" spans="4:27" x14ac:dyDescent="0.25">
      <c r="D163"/>
      <c r="F163" t="s">
        <v>193</v>
      </c>
      <c r="G163" t="s">
        <v>267</v>
      </c>
      <c r="H163" s="267"/>
      <c r="I163" s="267"/>
      <c r="J163" s="293"/>
      <c r="K163" s="293"/>
      <c r="L163" s="293"/>
      <c r="M163" s="293"/>
      <c r="N163" s="293"/>
      <c r="O163" s="293"/>
      <c r="P163" s="293"/>
      <c r="Q163" s="293"/>
      <c r="R163" s="281">
        <f t="shared" ref="R163:S163" si="12">hundred * $H54 * R98 / $H40 * (1 - R112) / hours_in_year</f>
        <v>-7.5755238189750496E-2</v>
      </c>
      <c r="S163" s="281">
        <f t="shared" si="12"/>
        <v>-7.1493146748947828E-2</v>
      </c>
      <c r="T163" s="281">
        <f t="shared" ref="T163:U163" si="13">hundred * $H54 * T98 / $H40 * (1 - T112) / hours_in_year</f>
        <v>-7.5755238189750496E-2</v>
      </c>
      <c r="U163" s="281">
        <f t="shared" si="13"/>
        <v>-7.5755238189750496E-2</v>
      </c>
      <c r="V163" s="281">
        <f t="shared" ref="V163:W163" si="14">hundred * $H54 * V98 / $H40 * (1 - V112) / hours_in_year</f>
        <v>-7.1493146748947828E-2</v>
      </c>
      <c r="W163" s="281">
        <f t="shared" si="14"/>
        <v>-7.1493146748947828E-2</v>
      </c>
      <c r="X163" s="281">
        <f t="shared" ref="X163:Y163" si="15">hundred * $H54 * X98 / $H40 * (1 - X112) / hours_in_year</f>
        <v>-7.0393252183579419E-2</v>
      </c>
      <c r="Y163" s="281">
        <f t="shared" si="15"/>
        <v>-7.0393252183579419E-2</v>
      </c>
      <c r="Z163" s="267"/>
      <c r="AA163" s="267"/>
    </row>
    <row r="164" spans="4:27" x14ac:dyDescent="0.25">
      <c r="D164"/>
      <c r="F164" t="s">
        <v>194</v>
      </c>
      <c r="G164" t="s">
        <v>267</v>
      </c>
      <c r="H164" s="267"/>
      <c r="I164" s="267"/>
      <c r="J164" s="293"/>
      <c r="K164" s="293"/>
      <c r="L164" s="293"/>
      <c r="M164" s="293"/>
      <c r="N164" s="293"/>
      <c r="O164" s="293"/>
      <c r="P164" s="293"/>
      <c r="Q164" s="293"/>
      <c r="R164" s="281">
        <f t="shared" ref="R164:S164" si="16">hundred * $H55 * R99 / $H41 * (1 - R113) / hours_in_year</f>
        <v>0</v>
      </c>
      <c r="S164" s="281">
        <f t="shared" si="16"/>
        <v>0</v>
      </c>
      <c r="T164" s="281">
        <f t="shared" ref="T164:U164" si="17">hundred * $H55 * T99 / $H41 * (1 - T113) / hours_in_year</f>
        <v>0</v>
      </c>
      <c r="U164" s="281">
        <f t="shared" si="17"/>
        <v>0</v>
      </c>
      <c r="V164" s="281">
        <f t="shared" ref="V164:W164" si="18">hundred * $H55 * V99 / $H41 * (1 - V113) / hours_in_year</f>
        <v>0</v>
      </c>
      <c r="W164" s="281">
        <f t="shared" si="18"/>
        <v>0</v>
      </c>
      <c r="X164" s="281">
        <f t="shared" ref="X164:Y164" si="19">hundred * $H55 * X99 / $H41 * (1 - X113) / hours_in_year</f>
        <v>0</v>
      </c>
      <c r="Y164" s="281">
        <f t="shared" si="19"/>
        <v>0</v>
      </c>
      <c r="Z164" s="267"/>
      <c r="AA164" s="267"/>
    </row>
    <row r="165" spans="4:27" x14ac:dyDescent="0.25">
      <c r="D165"/>
      <c r="F165" t="s">
        <v>195</v>
      </c>
      <c r="G165" t="s">
        <v>267</v>
      </c>
      <c r="H165" s="267"/>
      <c r="I165" s="267"/>
      <c r="J165" s="293"/>
      <c r="K165" s="293"/>
      <c r="L165" s="293"/>
      <c r="M165" s="293"/>
      <c r="N165" s="293"/>
      <c r="O165" s="293"/>
      <c r="P165" s="293"/>
      <c r="Q165" s="293"/>
      <c r="R165" s="281">
        <f t="shared" ref="R165:S165" si="20">hundred * $H56 * R100 / $H42 * (1 - R114) / hours_in_year</f>
        <v>-0.35060972007372565</v>
      </c>
      <c r="S165" s="281">
        <f t="shared" si="20"/>
        <v>-0.33088394634906954</v>
      </c>
      <c r="T165" s="281">
        <f t="shared" ref="T165:U165" si="21">hundred * $H56 * T100 / $H42 * (1 - T114) / hours_in_year</f>
        <v>-0.35060972007372565</v>
      </c>
      <c r="U165" s="281">
        <f t="shared" si="21"/>
        <v>-0.35060972007372565</v>
      </c>
      <c r="V165" s="281">
        <f t="shared" ref="V165:W165" si="22">hundred * $H56 * V100 / $H42 * (1 - V114) / hours_in_year</f>
        <v>-0.33088394634906954</v>
      </c>
      <c r="W165" s="281">
        <f t="shared" si="22"/>
        <v>-0.33088394634906954</v>
      </c>
      <c r="X165" s="281">
        <f t="shared" ref="X165:Y165" si="23">hundred * $H56 * X100 / $H42 * (1 - X114) / hours_in_year</f>
        <v>-0.32579342409754541</v>
      </c>
      <c r="Y165" s="281">
        <f t="shared" si="23"/>
        <v>-0.32579342409754541</v>
      </c>
      <c r="Z165" s="267"/>
      <c r="AA165" s="267"/>
    </row>
    <row r="166" spans="4:27" x14ac:dyDescent="0.25">
      <c r="D166"/>
      <c r="F166" t="s">
        <v>196</v>
      </c>
      <c r="G166" t="s">
        <v>267</v>
      </c>
      <c r="H166" s="267"/>
      <c r="I166" s="267"/>
      <c r="J166" s="293"/>
      <c r="K166" s="293"/>
      <c r="L166" s="293"/>
      <c r="M166" s="293"/>
      <c r="N166" s="293"/>
      <c r="O166" s="293"/>
      <c r="P166" s="293"/>
      <c r="Q166" s="293"/>
      <c r="R166" s="281">
        <f t="shared" ref="R166:S166" si="24">hundred * $H57 * R101 / $H43 * (1 - R115) / hours_in_year</f>
        <v>-0.10663473026947606</v>
      </c>
      <c r="S166" s="281">
        <f t="shared" si="24"/>
        <v>-0.10063531713271788</v>
      </c>
      <c r="T166" s="281">
        <f t="shared" ref="T166:U166" si="25">hundred * $H57 * T101 / $H43 * (1 - T115) / hours_in_year</f>
        <v>-0.10663473026947606</v>
      </c>
      <c r="U166" s="281">
        <f t="shared" si="25"/>
        <v>-0.10663473026947606</v>
      </c>
      <c r="V166" s="281">
        <f t="shared" ref="V166:W166" si="26">hundred * $H57 * V101 / $H43 * (1 - V115) / hours_in_year</f>
        <v>-0.10063531713271788</v>
      </c>
      <c r="W166" s="281">
        <f t="shared" si="26"/>
        <v>-0.10063531713271788</v>
      </c>
      <c r="X166" s="281">
        <f t="shared" ref="X166:Y166" si="27">hundred * $H57 * X101 / $H43 * (1 - X115) / hours_in_year</f>
        <v>0</v>
      </c>
      <c r="Y166" s="281">
        <f t="shared" si="27"/>
        <v>0</v>
      </c>
      <c r="Z166" s="267"/>
      <c r="AA166" s="267"/>
    </row>
    <row r="167" spans="4:27" x14ac:dyDescent="0.25">
      <c r="D167"/>
      <c r="F167" t="s">
        <v>197</v>
      </c>
      <c r="G167" t="s">
        <v>267</v>
      </c>
      <c r="H167" s="267"/>
      <c r="I167" s="267"/>
      <c r="J167" s="293"/>
      <c r="K167" s="293"/>
      <c r="L167" s="293"/>
      <c r="M167" s="293"/>
      <c r="N167" s="293"/>
      <c r="O167" s="293"/>
      <c r="P167" s="293"/>
      <c r="Q167" s="293"/>
      <c r="R167" s="281">
        <f t="shared" ref="R167:S167" si="28">hundred * $H58 * R102 / $H44 * (1 - R116) / hours_in_year</f>
        <v>-0.1993163150513686</v>
      </c>
      <c r="S167" s="281">
        <f t="shared" si="28"/>
        <v>0</v>
      </c>
      <c r="T167" s="281">
        <f t="shared" ref="T167:U167" si="29">hundred * $H58 * T102 / $H44 * (1 - T116) / hours_in_year</f>
        <v>-0.1993163150513686</v>
      </c>
      <c r="U167" s="281">
        <f t="shared" si="29"/>
        <v>-0.1993163150513686</v>
      </c>
      <c r="V167" s="281">
        <f t="shared" ref="V167:W167" si="30">hundred * $H58 * V102 / $H44 * (1 - V116) / hours_in_year</f>
        <v>0</v>
      </c>
      <c r="W167" s="281">
        <f t="shared" si="30"/>
        <v>0</v>
      </c>
      <c r="X167" s="281">
        <f t="shared" ref="X167:Y167" si="31">hundred * $H58 * X102 / $H44 * (1 - X116) / hours_in_year</f>
        <v>0</v>
      </c>
      <c r="Y167" s="281">
        <f t="shared" si="31"/>
        <v>0</v>
      </c>
      <c r="Z167" s="267"/>
      <c r="AA167" s="267"/>
    </row>
    <row r="168" spans="4:27" x14ac:dyDescent="0.25">
      <c r="D168"/>
      <c r="F168" t="s">
        <v>332</v>
      </c>
      <c r="G168" t="s">
        <v>267</v>
      </c>
      <c r="H168" s="267"/>
      <c r="I168" s="267"/>
      <c r="J168" s="293"/>
      <c r="K168" s="293"/>
      <c r="L168" s="293"/>
      <c r="M168" s="293"/>
      <c r="N168" s="293"/>
      <c r="O168" s="293"/>
      <c r="P168" s="293"/>
      <c r="Q168" s="293"/>
      <c r="R168" s="293"/>
      <c r="S168" s="293"/>
      <c r="T168" s="293"/>
      <c r="U168" s="293"/>
      <c r="V168" s="293"/>
      <c r="W168" s="293"/>
      <c r="X168" s="293"/>
      <c r="Y168" s="293"/>
      <c r="Z168" s="267"/>
      <c r="AA168" s="267"/>
    </row>
    <row r="169" spans="4:27" x14ac:dyDescent="0.25">
      <c r="D169"/>
      <c r="F169" s="96" t="s">
        <v>333</v>
      </c>
      <c r="G169" s="96" t="s">
        <v>267</v>
      </c>
      <c r="H169" s="269"/>
      <c r="I169" s="269"/>
      <c r="J169" s="275"/>
      <c r="K169" s="275"/>
      <c r="L169" s="275"/>
      <c r="M169" s="275"/>
      <c r="N169" s="275"/>
      <c r="O169" s="275"/>
      <c r="P169" s="275"/>
      <c r="Q169" s="275"/>
      <c r="R169" s="275"/>
      <c r="S169" s="275"/>
      <c r="T169" s="275"/>
      <c r="U169" s="275"/>
      <c r="V169" s="275"/>
      <c r="W169" s="275"/>
      <c r="X169" s="275"/>
      <c r="Y169" s="275"/>
      <c r="Z169" s="267"/>
      <c r="AA169" s="267"/>
    </row>
    <row r="170" spans="4:27" x14ac:dyDescent="0.25">
      <c r="D170"/>
      <c r="J170" s="106"/>
      <c r="K170" s="106"/>
      <c r="L170" s="106"/>
      <c r="M170" s="106"/>
      <c r="N170" s="106"/>
      <c r="O170" s="106"/>
      <c r="P170" s="106"/>
      <c r="Q170" s="106"/>
      <c r="R170" s="106"/>
      <c r="S170" s="106"/>
      <c r="T170" s="106"/>
      <c r="U170" s="106"/>
      <c r="V170" s="106"/>
      <c r="W170" s="106"/>
      <c r="X170" s="106"/>
      <c r="Y170" s="106"/>
    </row>
    <row r="171" spans="4:27" x14ac:dyDescent="0.25">
      <c r="D171"/>
      <c r="E171" s="75" t="s">
        <v>577</v>
      </c>
      <c r="J171" s="106"/>
      <c r="K171" s="106"/>
      <c r="L171" s="106"/>
      <c r="M171" s="106"/>
      <c r="N171" s="106"/>
      <c r="O171" s="106"/>
      <c r="P171" s="106"/>
      <c r="Q171" s="106"/>
      <c r="R171" s="106"/>
      <c r="S171" s="106"/>
      <c r="T171" s="106"/>
      <c r="U171" s="106"/>
      <c r="V171" s="106"/>
      <c r="W171" s="106"/>
      <c r="X171" s="106"/>
      <c r="Y171" s="106"/>
    </row>
    <row r="172" spans="4:27" x14ac:dyDescent="0.25">
      <c r="D172"/>
      <c r="F172" s="95" t="s">
        <v>187</v>
      </c>
      <c r="G172" s="95" t="s">
        <v>267</v>
      </c>
      <c r="H172" s="265"/>
      <c r="I172" s="265"/>
      <c r="J172" s="279"/>
      <c r="K172" s="279"/>
      <c r="L172" s="279"/>
      <c r="M172" s="279"/>
      <c r="N172" s="279"/>
      <c r="O172" s="279"/>
      <c r="P172" s="279"/>
      <c r="Q172" s="279"/>
      <c r="R172" s="282">
        <f t="shared" ref="R172:S172" si="32">hundred * $H63 * R93 / $H35 / hours_in_year</f>
        <v>-7.7976871328205813E-2</v>
      </c>
      <c r="S172" s="282">
        <f t="shared" si="32"/>
        <v>-7.3589787823352126E-2</v>
      </c>
      <c r="T172" s="282">
        <f t="shared" ref="T172:U172" si="33">hundred * $H63 * T93 / $H35 / hours_in_year</f>
        <v>-7.7976871328205813E-2</v>
      </c>
      <c r="U172" s="282">
        <f t="shared" si="33"/>
        <v>-7.7976871328205813E-2</v>
      </c>
      <c r="V172" s="282">
        <f t="shared" ref="V172:W172" si="34">hundred * $H63 * V93 / $H35 / hours_in_year</f>
        <v>-7.3589787823352126E-2</v>
      </c>
      <c r="W172" s="282">
        <f t="shared" si="34"/>
        <v>-7.3589787823352126E-2</v>
      </c>
      <c r="X172" s="282">
        <f t="shared" ref="X172:Y172" si="35">hundred * $H63 * X93 / $H35 / hours_in_year</f>
        <v>-7.2457637241454403E-2</v>
      </c>
      <c r="Y172" s="282">
        <f t="shared" si="35"/>
        <v>-7.2457637241454403E-2</v>
      </c>
      <c r="Z172" s="267"/>
      <c r="AA172" s="267"/>
    </row>
    <row r="173" spans="4:27" x14ac:dyDescent="0.25">
      <c r="D173"/>
      <c r="F173" t="s">
        <v>189</v>
      </c>
      <c r="G173" t="s">
        <v>267</v>
      </c>
      <c r="H173" s="267"/>
      <c r="I173" s="267"/>
      <c r="J173" s="293"/>
      <c r="K173" s="293"/>
      <c r="L173" s="293"/>
      <c r="M173" s="293"/>
      <c r="N173" s="293"/>
      <c r="O173" s="293"/>
      <c r="P173" s="293"/>
      <c r="Q173" s="293"/>
      <c r="R173" s="281">
        <f t="shared" ref="R173:S173" si="36">hundred * $H64 * R94 / $H36 / hours_in_year</f>
        <v>0</v>
      </c>
      <c r="S173" s="281">
        <f t="shared" si="36"/>
        <v>0</v>
      </c>
      <c r="T173" s="281">
        <f t="shared" ref="T173:U173" si="37">hundred * $H64 * T94 / $H36 / hours_in_year</f>
        <v>0</v>
      </c>
      <c r="U173" s="281">
        <f t="shared" si="37"/>
        <v>0</v>
      </c>
      <c r="V173" s="281">
        <f t="shared" ref="V173:W173" si="38">hundred * $H64 * V94 / $H36 / hours_in_year</f>
        <v>0</v>
      </c>
      <c r="W173" s="281">
        <f t="shared" si="38"/>
        <v>0</v>
      </c>
      <c r="X173" s="281">
        <f t="shared" ref="X173:Y173" si="39">hundred * $H64 * X94 / $H36 / hours_in_year</f>
        <v>0</v>
      </c>
      <c r="Y173" s="281">
        <f t="shared" si="39"/>
        <v>0</v>
      </c>
      <c r="Z173" s="267"/>
      <c r="AA173" s="267"/>
    </row>
    <row r="174" spans="4:27" x14ac:dyDescent="0.25">
      <c r="D174"/>
      <c r="F174" t="s">
        <v>190</v>
      </c>
      <c r="G174" t="s">
        <v>267</v>
      </c>
      <c r="H174" s="267"/>
      <c r="I174" s="267"/>
      <c r="J174" s="293"/>
      <c r="K174" s="293"/>
      <c r="L174" s="293"/>
      <c r="M174" s="293"/>
      <c r="N174" s="293"/>
      <c r="O174" s="293"/>
      <c r="P174" s="293"/>
      <c r="Q174" s="293"/>
      <c r="R174" s="281">
        <f t="shared" ref="R174:S174" si="40">hundred * $H65 * R95 / $H37 / hours_in_year</f>
        <v>-3.3370767167075648E-2</v>
      </c>
      <c r="S174" s="281">
        <f t="shared" si="40"/>
        <v>-3.1493282988891716E-2</v>
      </c>
      <c r="T174" s="281">
        <f t="shared" ref="T174:U174" si="41">hundred * $H65 * T95 / $H37 / hours_in_year</f>
        <v>-3.3370767167075648E-2</v>
      </c>
      <c r="U174" s="281">
        <f t="shared" si="41"/>
        <v>-3.3370767167075648E-2</v>
      </c>
      <c r="V174" s="281">
        <f t="shared" ref="V174:W174" si="42">hundred * $H65 * V95 / $H37 / hours_in_year</f>
        <v>-3.1493282988891716E-2</v>
      </c>
      <c r="W174" s="281">
        <f t="shared" si="42"/>
        <v>-3.1493282988891716E-2</v>
      </c>
      <c r="X174" s="281">
        <f t="shared" ref="X174:Y174" si="43">hundred * $H65 * X95 / $H37 / hours_in_year</f>
        <v>-3.1008770942908773E-2</v>
      </c>
      <c r="Y174" s="281">
        <f t="shared" si="43"/>
        <v>-3.1008770942908773E-2</v>
      </c>
      <c r="Z174" s="267"/>
      <c r="AA174" s="267"/>
    </row>
    <row r="175" spans="4:27" x14ac:dyDescent="0.25">
      <c r="D175"/>
      <c r="F175" t="s">
        <v>191</v>
      </c>
      <c r="G175" t="s">
        <v>267</v>
      </c>
      <c r="H175" s="267"/>
      <c r="I175" s="267"/>
      <c r="J175" s="293"/>
      <c r="K175" s="293"/>
      <c r="L175" s="293"/>
      <c r="M175" s="293"/>
      <c r="N175" s="293"/>
      <c r="O175" s="293"/>
      <c r="P175" s="293"/>
      <c r="Q175" s="293"/>
      <c r="R175" s="281">
        <f t="shared" ref="R175:S175" si="44">hundred * $H66 * R96 / $H38 / hours_in_year</f>
        <v>-2.0670358018609201E-2</v>
      </c>
      <c r="S175" s="281">
        <f t="shared" si="44"/>
        <v>-1.9507415915928829E-2</v>
      </c>
      <c r="T175" s="281">
        <f t="shared" ref="T175:U175" si="45">hundred * $H66 * T96 / $H38 / hours_in_year</f>
        <v>-2.0670358018609201E-2</v>
      </c>
      <c r="U175" s="281">
        <f t="shared" si="45"/>
        <v>-2.0670358018609201E-2</v>
      </c>
      <c r="V175" s="281">
        <f t="shared" ref="V175:W175" si="46">hundred * $H66 * V96 / $H38 / hours_in_year</f>
        <v>-1.9507415915928829E-2</v>
      </c>
      <c r="W175" s="281">
        <f t="shared" si="46"/>
        <v>-1.9507415915928829E-2</v>
      </c>
      <c r="X175" s="281">
        <f t="shared" ref="X175:Y175" si="47">hundred * $H66 * X96 / $H38 / hours_in_year</f>
        <v>-1.9207301824914536E-2</v>
      </c>
      <c r="Y175" s="281">
        <f t="shared" si="47"/>
        <v>-1.9207301824914536E-2</v>
      </c>
      <c r="Z175" s="267"/>
      <c r="AA175" s="267"/>
    </row>
    <row r="176" spans="4:27" x14ac:dyDescent="0.25">
      <c r="D176"/>
      <c r="F176" t="s">
        <v>192</v>
      </c>
      <c r="G176" t="s">
        <v>267</v>
      </c>
      <c r="H176" s="267"/>
      <c r="I176" s="267"/>
      <c r="J176" s="293"/>
      <c r="K176" s="293"/>
      <c r="L176" s="293"/>
      <c r="M176" s="293"/>
      <c r="N176" s="293"/>
      <c r="O176" s="293"/>
      <c r="P176" s="293"/>
      <c r="Q176" s="293"/>
      <c r="R176" s="281">
        <f t="shared" ref="R176:S176" si="48">hundred * $H67 * R97 / $H39 / hours_in_year</f>
        <v>-6.5540159337628773E-2</v>
      </c>
      <c r="S176" s="281">
        <f t="shared" si="48"/>
        <v>-6.1852781952027154E-2</v>
      </c>
      <c r="T176" s="281">
        <f t="shared" ref="T176:U176" si="49">hundred * $H67 * T97 / $H39 / hours_in_year</f>
        <v>-6.5540159337628773E-2</v>
      </c>
      <c r="U176" s="281">
        <f t="shared" si="49"/>
        <v>-6.5540159337628773E-2</v>
      </c>
      <c r="V176" s="281">
        <f t="shared" ref="V176:W176" si="50">hundred * $H67 * V97 / $H39 / hours_in_year</f>
        <v>-6.1852781952027154E-2</v>
      </c>
      <c r="W176" s="281">
        <f t="shared" si="50"/>
        <v>-6.1852781952027154E-2</v>
      </c>
      <c r="X176" s="281">
        <f t="shared" ref="X176:Y176" si="51">hundred * $H67 * X97 / $H39 / hours_in_year</f>
        <v>-6.0901200691226731E-2</v>
      </c>
      <c r="Y176" s="281">
        <f t="shared" si="51"/>
        <v>-6.0901200691226731E-2</v>
      </c>
      <c r="Z176" s="267"/>
      <c r="AA176" s="267"/>
    </row>
    <row r="177" spans="2:27" x14ac:dyDescent="0.25">
      <c r="D177"/>
      <c r="F177" t="s">
        <v>193</v>
      </c>
      <c r="G177" t="s">
        <v>267</v>
      </c>
      <c r="H177" s="267"/>
      <c r="I177" s="267"/>
      <c r="J177" s="293"/>
      <c r="K177" s="293"/>
      <c r="L177" s="293"/>
      <c r="M177" s="293"/>
      <c r="N177" s="293"/>
      <c r="O177" s="293"/>
      <c r="P177" s="293"/>
      <c r="Q177" s="293"/>
      <c r="R177" s="281">
        <f t="shared" ref="R177:S177" si="52">hundred * $H68 * R98 / $H40 / hours_in_year</f>
        <v>-2.4939650528458295E-2</v>
      </c>
      <c r="S177" s="281">
        <f t="shared" si="52"/>
        <v>-2.3536512295459736E-2</v>
      </c>
      <c r="T177" s="281">
        <f t="shared" ref="T177:U177" si="53">hundred * $H68 * T98 / $H40 / hours_in_year</f>
        <v>-2.4939650528458295E-2</v>
      </c>
      <c r="U177" s="281">
        <f t="shared" si="53"/>
        <v>-2.4939650528458295E-2</v>
      </c>
      <c r="V177" s="281">
        <f t="shared" ref="V177:W177" si="54">hundred * $H68 * V98 / $H40 / hours_in_year</f>
        <v>-2.3536512295459736E-2</v>
      </c>
      <c r="W177" s="281">
        <f t="shared" si="54"/>
        <v>-2.3536512295459736E-2</v>
      </c>
      <c r="X177" s="281">
        <f t="shared" ref="X177:Y177" si="55">hundred * $H68 * X98 / $H40 / hours_in_year</f>
        <v>-2.3174412106298815E-2</v>
      </c>
      <c r="Y177" s="281">
        <f t="shared" si="55"/>
        <v>-2.3174412106298815E-2</v>
      </c>
      <c r="Z177" s="267"/>
      <c r="AA177" s="267"/>
    </row>
    <row r="178" spans="2:27" x14ac:dyDescent="0.25">
      <c r="D178"/>
      <c r="F178" t="s">
        <v>194</v>
      </c>
      <c r="G178" t="s">
        <v>267</v>
      </c>
      <c r="H178" s="267"/>
      <c r="I178" s="267"/>
      <c r="J178" s="293"/>
      <c r="K178" s="293"/>
      <c r="L178" s="293"/>
      <c r="M178" s="293"/>
      <c r="N178" s="293"/>
      <c r="O178" s="293"/>
      <c r="P178" s="293"/>
      <c r="Q178" s="293"/>
      <c r="R178" s="281">
        <f t="shared" ref="R178:S178" si="56">hundred * $H69 * R99 / $H41 / hours_in_year</f>
        <v>0</v>
      </c>
      <c r="S178" s="281">
        <f t="shared" si="56"/>
        <v>0</v>
      </c>
      <c r="T178" s="281">
        <f t="shared" ref="T178:U178" si="57">hundred * $H69 * T99 / $H41 / hours_in_year</f>
        <v>0</v>
      </c>
      <c r="U178" s="281">
        <f t="shared" si="57"/>
        <v>0</v>
      </c>
      <c r="V178" s="281">
        <f t="shared" ref="V178:W178" si="58">hundred * $H69 * V99 / $H41 / hours_in_year</f>
        <v>0</v>
      </c>
      <c r="W178" s="281">
        <f t="shared" si="58"/>
        <v>0</v>
      </c>
      <c r="X178" s="281">
        <f t="shared" ref="X178:Y178" si="59">hundred * $H69 * X99 / $H41 / hours_in_year</f>
        <v>0</v>
      </c>
      <c r="Y178" s="281">
        <f t="shared" si="59"/>
        <v>0</v>
      </c>
      <c r="Z178" s="267"/>
      <c r="AA178" s="267"/>
    </row>
    <row r="179" spans="2:27" x14ac:dyDescent="0.25">
      <c r="D179"/>
      <c r="F179" t="s">
        <v>195</v>
      </c>
      <c r="G179" t="s">
        <v>267</v>
      </c>
      <c r="H179" s="267"/>
      <c r="I179" s="267"/>
      <c r="J179" s="293"/>
      <c r="K179" s="293"/>
      <c r="L179" s="293"/>
      <c r="M179" s="293"/>
      <c r="N179" s="293"/>
      <c r="O179" s="293"/>
      <c r="P179" s="293"/>
      <c r="Q179" s="293"/>
      <c r="R179" s="281">
        <f t="shared" ref="R179:S179" si="60">hundred * $H70 * R100 / $H42 / hours_in_year</f>
        <v>-0.11542546891103779</v>
      </c>
      <c r="S179" s="281">
        <f t="shared" si="60"/>
        <v>-0.10893147701223166</v>
      </c>
      <c r="T179" s="281">
        <f t="shared" ref="T179:U179" si="61">hundred * $H70 * T100 / $H42 / hours_in_year</f>
        <v>-0.11542546891103779</v>
      </c>
      <c r="U179" s="281">
        <f t="shared" si="61"/>
        <v>-0.11542546891103779</v>
      </c>
      <c r="V179" s="281">
        <f t="shared" ref="V179:W179" si="62">hundred * $H70 * V100 / $H42 / hours_in_year</f>
        <v>-0.10893147701223166</v>
      </c>
      <c r="W179" s="281">
        <f t="shared" si="62"/>
        <v>-0.10893147701223166</v>
      </c>
      <c r="X179" s="281">
        <f t="shared" ref="X179:Y179" si="63">hundred * $H70 * X100 / $H42 / hours_in_year</f>
        <v>-0.1072556081351204</v>
      </c>
      <c r="Y179" s="281">
        <f t="shared" si="63"/>
        <v>-0.1072556081351204</v>
      </c>
      <c r="Z179" s="267"/>
      <c r="AA179" s="267"/>
    </row>
    <row r="180" spans="2:27" x14ac:dyDescent="0.25">
      <c r="D180"/>
      <c r="F180" t="s">
        <v>196</v>
      </c>
      <c r="G180" t="s">
        <v>267</v>
      </c>
      <c r="H180" s="267"/>
      <c r="I180" s="267"/>
      <c r="J180" s="293"/>
      <c r="K180" s="293"/>
      <c r="L180" s="293"/>
      <c r="M180" s="293"/>
      <c r="N180" s="293"/>
      <c r="O180" s="293"/>
      <c r="P180" s="293"/>
      <c r="Q180" s="293"/>
      <c r="R180" s="281">
        <f t="shared" ref="R180:S180" si="64">hundred * $H71 * R101 / $H43 / hours_in_year</f>
        <v>-3.5105597588589742E-2</v>
      </c>
      <c r="S180" s="281">
        <f t="shared" si="64"/>
        <v>-3.3130509520992134E-2</v>
      </c>
      <c r="T180" s="281">
        <f t="shared" ref="T180:U180" si="65">hundred * $H71 * T101 / $H43 / hours_in_year</f>
        <v>-3.5105597588589742E-2</v>
      </c>
      <c r="U180" s="281">
        <f t="shared" si="65"/>
        <v>-3.5105597588589742E-2</v>
      </c>
      <c r="V180" s="281">
        <f t="shared" ref="V180:W180" si="66">hundred * $H71 * V101 / $H43 / hours_in_year</f>
        <v>-3.3130509520992134E-2</v>
      </c>
      <c r="W180" s="281">
        <f t="shared" si="66"/>
        <v>-3.3130509520992134E-2</v>
      </c>
      <c r="X180" s="281">
        <f t="shared" ref="X180:Y180" si="67">hundred * $H71 * X101 / $H43 / hours_in_year</f>
        <v>0</v>
      </c>
      <c r="Y180" s="281">
        <f t="shared" si="67"/>
        <v>0</v>
      </c>
      <c r="Z180" s="267"/>
      <c r="AA180" s="267"/>
    </row>
    <row r="181" spans="2:27" x14ac:dyDescent="0.25">
      <c r="D181"/>
      <c r="F181" t="s">
        <v>197</v>
      </c>
      <c r="G181" t="s">
        <v>267</v>
      </c>
      <c r="H181" s="267"/>
      <c r="I181" s="267"/>
      <c r="J181" s="293"/>
      <c r="K181" s="293"/>
      <c r="L181" s="293"/>
      <c r="M181" s="293"/>
      <c r="N181" s="293"/>
      <c r="O181" s="293"/>
      <c r="P181" s="293"/>
      <c r="Q181" s="293"/>
      <c r="R181" s="281">
        <f t="shared" ref="R181:S181" si="68">hundred * $H72 * R102 / $H44 / hours_in_year</f>
        <v>-6.5617630685157996E-2</v>
      </c>
      <c r="S181" s="281">
        <f t="shared" si="68"/>
        <v>0</v>
      </c>
      <c r="T181" s="281">
        <f t="shared" ref="T181:U181" si="69">hundred * $H72 * T102 / $H44 / hours_in_year</f>
        <v>-6.5617630685157996E-2</v>
      </c>
      <c r="U181" s="281">
        <f t="shared" si="69"/>
        <v>-6.5617630685157996E-2</v>
      </c>
      <c r="V181" s="281">
        <f t="shared" ref="V181:W181" si="70">hundred * $H72 * V102 / $H44 / hours_in_year</f>
        <v>0</v>
      </c>
      <c r="W181" s="281">
        <f t="shared" si="70"/>
        <v>0</v>
      </c>
      <c r="X181" s="281">
        <f t="shared" ref="X181:Y181" si="71">hundred * $H72 * X102 / $H44 / hours_in_year</f>
        <v>0</v>
      </c>
      <c r="Y181" s="281">
        <f t="shared" si="71"/>
        <v>0</v>
      </c>
      <c r="Z181" s="267"/>
      <c r="AA181" s="267"/>
    </row>
    <row r="182" spans="2:27" x14ac:dyDescent="0.25">
      <c r="D182"/>
      <c r="F182" t="s">
        <v>332</v>
      </c>
      <c r="G182" t="s">
        <v>267</v>
      </c>
      <c r="H182" s="267"/>
      <c r="I182" s="267"/>
      <c r="J182" s="293"/>
      <c r="K182" s="293"/>
      <c r="L182" s="293"/>
      <c r="M182" s="293"/>
      <c r="N182" s="293"/>
      <c r="O182" s="293"/>
      <c r="P182" s="293"/>
      <c r="Q182" s="293"/>
      <c r="R182" s="293"/>
      <c r="S182" s="293"/>
      <c r="T182" s="293"/>
      <c r="U182" s="293"/>
      <c r="V182" s="293"/>
      <c r="W182" s="293"/>
      <c r="X182" s="293"/>
      <c r="Y182" s="293"/>
      <c r="Z182" s="267"/>
      <c r="AA182" s="267"/>
    </row>
    <row r="183" spans="2:27" x14ac:dyDescent="0.25">
      <c r="D183"/>
      <c r="F183" s="96" t="s">
        <v>333</v>
      </c>
      <c r="G183" s="96" t="s">
        <v>267</v>
      </c>
      <c r="H183" s="269"/>
      <c r="I183" s="269"/>
      <c r="J183" s="275"/>
      <c r="K183" s="275"/>
      <c r="L183" s="275"/>
      <c r="M183" s="275"/>
      <c r="N183" s="275"/>
      <c r="O183" s="275"/>
      <c r="P183" s="275"/>
      <c r="Q183" s="275"/>
      <c r="R183" s="275"/>
      <c r="S183" s="275"/>
      <c r="T183" s="275"/>
      <c r="U183" s="275"/>
      <c r="V183" s="275"/>
      <c r="W183" s="275"/>
      <c r="X183" s="275"/>
      <c r="Y183" s="275"/>
      <c r="Z183" s="267"/>
      <c r="AA183" s="267"/>
    </row>
    <row r="184" spans="2:27" x14ac:dyDescent="0.25">
      <c r="D184"/>
      <c r="E184"/>
      <c r="J184" s="106"/>
      <c r="K184" s="106"/>
      <c r="L184" s="106"/>
      <c r="M184" s="106"/>
      <c r="N184" s="106"/>
      <c r="O184" s="106"/>
      <c r="P184" s="106"/>
      <c r="Q184" s="106"/>
      <c r="R184" s="106"/>
      <c r="S184" s="106"/>
      <c r="T184" s="106"/>
      <c r="U184" s="106"/>
      <c r="V184" s="106"/>
      <c r="W184" s="106"/>
      <c r="X184" s="106"/>
      <c r="Y184" s="106"/>
    </row>
    <row r="185" spans="2:27" x14ac:dyDescent="0.25">
      <c r="B185" s="85" t="s">
        <v>634</v>
      </c>
      <c r="C185" s="85"/>
      <c r="D185" s="85"/>
      <c r="E185" s="85"/>
      <c r="F185" s="85"/>
      <c r="G185" s="85"/>
      <c r="H185" s="85"/>
      <c r="I185" s="85"/>
      <c r="J185" s="247"/>
      <c r="K185" s="247"/>
      <c r="L185" s="247"/>
      <c r="M185" s="247"/>
      <c r="N185" s="247"/>
      <c r="O185" s="247"/>
      <c r="P185" s="247"/>
      <c r="Q185" s="247"/>
      <c r="R185" s="247"/>
      <c r="S185" s="247"/>
      <c r="T185" s="247"/>
      <c r="U185" s="247"/>
      <c r="V185" s="247"/>
      <c r="W185" s="247"/>
      <c r="X185" s="247"/>
      <c r="Y185" s="247"/>
      <c r="Z185" s="85"/>
      <c r="AA185" s="85"/>
    </row>
    <row r="186" spans="2:27" x14ac:dyDescent="0.25">
      <c r="B186" s="295"/>
      <c r="J186" s="106"/>
      <c r="K186" s="106"/>
      <c r="L186" s="106"/>
      <c r="M186" s="106"/>
      <c r="N186" s="106"/>
      <c r="O186" s="106"/>
      <c r="P186" s="106"/>
      <c r="Q186" s="106"/>
      <c r="R186" s="106"/>
      <c r="S186" s="106"/>
      <c r="T186" s="106"/>
      <c r="U186" s="106"/>
      <c r="V186" s="106"/>
      <c r="W186" s="106"/>
      <c r="X186" s="106"/>
      <c r="Y186" s="106"/>
    </row>
    <row r="187" spans="2:27" x14ac:dyDescent="0.25">
      <c r="B187" s="295"/>
      <c r="C187" s="86" t="s">
        <v>635</v>
      </c>
      <c r="J187" s="106"/>
      <c r="K187" s="106"/>
      <c r="L187" s="106"/>
      <c r="M187" s="106"/>
      <c r="N187" s="106"/>
      <c r="O187" s="106"/>
      <c r="P187" s="106"/>
      <c r="Q187" s="106"/>
      <c r="R187" s="106"/>
      <c r="S187" s="106"/>
      <c r="T187" s="106"/>
      <c r="U187" s="106"/>
      <c r="V187" s="106"/>
      <c r="W187" s="106"/>
      <c r="X187" s="106"/>
      <c r="Y187" s="106"/>
    </row>
    <row r="188" spans="2:27" x14ac:dyDescent="0.25">
      <c r="B188" s="295"/>
      <c r="C188" s="86" t="s">
        <v>636</v>
      </c>
      <c r="I188" t="s">
        <v>152</v>
      </c>
      <c r="J188" s="106"/>
      <c r="K188" s="106"/>
      <c r="L188" s="106"/>
      <c r="M188" s="106"/>
      <c r="N188" s="106"/>
      <c r="O188" s="106"/>
      <c r="P188" s="106"/>
      <c r="Q188" s="106"/>
      <c r="R188" s="106"/>
      <c r="S188" s="106"/>
      <c r="T188" s="106"/>
      <c r="U188" s="106"/>
      <c r="V188" s="106"/>
      <c r="W188" s="106"/>
      <c r="X188" s="106"/>
      <c r="Y188" s="106"/>
      <c r="AA188" t="s">
        <v>637</v>
      </c>
    </row>
    <row r="189" spans="2:27" x14ac:dyDescent="0.25">
      <c r="B189" s="295"/>
      <c r="J189" s="106"/>
      <c r="K189" s="106"/>
      <c r="L189" s="106"/>
      <c r="M189" s="106"/>
      <c r="N189" s="106"/>
      <c r="O189" s="106"/>
      <c r="P189" s="106"/>
      <c r="Q189" s="106"/>
      <c r="R189" s="106"/>
      <c r="S189" s="106"/>
      <c r="T189" s="106"/>
      <c r="U189" s="106"/>
      <c r="V189" s="106"/>
      <c r="W189" s="106"/>
      <c r="X189" s="106"/>
      <c r="Y189" s="106"/>
    </row>
    <row r="190" spans="2:27" x14ac:dyDescent="0.2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25">
      <c r="C191" s="75"/>
      <c r="D191"/>
      <c r="E191" s="75"/>
      <c r="I191" t="s">
        <v>152</v>
      </c>
      <c r="J191" s="106"/>
      <c r="K191" s="106"/>
      <c r="L191" s="106"/>
      <c r="M191" s="106"/>
      <c r="N191" s="106"/>
      <c r="O191" s="106"/>
      <c r="P191" s="106"/>
      <c r="Q191" s="106"/>
      <c r="R191" s="106"/>
      <c r="S191" s="106"/>
      <c r="T191" s="106"/>
      <c r="U191" s="106"/>
      <c r="V191" s="106"/>
      <c r="W191" s="106"/>
      <c r="X191" s="106"/>
      <c r="Y191" s="106"/>
      <c r="AA191" t="s">
        <v>638</v>
      </c>
    </row>
    <row r="192" spans="2:27" x14ac:dyDescent="0.25">
      <c r="E192" s="75" t="s">
        <v>576</v>
      </c>
      <c r="J192" s="106"/>
      <c r="K192" s="106"/>
      <c r="L192" s="106"/>
      <c r="M192" s="106"/>
      <c r="N192" s="106"/>
      <c r="O192" s="106"/>
      <c r="P192" s="106"/>
      <c r="Q192" s="106"/>
      <c r="R192" s="106"/>
      <c r="S192" s="106"/>
      <c r="T192" s="106"/>
      <c r="U192" s="106"/>
      <c r="V192" s="106"/>
      <c r="W192" s="106"/>
      <c r="X192" s="106"/>
      <c r="Y192" s="106"/>
    </row>
    <row r="193" spans="4:27" x14ac:dyDescent="0.25">
      <c r="F193" s="95" t="s">
        <v>187</v>
      </c>
      <c r="G193" s="95" t="s">
        <v>270</v>
      </c>
      <c r="H193" s="265"/>
      <c r="I193" s="265"/>
      <c r="J193" s="279"/>
      <c r="K193" s="279"/>
      <c r="L193" s="279"/>
      <c r="M193" s="279"/>
      <c r="N193" s="279"/>
      <c r="O193" s="279"/>
      <c r="P193" s="279"/>
      <c r="Q193" s="279"/>
      <c r="R193" s="279"/>
      <c r="S193" s="279"/>
      <c r="T193" s="279"/>
      <c r="U193" s="279"/>
      <c r="V193" s="279"/>
      <c r="W193" s="279"/>
      <c r="X193" s="279"/>
      <c r="Y193" s="279"/>
      <c r="Z193" s="267"/>
      <c r="AA193" s="267"/>
    </row>
    <row r="194" spans="4:27" x14ac:dyDescent="0.25">
      <c r="F194" t="s">
        <v>189</v>
      </c>
      <c r="G194" t="s">
        <v>270</v>
      </c>
      <c r="H194" s="267"/>
      <c r="I194" s="267"/>
      <c r="J194" s="293"/>
      <c r="K194" s="293"/>
      <c r="L194" s="293"/>
      <c r="M194" s="293"/>
      <c r="N194" s="293"/>
      <c r="O194" s="293"/>
      <c r="P194" s="293"/>
      <c r="Q194" s="293"/>
      <c r="R194" s="293"/>
      <c r="S194" s="293"/>
      <c r="T194" s="293"/>
      <c r="U194" s="293"/>
      <c r="V194" s="293"/>
      <c r="W194" s="293"/>
      <c r="X194" s="293"/>
      <c r="Y194" s="293"/>
      <c r="Z194" s="267"/>
      <c r="AA194" s="267"/>
    </row>
    <row r="195" spans="4:27" x14ac:dyDescent="0.25">
      <c r="F195" t="s">
        <v>190</v>
      </c>
      <c r="G195" t="s">
        <v>270</v>
      </c>
      <c r="H195" s="267"/>
      <c r="I195" s="267"/>
      <c r="J195" s="281">
        <f t="shared" ref="J195:K195" si="72">ABS(J125 + J160)*(1-J82)*PowerFactor*$H23</f>
        <v>1.8820449714836745E-2</v>
      </c>
      <c r="K195" s="281">
        <f t="shared" si="72"/>
        <v>1.8820449714836745E-2</v>
      </c>
      <c r="L195" s="281">
        <f t="shared" ref="L195:M195" si="73">ABS(L125 + L160)*(1-L82)*PowerFactor*$H23</f>
        <v>1.792798985861398E-2</v>
      </c>
      <c r="M195" s="281">
        <f t="shared" si="73"/>
        <v>1.792798985861398E-2</v>
      </c>
      <c r="N195" s="281">
        <f t="shared" ref="N195:P195" si="74">ABS(N125 + N160)*(1-N82)*PowerFactor*$H23</f>
        <v>1.4722816772129829E-2</v>
      </c>
      <c r="O195" s="281">
        <f t="shared" si="74"/>
        <v>1.1774178768791704E-2</v>
      </c>
      <c r="P195" s="281">
        <f t="shared" si="74"/>
        <v>1.0922353975267094E-2</v>
      </c>
      <c r="Q195" s="281">
        <f t="shared" ref="Q195:S195" si="75">ABS(Q125 + Q160)*(1-Q82)*PowerFactor*$H23</f>
        <v>1.9768347623558259E-2</v>
      </c>
      <c r="R195" s="281">
        <f t="shared" si="75"/>
        <v>9.7142683798045869E-3</v>
      </c>
      <c r="S195" s="281">
        <f t="shared" si="75"/>
        <v>9.1677305943709351E-3</v>
      </c>
      <c r="T195" s="281">
        <f t="shared" ref="T195:U195" si="76">ABS(T125 + T160)*(1-T82)*PowerFactor*$H23</f>
        <v>9.7142683798045869E-3</v>
      </c>
      <c r="U195" s="281">
        <f t="shared" si="76"/>
        <v>9.7142683798045869E-3</v>
      </c>
      <c r="V195" s="281">
        <f t="shared" ref="V195:W195" si="77">ABS(V125 + V160)*(1-V82)*PowerFactor*$H23</f>
        <v>9.1677305943709351E-3</v>
      </c>
      <c r="W195" s="281">
        <f t="shared" si="77"/>
        <v>9.1677305943709351E-3</v>
      </c>
      <c r="X195" s="281">
        <f t="shared" ref="X195:Y195" si="78">ABS(X125 + X160)*(1-X82)*PowerFactor*$H23</f>
        <v>9.0266885852267661E-3</v>
      </c>
      <c r="Y195" s="281">
        <f t="shared" si="78"/>
        <v>9.0266885852267661E-3</v>
      </c>
      <c r="Z195" s="267"/>
      <c r="AA195" s="267"/>
    </row>
    <row r="196" spans="4:27" x14ac:dyDescent="0.25">
      <c r="F196" t="s">
        <v>191</v>
      </c>
      <c r="G196" t="s">
        <v>270</v>
      </c>
      <c r="H196" s="267"/>
      <c r="I196" s="267"/>
      <c r="J196" s="281">
        <f t="shared" ref="J196:K196" si="79">ABS(J126 + J161)*(1-J83)*PowerFactor*$H24</f>
        <v>1.4729616971348818E-2</v>
      </c>
      <c r="K196" s="281">
        <f t="shared" si="79"/>
        <v>1.4729616971348818E-2</v>
      </c>
      <c r="L196" s="281">
        <f t="shared" ref="L196:M196" si="80">ABS(L126 + L161)*(1-L83)*PowerFactor*$H24</f>
        <v>1.4031143128074857E-2</v>
      </c>
      <c r="M196" s="281">
        <f t="shared" si="80"/>
        <v>1.4031143128074857E-2</v>
      </c>
      <c r="N196" s="281">
        <f t="shared" ref="N196:P196" si="81">ABS(N126 + N161)*(1-N83)*PowerFactor*$H24</f>
        <v>1.1522649834550126E-2</v>
      </c>
      <c r="O196" s="281">
        <f t="shared" si="81"/>
        <v>9.2149308887007949E-3</v>
      </c>
      <c r="P196" s="281">
        <f t="shared" si="81"/>
        <v>8.5482596281610118E-3</v>
      </c>
      <c r="Q196" s="281">
        <f t="shared" ref="Q196:S196" si="82">ABS(Q126 + Q161)*(1-Q83)*PowerFactor*$H24</f>
        <v>1.5471478793726189E-2</v>
      </c>
      <c r="R196" s="281">
        <f t="shared" si="82"/>
        <v>7.6027647882721183E-3</v>
      </c>
      <c r="S196" s="281">
        <f t="shared" si="82"/>
        <v>7.1750230306742305E-3</v>
      </c>
      <c r="T196" s="281">
        <f t="shared" ref="T196:U196" si="83">ABS(T126 + T161)*(1-T83)*PowerFactor*$H24</f>
        <v>7.6027647882721183E-3</v>
      </c>
      <c r="U196" s="281">
        <f t="shared" si="83"/>
        <v>7.6027647882721183E-3</v>
      </c>
      <c r="V196" s="281">
        <f t="shared" ref="V196:W196" si="84">ABS(V126 + V161)*(1-V83)*PowerFactor*$H24</f>
        <v>7.1750230306742305E-3</v>
      </c>
      <c r="W196" s="281">
        <f t="shared" si="84"/>
        <v>7.1750230306742305E-3</v>
      </c>
      <c r="X196" s="281">
        <f t="shared" ref="X196:Y196" si="85">ABS(X126 + X161)*(1-X83)*PowerFactor*$H24</f>
        <v>7.0646380609715505E-3</v>
      </c>
      <c r="Y196" s="281">
        <f t="shared" si="85"/>
        <v>7.0646380609715505E-3</v>
      </c>
      <c r="Z196" s="267"/>
      <c r="AA196" s="267"/>
    </row>
    <row r="197" spans="4:27" x14ac:dyDescent="0.25">
      <c r="F197" t="s">
        <v>192</v>
      </c>
      <c r="G197" t="s">
        <v>270</v>
      </c>
      <c r="H197" s="267"/>
      <c r="I197" s="267"/>
      <c r="J197" s="281">
        <f t="shared" ref="J197:K197" si="86">ABS(J127 + J162)*(1-J84)*PowerFactor*$H25</f>
        <v>4.6703663401249484E-2</v>
      </c>
      <c r="K197" s="281">
        <f t="shared" si="86"/>
        <v>4.6703663401249484E-2</v>
      </c>
      <c r="L197" s="281">
        <f t="shared" ref="L197:M197" si="87">ABS(L127 + L162)*(1-L84)*PowerFactor*$H25</f>
        <v>4.4488990247541736E-2</v>
      </c>
      <c r="M197" s="281">
        <f t="shared" si="87"/>
        <v>4.4488990247541736E-2</v>
      </c>
      <c r="N197" s="281">
        <f t="shared" ref="N197:P197" si="88">ABS(N127 + N162)*(1-N84)*PowerFactor*$H25</f>
        <v>3.6535231052516139E-2</v>
      </c>
      <c r="O197" s="281">
        <f t="shared" si="88"/>
        <v>2.9218073445412128E-2</v>
      </c>
      <c r="P197" s="281">
        <f t="shared" si="88"/>
        <v>2.1683390199035889E-2</v>
      </c>
      <c r="Q197" s="281">
        <f t="shared" ref="Q197:S197" si="89">ABS(Q127 + Q162)*(1-Q84)*PowerFactor*$H25</f>
        <v>4.9055908195526542E-2</v>
      </c>
      <c r="R197" s="281">
        <f t="shared" si="89"/>
        <v>2.410632729153837E-2</v>
      </c>
      <c r="S197" s="281">
        <f t="shared" si="89"/>
        <v>2.2750072943012619E-2</v>
      </c>
      <c r="T197" s="281">
        <f t="shared" ref="T197:U197" si="90">ABS(T127 + T162)*(1-T84)*PowerFactor*$H25</f>
        <v>2.410632729153837E-2</v>
      </c>
      <c r="U197" s="281">
        <f t="shared" si="90"/>
        <v>2.410632729153837E-2</v>
      </c>
      <c r="V197" s="281">
        <f t="shared" ref="V197:W197" si="91">ABS(V127 + V162)*(1-V84)*PowerFactor*$H25</f>
        <v>2.2750072943012619E-2</v>
      </c>
      <c r="W197" s="281">
        <f t="shared" si="91"/>
        <v>2.2750072943012619E-2</v>
      </c>
      <c r="X197" s="281">
        <f t="shared" ref="X197:Y197" si="92">ABS(X127 + X162)*(1-X84)*PowerFactor*$H25</f>
        <v>2.2400071820812422E-2</v>
      </c>
      <c r="Y197" s="281">
        <f t="shared" si="92"/>
        <v>2.2400071820812422E-2</v>
      </c>
      <c r="Z197" s="267"/>
      <c r="AA197" s="267"/>
    </row>
    <row r="198" spans="4:27" x14ac:dyDescent="0.25">
      <c r="F198" t="s">
        <v>193</v>
      </c>
      <c r="G198" t="s">
        <v>270</v>
      </c>
      <c r="H198" s="267"/>
      <c r="I198" s="267"/>
      <c r="J198" s="281">
        <f t="shared" ref="J198:K198" si="93">ABS(J128 + J163)*(1-J85)*PowerFactor*$H26</f>
        <v>1.3876495867794315E-2</v>
      </c>
      <c r="K198" s="281">
        <f t="shared" si="93"/>
        <v>1.3876495867794315E-2</v>
      </c>
      <c r="L198" s="281">
        <f t="shared" ref="L198:M198" si="94">ABS(L128 + L163)*(1-L85)*PowerFactor*$H26</f>
        <v>1.321847676120067E-2</v>
      </c>
      <c r="M198" s="281">
        <f t="shared" si="94"/>
        <v>1.321847676120067E-2</v>
      </c>
      <c r="N198" s="281">
        <f t="shared" ref="N198:P198" si="95">ABS(N128 + N163)*(1-N85)*PowerFactor*$H26</f>
        <v>1.0855272280751904E-2</v>
      </c>
      <c r="O198" s="281">
        <f t="shared" si="95"/>
        <v>8.6812135473579386E-3</v>
      </c>
      <c r="P198" s="281">
        <f t="shared" si="95"/>
        <v>0</v>
      </c>
      <c r="Q198" s="281">
        <f t="shared" ref="Q198:S198" si="96">ABS(Q128 + Q163)*(1-Q85)*PowerFactor*$H26</f>
        <v>1.4575389975680357E-2</v>
      </c>
      <c r="R198" s="281">
        <f t="shared" si="96"/>
        <v>7.1624221032686747E-3</v>
      </c>
      <c r="S198" s="281">
        <f t="shared" si="96"/>
        <v>6.7594546165149006E-3</v>
      </c>
      <c r="T198" s="281">
        <f t="shared" ref="T198:U198" si="97">ABS(T128 + T163)*(1-T85)*PowerFactor*$H26</f>
        <v>7.1624221032686747E-3</v>
      </c>
      <c r="U198" s="281">
        <f t="shared" si="97"/>
        <v>7.1624221032686747E-3</v>
      </c>
      <c r="V198" s="281">
        <f t="shared" ref="V198:W198" si="98">ABS(V128 + V163)*(1-V85)*PowerFactor*$H26</f>
        <v>6.7594546165149006E-3</v>
      </c>
      <c r="W198" s="281">
        <f t="shared" si="98"/>
        <v>6.7594546165149006E-3</v>
      </c>
      <c r="X198" s="281">
        <f t="shared" ref="X198:Y198" si="99">ABS(X128 + X163)*(1-X85)*PowerFactor*$H26</f>
        <v>6.6554630070300574E-3</v>
      </c>
      <c r="Y198" s="281">
        <f t="shared" si="99"/>
        <v>6.6554630070300574E-3</v>
      </c>
      <c r="Z198" s="267"/>
      <c r="AA198" s="267"/>
    </row>
    <row r="199" spans="4:27" x14ac:dyDescent="0.25">
      <c r="F199" t="s">
        <v>194</v>
      </c>
      <c r="G199" t="s">
        <v>270</v>
      </c>
      <c r="H199" s="267"/>
      <c r="I199" s="267"/>
      <c r="J199" s="281">
        <f t="shared" ref="J199:K199" si="100">ABS(J129 + J164)*(1-J86)*PowerFactor*$H27</f>
        <v>0</v>
      </c>
      <c r="K199" s="281">
        <f t="shared" si="100"/>
        <v>0</v>
      </c>
      <c r="L199" s="281">
        <f t="shared" ref="L199:M199" si="101">ABS(L129 + L164)*(1-L86)*PowerFactor*$H27</f>
        <v>0</v>
      </c>
      <c r="M199" s="281">
        <f t="shared" si="101"/>
        <v>0</v>
      </c>
      <c r="N199" s="281">
        <f t="shared" ref="N199:P199" si="102">ABS(N129 + N164)*(1-N86)*PowerFactor*$H27</f>
        <v>0</v>
      </c>
      <c r="O199" s="281">
        <f t="shared" si="102"/>
        <v>0</v>
      </c>
      <c r="P199" s="281">
        <f t="shared" si="102"/>
        <v>0</v>
      </c>
      <c r="Q199" s="281">
        <f t="shared" ref="Q199:S199" si="103">ABS(Q129 + Q164)*(1-Q86)*PowerFactor*$H27</f>
        <v>0</v>
      </c>
      <c r="R199" s="281">
        <f t="shared" si="103"/>
        <v>0</v>
      </c>
      <c r="S199" s="281">
        <f t="shared" si="103"/>
        <v>0</v>
      </c>
      <c r="T199" s="281">
        <f t="shared" ref="T199:U199" si="104">ABS(T129 + T164)*(1-T86)*PowerFactor*$H27</f>
        <v>0</v>
      </c>
      <c r="U199" s="281">
        <f t="shared" si="104"/>
        <v>0</v>
      </c>
      <c r="V199" s="281">
        <f t="shared" ref="V199:W199" si="105">ABS(V129 + V164)*(1-V86)*PowerFactor*$H27</f>
        <v>0</v>
      </c>
      <c r="W199" s="281">
        <f t="shared" si="105"/>
        <v>0</v>
      </c>
      <c r="X199" s="281">
        <f t="shared" ref="X199:Y199" si="106">ABS(X129 + X164)*(1-X86)*PowerFactor*$H27</f>
        <v>0</v>
      </c>
      <c r="Y199" s="281">
        <f t="shared" si="106"/>
        <v>0</v>
      </c>
      <c r="Z199" s="267"/>
      <c r="AA199" s="267"/>
    </row>
    <row r="200" spans="4:27" x14ac:dyDescent="0.25">
      <c r="F200" t="s">
        <v>195</v>
      </c>
      <c r="G200" t="s">
        <v>270</v>
      </c>
      <c r="H200" s="267"/>
      <c r="I200" s="267"/>
      <c r="J200" s="281">
        <f t="shared" ref="J200:K200" si="107">ABS(J130 + J165)*(1-J87)*PowerFactor*$H28</f>
        <v>6.4223074840385488E-2</v>
      </c>
      <c r="K200" s="281">
        <f t="shared" si="107"/>
        <v>6.4223074840385488E-2</v>
      </c>
      <c r="L200" s="281">
        <f t="shared" ref="L200:M200" si="108">ABS(L130 + L165)*(1-L87)*PowerFactor*$H28</f>
        <v>6.117763665975319E-2</v>
      </c>
      <c r="M200" s="281">
        <f t="shared" si="108"/>
        <v>6.117763665975319E-2</v>
      </c>
      <c r="N200" s="281">
        <f t="shared" ref="N200:P200" si="109">ABS(N130 + N165)*(1-N87)*PowerFactor*$H28</f>
        <v>4.0192219750089166E-2</v>
      </c>
      <c r="O200" s="281">
        <f t="shared" si="109"/>
        <v>0</v>
      </c>
      <c r="P200" s="281">
        <f t="shared" si="109"/>
        <v>0</v>
      </c>
      <c r="Q200" s="281">
        <f t="shared" ref="Q200:S200" si="110">ABS(Q130 + Q165)*(1-Q87)*PowerFactor*$H28</f>
        <v>6.7457690338700374E-2</v>
      </c>
      <c r="R200" s="281">
        <f t="shared" si="110"/>
        <v>3.3149058318407566E-2</v>
      </c>
      <c r="S200" s="281">
        <f t="shared" si="110"/>
        <v>3.1284047777807501E-2</v>
      </c>
      <c r="T200" s="281">
        <f t="shared" ref="T200:U200" si="111">ABS(T130 + T165)*(1-T87)*PowerFactor*$H28</f>
        <v>3.3149058318407566E-2</v>
      </c>
      <c r="U200" s="281">
        <f t="shared" si="111"/>
        <v>3.3149058318407566E-2</v>
      </c>
      <c r="V200" s="281">
        <f t="shared" ref="V200:W200" si="112">ABS(V130 + V165)*(1-V87)*PowerFactor*$H28</f>
        <v>3.1284047777807501E-2</v>
      </c>
      <c r="W200" s="281">
        <f t="shared" si="112"/>
        <v>3.1284047777807501E-2</v>
      </c>
      <c r="X200" s="281">
        <f t="shared" ref="X200:Y200" si="113">ABS(X130 + X165)*(1-X87)*PowerFactor*$H28</f>
        <v>3.0802754735072005E-2</v>
      </c>
      <c r="Y200" s="281">
        <f t="shared" si="113"/>
        <v>3.0802754735072005E-2</v>
      </c>
      <c r="Z200" s="267"/>
      <c r="AA200" s="267"/>
    </row>
    <row r="201" spans="4:27" x14ac:dyDescent="0.25">
      <c r="F201" t="s">
        <v>196</v>
      </c>
      <c r="G201" t="s">
        <v>270</v>
      </c>
      <c r="H201" s="267"/>
      <c r="I201" s="267"/>
      <c r="J201" s="281">
        <f t="shared" ref="J201:K201" si="114">ABS(J131 + J166)*(1-J88)*PowerFactor*$H29</f>
        <v>1.9532859103965541E-2</v>
      </c>
      <c r="K201" s="281">
        <f t="shared" si="114"/>
        <v>1.9532859103965541E-2</v>
      </c>
      <c r="L201" s="281">
        <f t="shared" ref="L201:M201" si="115">ABS(L131 + L166)*(1-L88)*PowerFactor*$H29</f>
        <v>1.8606617016678855E-2</v>
      </c>
      <c r="M201" s="281">
        <f t="shared" si="115"/>
        <v>1.8606617016678855E-2</v>
      </c>
      <c r="N201" s="281">
        <f t="shared" ref="N201:P201" si="116">ABS(N131 + N166)*(1-N88)*PowerFactor*$H29</f>
        <v>0</v>
      </c>
      <c r="O201" s="281">
        <f t="shared" si="116"/>
        <v>0</v>
      </c>
      <c r="P201" s="281">
        <f t="shared" si="116"/>
        <v>0</v>
      </c>
      <c r="Q201" s="281">
        <f t="shared" ref="Q201:S201" si="117">ABS(Q131 + Q166)*(1-Q88)*PowerFactor*$H29</f>
        <v>2.0516637737129917E-2</v>
      </c>
      <c r="R201" s="281">
        <f t="shared" si="117"/>
        <v>1.0081982016149529E-2</v>
      </c>
      <c r="S201" s="281">
        <f t="shared" si="117"/>
        <v>9.5147561676910269E-3</v>
      </c>
      <c r="T201" s="281">
        <f t="shared" ref="T201:U201" si="118">ABS(T131 + T166)*(1-T88)*PowerFactor*$H29</f>
        <v>1.0081982016149529E-2</v>
      </c>
      <c r="U201" s="281">
        <f t="shared" si="118"/>
        <v>1.0081982016149529E-2</v>
      </c>
      <c r="V201" s="281">
        <f t="shared" ref="V201:W201" si="119">ABS(V131 + V166)*(1-V88)*PowerFactor*$H29</f>
        <v>9.5147561676910269E-3</v>
      </c>
      <c r="W201" s="281">
        <f t="shared" si="119"/>
        <v>9.5147561676910269E-3</v>
      </c>
      <c r="X201" s="281">
        <f t="shared" ref="X201:Y201" si="120">ABS(X131 + X166)*(1-X88)*PowerFactor*$H29</f>
        <v>0</v>
      </c>
      <c r="Y201" s="281">
        <f t="shared" si="120"/>
        <v>0</v>
      </c>
      <c r="Z201" s="267"/>
      <c r="AA201" s="267"/>
    </row>
    <row r="202" spans="4:27" x14ac:dyDescent="0.25">
      <c r="F202" t="s">
        <v>197</v>
      </c>
      <c r="G202" t="s">
        <v>270</v>
      </c>
      <c r="H202" s="267"/>
      <c r="I202" s="267"/>
      <c r="J202" s="281">
        <f t="shared" ref="J202:K202" si="121">ABS(J132 + J167)*(1-J89)*PowerFactor*$H30</f>
        <v>0</v>
      </c>
      <c r="K202" s="281">
        <f t="shared" si="121"/>
        <v>0</v>
      </c>
      <c r="L202" s="281">
        <f t="shared" ref="L202:M202" si="122">ABS(L132 + L167)*(1-L89)*PowerFactor*$H30</f>
        <v>0</v>
      </c>
      <c r="M202" s="281">
        <f t="shared" si="122"/>
        <v>0</v>
      </c>
      <c r="N202" s="281">
        <f t="shared" ref="N202:P202" si="123">ABS(N132 + N167)*(1-N89)*PowerFactor*$H30</f>
        <v>0</v>
      </c>
      <c r="O202" s="281">
        <f t="shared" si="123"/>
        <v>0</v>
      </c>
      <c r="P202" s="281">
        <f t="shared" si="123"/>
        <v>0</v>
      </c>
      <c r="Q202" s="281">
        <f t="shared" ref="Q202:S202" si="124">ABS(Q132 + Q167)*(1-Q89)*PowerFactor*$H30</f>
        <v>0</v>
      </c>
      <c r="R202" s="281">
        <f t="shared" si="124"/>
        <v>0</v>
      </c>
      <c r="S202" s="281">
        <f t="shared" si="124"/>
        <v>0</v>
      </c>
      <c r="T202" s="281">
        <f t="shared" ref="T202:U202" si="125">ABS(T132 + T167)*(1-T89)*PowerFactor*$H30</f>
        <v>0</v>
      </c>
      <c r="U202" s="281">
        <f t="shared" si="125"/>
        <v>0</v>
      </c>
      <c r="V202" s="281">
        <f t="shared" ref="V202:W202" si="126">ABS(V132 + V167)*(1-V89)*PowerFactor*$H30</f>
        <v>0</v>
      </c>
      <c r="W202" s="281">
        <f t="shared" si="126"/>
        <v>0</v>
      </c>
      <c r="X202" s="281">
        <f t="shared" ref="X202:Y202" si="127">ABS(X132 + X167)*(1-X89)*PowerFactor*$H30</f>
        <v>0</v>
      </c>
      <c r="Y202" s="281">
        <f t="shared" si="127"/>
        <v>0</v>
      </c>
      <c r="Z202" s="267"/>
      <c r="AA202" s="267"/>
    </row>
    <row r="203" spans="4:27" x14ac:dyDescent="0.25">
      <c r="F203" t="s">
        <v>332</v>
      </c>
      <c r="G203" t="s">
        <v>270</v>
      </c>
      <c r="H203" s="267"/>
      <c r="I203" s="267"/>
      <c r="J203" s="293"/>
      <c r="K203" s="293"/>
      <c r="L203" s="293"/>
      <c r="M203" s="293"/>
      <c r="N203" s="293"/>
      <c r="O203" s="293"/>
      <c r="P203" s="293"/>
      <c r="Q203" s="293"/>
      <c r="R203" s="293"/>
      <c r="S203" s="293"/>
      <c r="T203" s="293"/>
      <c r="U203" s="293"/>
      <c r="V203" s="293"/>
      <c r="W203" s="293"/>
      <c r="X203" s="293"/>
      <c r="Y203" s="293"/>
      <c r="Z203" s="267"/>
      <c r="AA203" s="267"/>
    </row>
    <row r="204" spans="4:27" x14ac:dyDescent="0.25">
      <c r="F204" s="96" t="s">
        <v>333</v>
      </c>
      <c r="G204" s="96" t="s">
        <v>270</v>
      </c>
      <c r="H204" s="269"/>
      <c r="I204" s="269"/>
      <c r="J204" s="275"/>
      <c r="K204" s="275"/>
      <c r="L204" s="275"/>
      <c r="M204" s="275"/>
      <c r="N204" s="275"/>
      <c r="O204" s="275"/>
      <c r="P204" s="275"/>
      <c r="Q204" s="275"/>
      <c r="R204" s="275"/>
      <c r="S204" s="275"/>
      <c r="T204" s="275"/>
      <c r="U204" s="275"/>
      <c r="V204" s="275"/>
      <c r="W204" s="275"/>
      <c r="X204" s="275"/>
      <c r="Y204" s="275"/>
      <c r="Z204" s="267"/>
      <c r="AA204" s="267"/>
    </row>
    <row r="205" spans="4:27" x14ac:dyDescent="0.25">
      <c r="D205"/>
      <c r="J205" s="106"/>
      <c r="K205" s="106"/>
      <c r="L205" s="106"/>
      <c r="M205" s="106"/>
      <c r="N205" s="106"/>
      <c r="O205" s="106"/>
      <c r="P205" s="106"/>
      <c r="Q205" s="106"/>
      <c r="R205" s="106"/>
      <c r="S205" s="106"/>
      <c r="T205" s="106"/>
      <c r="U205" s="106"/>
      <c r="V205" s="106"/>
      <c r="W205" s="106"/>
      <c r="X205" s="106"/>
      <c r="Y205" s="106"/>
    </row>
    <row r="206" spans="4:27" x14ac:dyDescent="0.25">
      <c r="E206" s="75" t="s">
        <v>577</v>
      </c>
      <c r="J206" s="106"/>
      <c r="K206" s="106"/>
      <c r="L206" s="106"/>
      <c r="M206" s="106"/>
      <c r="N206" s="106"/>
      <c r="O206" s="106"/>
      <c r="P206" s="106"/>
      <c r="Q206" s="106"/>
      <c r="R206" s="106"/>
      <c r="S206" s="106"/>
      <c r="T206" s="106"/>
      <c r="U206" s="106"/>
      <c r="V206" s="106"/>
      <c r="W206" s="106"/>
      <c r="X206" s="106"/>
      <c r="Y206" s="106"/>
    </row>
    <row r="207" spans="4:27" x14ac:dyDescent="0.25">
      <c r="F207" s="95" t="s">
        <v>187</v>
      </c>
      <c r="G207" s="95" t="s">
        <v>270</v>
      </c>
      <c r="H207" s="265"/>
      <c r="I207" s="265"/>
      <c r="J207" s="280">
        <f t="shared" ref="J207:K207" si="128">ABS(J137 + J172)*(1-J81)*PowerFactor*$H22</f>
        <v>1.44779578298182E-2</v>
      </c>
      <c r="K207" s="280">
        <f t="shared" si="128"/>
        <v>1.44779578298182E-2</v>
      </c>
      <c r="L207" s="280">
        <f t="shared" ref="L207:M207" si="129">ABS(L137 + L172)*(1-L81)*PowerFactor*$H22</f>
        <v>1.3791417584554412E-2</v>
      </c>
      <c r="M207" s="280">
        <f t="shared" si="129"/>
        <v>1.3791417584554412E-2</v>
      </c>
      <c r="N207" s="280">
        <f t="shared" ref="N207:P207" si="130">ABS(N137 + N172)*(1-N81)*PowerFactor*$H22</f>
        <v>1.1325782518097748E-2</v>
      </c>
      <c r="O207" s="280">
        <f t="shared" si="130"/>
        <v>9.0574915200311787E-3</v>
      </c>
      <c r="P207" s="280">
        <f t="shared" si="130"/>
        <v>8.4022105025260193E-3</v>
      </c>
      <c r="Q207" s="280">
        <f t="shared" ref="Q207:S207" si="131">ABS(Q137 + Q172)*(1-Q81)*PowerFactor*$H22</f>
        <v>1.5207144759853363E-2</v>
      </c>
      <c r="R207" s="280">
        <f t="shared" si="131"/>
        <v>7.4728696753443733E-3</v>
      </c>
      <c r="S207" s="280">
        <f t="shared" si="131"/>
        <v>7.0524359912505878E-3</v>
      </c>
      <c r="T207" s="280">
        <f t="shared" ref="T207:U207" si="132">ABS(T137 + T172)*(1-T81)*PowerFactor*$H22</f>
        <v>7.4728696753443733E-3</v>
      </c>
      <c r="U207" s="280">
        <f t="shared" si="132"/>
        <v>7.4728696753443733E-3</v>
      </c>
      <c r="V207" s="280">
        <f t="shared" ref="V207:W207" si="133">ABS(V137 + V172)*(1-V81)*PowerFactor*$H22</f>
        <v>7.0524359912505878E-3</v>
      </c>
      <c r="W207" s="280">
        <f t="shared" si="133"/>
        <v>7.0524359912505878E-3</v>
      </c>
      <c r="X207" s="280">
        <f t="shared" ref="X207:Y207" si="134">ABS(X137 + X172)*(1-X81)*PowerFactor*$H22</f>
        <v>6.9439369760005785E-3</v>
      </c>
      <c r="Y207" s="280">
        <f t="shared" si="134"/>
        <v>6.9439369760005785E-3</v>
      </c>
      <c r="Z207" s="267"/>
      <c r="AA207" s="267"/>
    </row>
    <row r="208" spans="4:27" x14ac:dyDescent="0.25">
      <c r="F208" t="s">
        <v>189</v>
      </c>
      <c r="G208" t="s">
        <v>270</v>
      </c>
      <c r="H208" s="267"/>
      <c r="I208" s="267"/>
      <c r="J208" s="281">
        <f t="shared" ref="J208:K208" si="135">ABS(J138 + J173)*(1-J81)*PowerFactor*$H22</f>
        <v>0</v>
      </c>
      <c r="K208" s="281">
        <f t="shared" si="135"/>
        <v>0</v>
      </c>
      <c r="L208" s="281">
        <f t="shared" ref="L208:M208" si="136">ABS(L138 + L173)*(1-L81)*PowerFactor*$H22</f>
        <v>0</v>
      </c>
      <c r="M208" s="281">
        <f t="shared" si="136"/>
        <v>0</v>
      </c>
      <c r="N208" s="281">
        <f t="shared" ref="N208:P208" si="137">ABS(N138 + N173)*(1-N81)*PowerFactor*$H22</f>
        <v>0</v>
      </c>
      <c r="O208" s="281">
        <f t="shared" si="137"/>
        <v>0</v>
      </c>
      <c r="P208" s="281">
        <f t="shared" si="137"/>
        <v>0</v>
      </c>
      <c r="Q208" s="281">
        <f t="shared" ref="Q208:S208" si="138">ABS(Q138 + Q173)*(1-Q81)*PowerFactor*$H22</f>
        <v>0</v>
      </c>
      <c r="R208" s="281">
        <f t="shared" si="138"/>
        <v>0</v>
      </c>
      <c r="S208" s="281">
        <f t="shared" si="138"/>
        <v>0</v>
      </c>
      <c r="T208" s="281">
        <f t="shared" ref="T208:U208" si="139">ABS(T138 + T173)*(1-T81)*PowerFactor*$H22</f>
        <v>0</v>
      </c>
      <c r="U208" s="281">
        <f t="shared" si="139"/>
        <v>0</v>
      </c>
      <c r="V208" s="281">
        <f t="shared" ref="V208:W208" si="140">ABS(V138 + V173)*(1-V81)*PowerFactor*$H22</f>
        <v>0</v>
      </c>
      <c r="W208" s="281">
        <f t="shared" si="140"/>
        <v>0</v>
      </c>
      <c r="X208" s="281">
        <f t="shared" ref="X208:Y208" si="141">ABS(X138 + X173)*(1-X81)*PowerFactor*$H22</f>
        <v>0</v>
      </c>
      <c r="Y208" s="281">
        <f t="shared" si="141"/>
        <v>0</v>
      </c>
      <c r="Z208" s="267"/>
      <c r="AA208" s="267"/>
    </row>
    <row r="209" spans="3:27" x14ac:dyDescent="0.25">
      <c r="F209" t="s">
        <v>190</v>
      </c>
      <c r="G209" t="s">
        <v>270</v>
      </c>
      <c r="H209" s="267"/>
      <c r="I209" s="267"/>
      <c r="J209" s="281">
        <f t="shared" ref="J209:K209" si="142">ABS(J139 + J174)*(1-J82)*PowerFactor*$H23</f>
        <v>6.1959469720201674E-3</v>
      </c>
      <c r="K209" s="281">
        <f t="shared" si="142"/>
        <v>6.1959469720201674E-3</v>
      </c>
      <c r="L209" s="281">
        <f t="shared" ref="L209:M209" si="143">ABS(L139 + L174)*(1-L82)*PowerFactor*$H23</f>
        <v>5.9021370988451482E-3</v>
      </c>
      <c r="M209" s="281">
        <f t="shared" si="143"/>
        <v>5.9021370988451482E-3</v>
      </c>
      <c r="N209" s="281">
        <f t="shared" ref="N209:P209" si="144">ABS(N139 + N174)*(1-N82)*PowerFactor*$H23</f>
        <v>4.8469507042104617E-3</v>
      </c>
      <c r="O209" s="281">
        <f t="shared" si="144"/>
        <v>3.8762191337547371E-3</v>
      </c>
      <c r="P209" s="281">
        <f t="shared" si="144"/>
        <v>3.5957868736281478E-3</v>
      </c>
      <c r="Q209" s="281">
        <f t="shared" ref="Q209:S209" si="145">ABS(Q139 + Q174)*(1-Q82)*PowerFactor*$H23</f>
        <v>6.5080078029947494E-3</v>
      </c>
      <c r="R209" s="281">
        <f t="shared" si="145"/>
        <v>3.1980687318960582E-3</v>
      </c>
      <c r="S209" s="281">
        <f t="shared" si="145"/>
        <v>3.0181410899926498E-3</v>
      </c>
      <c r="T209" s="281">
        <f t="shared" ref="T209:U209" si="146">ABS(T139 + T174)*(1-T82)*PowerFactor*$H23</f>
        <v>3.1980687318960582E-3</v>
      </c>
      <c r="U209" s="281">
        <f t="shared" si="146"/>
        <v>3.1980687318960582E-3</v>
      </c>
      <c r="V209" s="281">
        <f t="shared" ref="V209:W209" si="147">ABS(V139 + V174)*(1-V82)*PowerFactor*$H23</f>
        <v>3.0181410899926498E-3</v>
      </c>
      <c r="W209" s="281">
        <f t="shared" si="147"/>
        <v>3.0181410899926498E-3</v>
      </c>
      <c r="X209" s="281">
        <f t="shared" ref="X209:Y209" si="148">ABS(X139 + X174)*(1-X82)*PowerFactor*$H23</f>
        <v>2.9717081501466095E-3</v>
      </c>
      <c r="Y209" s="281">
        <f t="shared" si="148"/>
        <v>2.9717081501466095E-3</v>
      </c>
      <c r="Z209" s="267"/>
      <c r="AA209" s="267"/>
    </row>
    <row r="210" spans="3:27" x14ac:dyDescent="0.25">
      <c r="F210" t="s">
        <v>191</v>
      </c>
      <c r="G210" t="s">
        <v>270</v>
      </c>
      <c r="H210" s="267"/>
      <c r="I210" s="267"/>
      <c r="J210" s="281">
        <f t="shared" ref="J210:K210" si="149">ABS(J140 + J175)*(1-J83)*PowerFactor*$H24</f>
        <v>4.8491894219030987E-3</v>
      </c>
      <c r="K210" s="281">
        <f t="shared" si="149"/>
        <v>4.8491894219030987E-3</v>
      </c>
      <c r="L210" s="281">
        <f t="shared" ref="L210:M210" si="150">ABS(L140 + L175)*(1-L83)*PowerFactor*$H24</f>
        <v>4.6192423717613101E-3</v>
      </c>
      <c r="M210" s="281">
        <f t="shared" si="150"/>
        <v>4.6192423717613101E-3</v>
      </c>
      <c r="N210" s="281">
        <f t="shared" ref="N210:P210" si="151">ABS(N140 + N175)*(1-N83)*PowerFactor*$H24</f>
        <v>3.7934124016041765E-3</v>
      </c>
      <c r="O210" s="281">
        <f t="shared" si="151"/>
        <v>3.0336800662213105E-3</v>
      </c>
      <c r="P210" s="281">
        <f t="shared" si="151"/>
        <v>2.8142028570865038E-3</v>
      </c>
      <c r="Q210" s="281">
        <f t="shared" ref="Q210:S210" si="152">ABS(Q140 + Q175)*(1-Q83)*PowerFactor*$H24</f>
        <v>5.0934203824626037E-3</v>
      </c>
      <c r="R210" s="281">
        <f t="shared" si="152"/>
        <v>2.5029331489215575E-3</v>
      </c>
      <c r="S210" s="281">
        <f t="shared" si="152"/>
        <v>2.3621147684922141E-3</v>
      </c>
      <c r="T210" s="281">
        <f t="shared" ref="T210:U210" si="153">ABS(T140 + T175)*(1-T83)*PowerFactor*$H24</f>
        <v>2.5029331489215575E-3</v>
      </c>
      <c r="U210" s="281">
        <f t="shared" si="153"/>
        <v>2.5029331489215575E-3</v>
      </c>
      <c r="V210" s="281">
        <f t="shared" ref="V210:W210" si="154">ABS(V140 + V175)*(1-V83)*PowerFactor*$H24</f>
        <v>2.3621147684922141E-3</v>
      </c>
      <c r="W210" s="281">
        <f t="shared" si="154"/>
        <v>2.3621147684922141E-3</v>
      </c>
      <c r="X210" s="281">
        <f t="shared" ref="X210:Y210" si="155">ABS(X140 + X175)*(1-X83)*PowerFactor*$H24</f>
        <v>2.3257745412846409E-3</v>
      </c>
      <c r="Y210" s="281">
        <f t="shared" si="155"/>
        <v>2.3257745412846409E-3</v>
      </c>
      <c r="Z210" s="267"/>
      <c r="AA210" s="267"/>
    </row>
    <row r="211" spans="3:27" x14ac:dyDescent="0.25">
      <c r="F211" t="s">
        <v>192</v>
      </c>
      <c r="G211" t="s">
        <v>270</v>
      </c>
      <c r="H211" s="267"/>
      <c r="I211" s="267"/>
      <c r="J211" s="281">
        <f t="shared" ref="J211:K211" si="156">ABS(J141 + J176)*(1-J84)*PowerFactor*$H25</f>
        <v>1.5375478600019782E-2</v>
      </c>
      <c r="K211" s="281">
        <f t="shared" si="156"/>
        <v>1.5375478600019782E-2</v>
      </c>
      <c r="L211" s="281">
        <f t="shared" ref="L211:M211" si="157">ABS(L141 + L176)*(1-L84)*PowerFactor*$H25</f>
        <v>1.4646378199729542E-2</v>
      </c>
      <c r="M211" s="281">
        <f t="shared" si="157"/>
        <v>1.4646378199729542E-2</v>
      </c>
      <c r="N211" s="281">
        <f t="shared" ref="N211:P211" si="158">ABS(N141 + N176)*(1-N84)*PowerFactor*$H25</f>
        <v>1.2027892937831327E-2</v>
      </c>
      <c r="O211" s="281">
        <f t="shared" si="158"/>
        <v>9.6189855415436589E-3</v>
      </c>
      <c r="P211" s="281">
        <f t="shared" si="158"/>
        <v>7.1384657583892144E-3</v>
      </c>
      <c r="Q211" s="281">
        <f t="shared" ref="Q211:S211" si="159">ABS(Q141 + Q176)*(1-Q84)*PowerFactor*$H25</f>
        <v>1.6149869447814543E-2</v>
      </c>
      <c r="R211" s="281">
        <f t="shared" si="159"/>
        <v>7.936129468297878E-3</v>
      </c>
      <c r="S211" s="281">
        <f t="shared" si="159"/>
        <v>7.4896321660887413E-3</v>
      </c>
      <c r="T211" s="281">
        <f t="shared" ref="T211:U211" si="160">ABS(T141 + T176)*(1-T84)*PowerFactor*$H25</f>
        <v>7.936129468297878E-3</v>
      </c>
      <c r="U211" s="281">
        <f t="shared" si="160"/>
        <v>7.936129468297878E-3</v>
      </c>
      <c r="V211" s="281">
        <f t="shared" ref="V211:W211" si="161">ABS(V141 + V176)*(1-V84)*PowerFactor*$H25</f>
        <v>7.4896321660887413E-3</v>
      </c>
      <c r="W211" s="281">
        <f t="shared" si="161"/>
        <v>7.4896321660887413E-3</v>
      </c>
      <c r="X211" s="281">
        <f t="shared" ref="X211:Y211" si="162">ABS(X141 + X176)*(1-X84)*PowerFactor*$H25</f>
        <v>7.3744070558412209E-3</v>
      </c>
      <c r="Y211" s="281">
        <f t="shared" si="162"/>
        <v>7.3744070558412209E-3</v>
      </c>
      <c r="Z211" s="267"/>
      <c r="AA211" s="267"/>
    </row>
    <row r="212" spans="3:27" x14ac:dyDescent="0.25">
      <c r="F212" t="s">
        <v>193</v>
      </c>
      <c r="G212" t="s">
        <v>270</v>
      </c>
      <c r="H212" s="267"/>
      <c r="I212" s="267"/>
      <c r="J212" s="281">
        <f t="shared" ref="J212:K212" si="163">ABS(J142 + J177)*(1-J85)*PowerFactor*$H26</f>
        <v>4.5683303989559497E-3</v>
      </c>
      <c r="K212" s="281">
        <f t="shared" si="163"/>
        <v>4.5683303989559497E-3</v>
      </c>
      <c r="L212" s="281">
        <f t="shared" ref="L212:M212" si="164">ABS(L142 + L177)*(1-L85)*PowerFactor*$H26</f>
        <v>4.3517015960949723E-3</v>
      </c>
      <c r="M212" s="281">
        <f t="shared" si="164"/>
        <v>4.3517015960949723E-3</v>
      </c>
      <c r="N212" s="281">
        <f t="shared" ref="N212:P212" si="165">ABS(N142 + N177)*(1-N85)*PowerFactor*$H26</f>
        <v>3.5737026711618416E-3</v>
      </c>
      <c r="O212" s="281">
        <f t="shared" si="165"/>
        <v>2.8579730881674865E-3</v>
      </c>
      <c r="P212" s="281">
        <f t="shared" si="165"/>
        <v>0</v>
      </c>
      <c r="Q212" s="281">
        <f t="shared" ref="Q212:S212" si="166">ABS(Q142 + Q177)*(1-Q85)*PowerFactor*$H26</f>
        <v>4.7984158059005853E-3</v>
      </c>
      <c r="R212" s="281">
        <f t="shared" si="166"/>
        <v>2.3579663725087985E-3</v>
      </c>
      <c r="S212" s="281">
        <f t="shared" si="166"/>
        <v>2.2253040176126592E-3</v>
      </c>
      <c r="T212" s="281">
        <f t="shared" ref="T212:U212" si="167">ABS(T142 + T177)*(1-T85)*PowerFactor*$H26</f>
        <v>2.3579663725087985E-3</v>
      </c>
      <c r="U212" s="281">
        <f t="shared" si="167"/>
        <v>2.3579663725087985E-3</v>
      </c>
      <c r="V212" s="281">
        <f t="shared" ref="V212:W212" si="168">ABS(V142 + V177)*(1-V85)*PowerFactor*$H26</f>
        <v>2.2253040176126592E-3</v>
      </c>
      <c r="W212" s="281">
        <f t="shared" si="168"/>
        <v>2.2253040176126592E-3</v>
      </c>
      <c r="X212" s="281">
        <f t="shared" ref="X212:Y212" si="169">ABS(X142 + X177)*(1-X85)*PowerFactor*$H26</f>
        <v>2.1910685711878492E-3</v>
      </c>
      <c r="Y212" s="281">
        <f t="shared" si="169"/>
        <v>2.1910685711878492E-3</v>
      </c>
      <c r="Z212" s="267"/>
      <c r="AA212" s="267"/>
    </row>
    <row r="213" spans="3:27" x14ac:dyDescent="0.25">
      <c r="F213" t="s">
        <v>194</v>
      </c>
      <c r="G213" t="s">
        <v>270</v>
      </c>
      <c r="H213" s="267"/>
      <c r="I213" s="267"/>
      <c r="J213" s="281">
        <f t="shared" ref="J213:K213" si="170">ABS(J143 + J178)*(1-J86)*PowerFactor*$H27</f>
        <v>0</v>
      </c>
      <c r="K213" s="281">
        <f t="shared" si="170"/>
        <v>0</v>
      </c>
      <c r="L213" s="281">
        <f t="shared" ref="L213:M213" si="171">ABS(L143 + L178)*(1-L86)*PowerFactor*$H27</f>
        <v>0</v>
      </c>
      <c r="M213" s="281">
        <f t="shared" si="171"/>
        <v>0</v>
      </c>
      <c r="N213" s="281">
        <f t="shared" ref="N213:P213" si="172">ABS(N143 + N178)*(1-N86)*PowerFactor*$H27</f>
        <v>0</v>
      </c>
      <c r="O213" s="281">
        <f t="shared" si="172"/>
        <v>0</v>
      </c>
      <c r="P213" s="281">
        <f t="shared" si="172"/>
        <v>0</v>
      </c>
      <c r="Q213" s="281">
        <f t="shared" ref="Q213:S213" si="173">ABS(Q143 + Q178)*(1-Q86)*PowerFactor*$H27</f>
        <v>0</v>
      </c>
      <c r="R213" s="281">
        <f t="shared" si="173"/>
        <v>0</v>
      </c>
      <c r="S213" s="281">
        <f t="shared" si="173"/>
        <v>0</v>
      </c>
      <c r="T213" s="281">
        <f t="shared" ref="T213:U213" si="174">ABS(T143 + T178)*(1-T86)*PowerFactor*$H27</f>
        <v>0</v>
      </c>
      <c r="U213" s="281">
        <f t="shared" si="174"/>
        <v>0</v>
      </c>
      <c r="V213" s="281">
        <f t="shared" ref="V213:W213" si="175">ABS(V143 + V178)*(1-V86)*PowerFactor*$H27</f>
        <v>0</v>
      </c>
      <c r="W213" s="281">
        <f t="shared" si="175"/>
        <v>0</v>
      </c>
      <c r="X213" s="281">
        <f t="shared" ref="X213:Y213" si="176">ABS(X143 + X178)*(1-X86)*PowerFactor*$H27</f>
        <v>0</v>
      </c>
      <c r="Y213" s="281">
        <f t="shared" si="176"/>
        <v>0</v>
      </c>
      <c r="Z213" s="267"/>
      <c r="AA213" s="267"/>
    </row>
    <row r="214" spans="3:27" x14ac:dyDescent="0.25">
      <c r="F214" t="s">
        <v>195</v>
      </c>
      <c r="G214" t="s">
        <v>270</v>
      </c>
      <c r="H214" s="267"/>
      <c r="I214" s="267"/>
      <c r="J214" s="281">
        <f t="shared" ref="J214:K214" si="177">ABS(J144 + J179)*(1-J87)*PowerFactor*$H28</f>
        <v>2.1143106148915042E-2</v>
      </c>
      <c r="K214" s="281">
        <f t="shared" si="177"/>
        <v>2.1143106148915042E-2</v>
      </c>
      <c r="L214" s="281">
        <f t="shared" ref="L214:M214" si="178">ABS(L144 + L179)*(1-L87)*PowerFactor*$H28</f>
        <v>2.0140506648920736E-2</v>
      </c>
      <c r="M214" s="281">
        <f t="shared" si="178"/>
        <v>2.0140506648920736E-2</v>
      </c>
      <c r="N214" s="281">
        <f t="shared" ref="N214:P214" si="179">ABS(N144 + N179)*(1-N87)*PowerFactor*$H28</f>
        <v>1.3231823151548657E-2</v>
      </c>
      <c r="O214" s="281">
        <f t="shared" si="179"/>
        <v>0</v>
      </c>
      <c r="P214" s="281">
        <f t="shared" si="179"/>
        <v>0</v>
      </c>
      <c r="Q214" s="281">
        <f t="shared" ref="Q214:S214" si="180">ABS(Q144 + Q179)*(1-Q87)*PowerFactor*$H28</f>
        <v>2.2207985384326407E-2</v>
      </c>
      <c r="R214" s="281">
        <f t="shared" si="180"/>
        <v>1.0913119007530524E-2</v>
      </c>
      <c r="S214" s="281">
        <f t="shared" si="180"/>
        <v>1.0299132275709385E-2</v>
      </c>
      <c r="T214" s="281">
        <f t="shared" ref="T214:U214" si="181">ABS(T144 + T179)*(1-T87)*PowerFactor*$H28</f>
        <v>1.0913119007530524E-2</v>
      </c>
      <c r="U214" s="281">
        <f t="shared" si="181"/>
        <v>1.0913119007530524E-2</v>
      </c>
      <c r="V214" s="281">
        <f t="shared" ref="V214:W214" si="182">ABS(V144 + V179)*(1-V87)*PowerFactor*$H28</f>
        <v>1.0299132275709385E-2</v>
      </c>
      <c r="W214" s="281">
        <f t="shared" si="182"/>
        <v>1.0299132275709385E-2</v>
      </c>
      <c r="X214" s="281">
        <f t="shared" ref="X214:Y214" si="183">ABS(X144 + X179)*(1-X87)*PowerFactor*$H28</f>
        <v>1.0140684086852318E-2</v>
      </c>
      <c r="Y214" s="281">
        <f t="shared" si="183"/>
        <v>1.0140684086852318E-2</v>
      </c>
      <c r="Z214" s="267"/>
      <c r="AA214" s="267"/>
    </row>
    <row r="215" spans="3:27" x14ac:dyDescent="0.25">
      <c r="F215" t="s">
        <v>196</v>
      </c>
      <c r="G215" t="s">
        <v>270</v>
      </c>
      <c r="H215" s="267"/>
      <c r="I215" s="267"/>
      <c r="J215" s="281">
        <f t="shared" ref="J215:K215" si="184">ABS(J145 + J180)*(1-J88)*PowerFactor*$H29</f>
        <v>6.4304817926164864E-3</v>
      </c>
      <c r="K215" s="281">
        <f t="shared" si="184"/>
        <v>6.4304817926164864E-3</v>
      </c>
      <c r="L215" s="281">
        <f t="shared" ref="L215:M215" si="185">ABS(L145 + L180)*(1-L88)*PowerFactor*$H29</f>
        <v>6.1255503513896921E-3</v>
      </c>
      <c r="M215" s="281">
        <f t="shared" si="185"/>
        <v>6.1255503513896921E-3</v>
      </c>
      <c r="N215" s="281">
        <f t="shared" ref="N215:P215" si="186">ABS(N145 + N180)*(1-N88)*PowerFactor*$H29</f>
        <v>0</v>
      </c>
      <c r="O215" s="281">
        <f t="shared" si="186"/>
        <v>0</v>
      </c>
      <c r="P215" s="281">
        <f t="shared" si="186"/>
        <v>0</v>
      </c>
      <c r="Q215" s="281">
        <f t="shared" ref="Q215:S215" si="187">ABS(Q145 + Q180)*(1-Q88)*PowerFactor*$H29</f>
        <v>6.7543550440876078E-3</v>
      </c>
      <c r="R215" s="281">
        <f t="shared" si="187"/>
        <v>3.3191250417187661E-3</v>
      </c>
      <c r="S215" s="281">
        <f t="shared" si="187"/>
        <v>3.1323866092445702E-3</v>
      </c>
      <c r="T215" s="281">
        <f t="shared" ref="T215:U215" si="188">ABS(T145 + T180)*(1-T88)*PowerFactor*$H29</f>
        <v>3.3191250417187661E-3</v>
      </c>
      <c r="U215" s="281">
        <f t="shared" si="188"/>
        <v>3.3191250417187661E-3</v>
      </c>
      <c r="V215" s="281">
        <f t="shared" ref="V215:W215" si="189">ABS(V145 + V180)*(1-V88)*PowerFactor*$H29</f>
        <v>3.1323866092445702E-3</v>
      </c>
      <c r="W215" s="281">
        <f t="shared" si="189"/>
        <v>3.1323866092445702E-3</v>
      </c>
      <c r="X215" s="281">
        <f t="shared" ref="X215:Y215" si="190">ABS(X145 + X180)*(1-X88)*PowerFactor*$H29</f>
        <v>0</v>
      </c>
      <c r="Y215" s="281">
        <f t="shared" si="190"/>
        <v>0</v>
      </c>
      <c r="Z215" s="267"/>
      <c r="AA215" s="267"/>
    </row>
    <row r="216" spans="3:27" x14ac:dyDescent="0.25">
      <c r="F216" t="s">
        <v>197</v>
      </c>
      <c r="G216" t="s">
        <v>270</v>
      </c>
      <c r="H216" s="267"/>
      <c r="I216" s="267"/>
      <c r="J216" s="281">
        <f t="shared" ref="J216:K216" si="191">ABS(J146 + J181)*(1-J89)*PowerFactor*$H30</f>
        <v>0</v>
      </c>
      <c r="K216" s="281">
        <f t="shared" si="191"/>
        <v>0</v>
      </c>
      <c r="L216" s="281">
        <f t="shared" ref="L216:M216" si="192">ABS(L146 + L181)*(1-L89)*PowerFactor*$H30</f>
        <v>0</v>
      </c>
      <c r="M216" s="281">
        <f t="shared" si="192"/>
        <v>0</v>
      </c>
      <c r="N216" s="281">
        <f t="shared" ref="N216:P216" si="193">ABS(N146 + N181)*(1-N89)*PowerFactor*$H30</f>
        <v>0</v>
      </c>
      <c r="O216" s="281">
        <f t="shared" si="193"/>
        <v>0</v>
      </c>
      <c r="P216" s="281">
        <f t="shared" si="193"/>
        <v>0</v>
      </c>
      <c r="Q216" s="281">
        <f t="shared" ref="Q216:S216" si="194">ABS(Q146 + Q181)*(1-Q89)*PowerFactor*$H30</f>
        <v>0</v>
      </c>
      <c r="R216" s="281">
        <f t="shared" si="194"/>
        <v>0</v>
      </c>
      <c r="S216" s="281">
        <f t="shared" si="194"/>
        <v>0</v>
      </c>
      <c r="T216" s="281">
        <f t="shared" ref="T216:U216" si="195">ABS(T146 + T181)*(1-T89)*PowerFactor*$H30</f>
        <v>0</v>
      </c>
      <c r="U216" s="281">
        <f t="shared" si="195"/>
        <v>0</v>
      </c>
      <c r="V216" s="281">
        <f t="shared" ref="V216:W216" si="196">ABS(V146 + V181)*(1-V89)*PowerFactor*$H30</f>
        <v>0</v>
      </c>
      <c r="W216" s="281">
        <f t="shared" si="196"/>
        <v>0</v>
      </c>
      <c r="X216" s="281">
        <f t="shared" ref="X216:Y216" si="197">ABS(X146 + X181)*(1-X89)*PowerFactor*$H30</f>
        <v>0</v>
      </c>
      <c r="Y216" s="281">
        <f t="shared" si="197"/>
        <v>0</v>
      </c>
      <c r="Z216" s="267"/>
      <c r="AA216" s="267"/>
    </row>
    <row r="217" spans="3:27" x14ac:dyDescent="0.25">
      <c r="F217" t="s">
        <v>332</v>
      </c>
      <c r="G217" t="s">
        <v>270</v>
      </c>
      <c r="H217" s="267"/>
      <c r="I217" s="267"/>
      <c r="J217" s="293"/>
      <c r="K217" s="293"/>
      <c r="L217" s="293"/>
      <c r="M217" s="293"/>
      <c r="N217" s="293"/>
      <c r="O217" s="293"/>
      <c r="P217" s="293"/>
      <c r="Q217" s="293"/>
      <c r="R217" s="293"/>
      <c r="S217" s="293"/>
      <c r="T217" s="293"/>
      <c r="U217" s="293"/>
      <c r="V217" s="293"/>
      <c r="W217" s="293"/>
      <c r="X217" s="293"/>
      <c r="Y217" s="293"/>
      <c r="Z217" s="267"/>
      <c r="AA217" s="267"/>
    </row>
    <row r="218" spans="3:27" x14ac:dyDescent="0.25">
      <c r="F218" s="96" t="s">
        <v>333</v>
      </c>
      <c r="G218" s="96" t="s">
        <v>270</v>
      </c>
      <c r="H218" s="269"/>
      <c r="I218" s="269"/>
      <c r="J218" s="275"/>
      <c r="K218" s="275"/>
      <c r="L218" s="275"/>
      <c r="M218" s="275"/>
      <c r="N218" s="275"/>
      <c r="O218" s="275"/>
      <c r="P218" s="275"/>
      <c r="Q218" s="275"/>
      <c r="R218" s="275"/>
      <c r="S218" s="275"/>
      <c r="T218" s="275"/>
      <c r="U218" s="275"/>
      <c r="V218" s="275"/>
      <c r="W218" s="275"/>
      <c r="X218" s="275"/>
      <c r="Y218" s="275"/>
      <c r="Z218" s="267"/>
      <c r="AA218" s="267"/>
    </row>
    <row r="219" spans="3:27" x14ac:dyDescent="0.25">
      <c r="J219" s="106"/>
      <c r="K219" s="106"/>
      <c r="L219" s="106"/>
      <c r="M219" s="106"/>
      <c r="N219" s="106"/>
      <c r="O219" s="106"/>
      <c r="P219" s="106"/>
      <c r="Q219" s="106"/>
      <c r="R219" s="106"/>
      <c r="S219" s="106"/>
      <c r="T219" s="106"/>
      <c r="U219" s="106"/>
      <c r="V219" s="106"/>
      <c r="W219" s="106"/>
      <c r="X219" s="106"/>
      <c r="Y219" s="106"/>
    </row>
    <row r="220" spans="3:27" x14ac:dyDescent="0.2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25">
      <c r="D221" s="75"/>
      <c r="E221" s="75"/>
      <c r="J221" s="106"/>
      <c r="K221" s="106"/>
      <c r="L221" s="106"/>
      <c r="M221" s="106"/>
      <c r="N221" s="106"/>
      <c r="O221" s="106"/>
      <c r="P221" s="106"/>
      <c r="Q221" s="106"/>
      <c r="R221" s="106"/>
      <c r="S221" s="106"/>
      <c r="T221" s="106"/>
      <c r="U221" s="106"/>
      <c r="V221" s="106"/>
      <c r="W221" s="106"/>
      <c r="X221" s="106"/>
      <c r="Y221" s="106"/>
    </row>
    <row r="222" spans="3:27" x14ac:dyDescent="0.25">
      <c r="D222"/>
      <c r="E222" s="75" t="s">
        <v>576</v>
      </c>
      <c r="J222" s="106"/>
      <c r="K222" s="106"/>
      <c r="L222" s="106"/>
      <c r="M222" s="106"/>
      <c r="N222" s="106"/>
      <c r="O222" s="106"/>
      <c r="P222" s="106"/>
      <c r="Q222" s="106"/>
      <c r="R222" s="106"/>
      <c r="S222" s="106"/>
      <c r="T222" s="106"/>
      <c r="U222" s="106"/>
      <c r="V222" s="106"/>
      <c r="W222" s="106"/>
      <c r="X222" s="106"/>
      <c r="Y222" s="106"/>
    </row>
    <row r="223" spans="3:27" x14ac:dyDescent="0.25">
      <c r="D223"/>
      <c r="F223" s="95" t="s">
        <v>187</v>
      </c>
      <c r="G223" s="95" t="s">
        <v>270</v>
      </c>
      <c r="H223" s="265"/>
      <c r="I223" s="265"/>
      <c r="J223" s="279"/>
      <c r="K223" s="279"/>
      <c r="L223" s="279"/>
      <c r="M223" s="279"/>
      <c r="N223" s="279"/>
      <c r="O223" s="279"/>
      <c r="P223" s="279"/>
      <c r="Q223" s="279"/>
      <c r="R223" s="279"/>
      <c r="S223" s="279"/>
      <c r="T223" s="279"/>
      <c r="U223" s="279"/>
      <c r="V223" s="279"/>
      <c r="W223" s="279"/>
      <c r="X223" s="279"/>
      <c r="Y223" s="279"/>
      <c r="Z223" s="267"/>
      <c r="AA223" s="267"/>
    </row>
    <row r="224" spans="3:27" x14ac:dyDescent="0.25">
      <c r="D224"/>
      <c r="F224" t="s">
        <v>189</v>
      </c>
      <c r="G224" t="s">
        <v>270</v>
      </c>
      <c r="H224" s="267"/>
      <c r="I224" s="267"/>
      <c r="J224" s="293"/>
      <c r="K224" s="293"/>
      <c r="L224" s="293"/>
      <c r="M224" s="293"/>
      <c r="N224" s="293"/>
      <c r="O224" s="293"/>
      <c r="P224" s="293"/>
      <c r="Q224" s="293"/>
      <c r="R224" s="293"/>
      <c r="S224" s="293"/>
      <c r="T224" s="293"/>
      <c r="U224" s="293"/>
      <c r="V224" s="293"/>
      <c r="W224" s="293"/>
      <c r="X224" s="293"/>
      <c r="Y224" s="293"/>
      <c r="Z224" s="267"/>
      <c r="AA224" s="267"/>
    </row>
    <row r="225" spans="4:27" x14ac:dyDescent="0.25">
      <c r="D225"/>
      <c r="F225" t="s">
        <v>190</v>
      </c>
      <c r="G225" t="s">
        <v>270</v>
      </c>
      <c r="H225" s="267"/>
      <c r="I225" s="267"/>
      <c r="J225" s="281">
        <f t="shared" ref="J225:K225" si="198">J$78 * J195</f>
        <v>0</v>
      </c>
      <c r="K225" s="281">
        <f t="shared" si="198"/>
        <v>0</v>
      </c>
      <c r="L225" s="281">
        <f t="shared" ref="L225:M225" si="199">L$78 * L195</f>
        <v>0</v>
      </c>
      <c r="M225" s="281">
        <f t="shared" si="199"/>
        <v>0</v>
      </c>
      <c r="N225" s="281">
        <f t="shared" ref="N225:P225" si="200">N$78 * N195</f>
        <v>1.4722816772129829E-2</v>
      </c>
      <c r="O225" s="281">
        <f t="shared" si="200"/>
        <v>1.1774178768791704E-2</v>
      </c>
      <c r="P225" s="281">
        <f t="shared" si="200"/>
        <v>1.0922353975267094E-2</v>
      </c>
      <c r="Q225" s="281">
        <f t="shared" ref="Q225:S225" si="201">Q$78 * Q195</f>
        <v>0</v>
      </c>
      <c r="R225" s="281">
        <f t="shared" si="201"/>
        <v>0</v>
      </c>
      <c r="S225" s="281">
        <f t="shared" si="201"/>
        <v>0</v>
      </c>
      <c r="T225" s="281">
        <f t="shared" ref="T225:U225" si="202">T$78 * T195</f>
        <v>9.7142683798045869E-3</v>
      </c>
      <c r="U225" s="281">
        <f t="shared" si="202"/>
        <v>0</v>
      </c>
      <c r="V225" s="281">
        <f t="shared" ref="V225:W225" si="203">V$78 * V195</f>
        <v>9.1677305943709351E-3</v>
      </c>
      <c r="W225" s="281">
        <f t="shared" si="203"/>
        <v>0</v>
      </c>
      <c r="X225" s="281">
        <f t="shared" ref="X225:Y225" si="204">X$78 * X195</f>
        <v>9.0266885852267661E-3</v>
      </c>
      <c r="Y225" s="281">
        <f t="shared" si="204"/>
        <v>0</v>
      </c>
      <c r="Z225" s="267"/>
      <c r="AA225" s="267"/>
    </row>
    <row r="226" spans="4:27" x14ac:dyDescent="0.25">
      <c r="D226"/>
      <c r="F226" t="s">
        <v>191</v>
      </c>
      <c r="G226" t="s">
        <v>270</v>
      </c>
      <c r="H226" s="267"/>
      <c r="I226" s="267"/>
      <c r="J226" s="281">
        <f t="shared" ref="J226:K226" si="205">J$78 * J196</f>
        <v>0</v>
      </c>
      <c r="K226" s="281">
        <f t="shared" si="205"/>
        <v>0</v>
      </c>
      <c r="L226" s="281">
        <f t="shared" ref="L226:M226" si="206">L$78 * L196</f>
        <v>0</v>
      </c>
      <c r="M226" s="281">
        <f t="shared" si="206"/>
        <v>0</v>
      </c>
      <c r="N226" s="281">
        <f t="shared" ref="N226:P226" si="207">N$78 * N196</f>
        <v>1.1522649834550126E-2</v>
      </c>
      <c r="O226" s="281">
        <f t="shared" si="207"/>
        <v>9.2149308887007949E-3</v>
      </c>
      <c r="P226" s="281">
        <f t="shared" si="207"/>
        <v>8.5482596281610118E-3</v>
      </c>
      <c r="Q226" s="281">
        <f t="shared" ref="Q226:S226" si="208">Q$78 * Q196</f>
        <v>0</v>
      </c>
      <c r="R226" s="281">
        <f t="shared" si="208"/>
        <v>0</v>
      </c>
      <c r="S226" s="281">
        <f t="shared" si="208"/>
        <v>0</v>
      </c>
      <c r="T226" s="281">
        <f t="shared" ref="T226:U226" si="209">T$78 * T196</f>
        <v>7.6027647882721183E-3</v>
      </c>
      <c r="U226" s="281">
        <f t="shared" si="209"/>
        <v>0</v>
      </c>
      <c r="V226" s="281">
        <f t="shared" ref="V226:W226" si="210">V$78 * V196</f>
        <v>7.1750230306742305E-3</v>
      </c>
      <c r="W226" s="281">
        <f t="shared" si="210"/>
        <v>0</v>
      </c>
      <c r="X226" s="281">
        <f t="shared" ref="X226:Y226" si="211">X$78 * X196</f>
        <v>7.0646380609715505E-3</v>
      </c>
      <c r="Y226" s="281">
        <f t="shared" si="211"/>
        <v>0</v>
      </c>
      <c r="Z226" s="267"/>
      <c r="AA226" s="267"/>
    </row>
    <row r="227" spans="4:27" x14ac:dyDescent="0.25">
      <c r="D227"/>
      <c r="F227" t="s">
        <v>192</v>
      </c>
      <c r="G227" t="s">
        <v>270</v>
      </c>
      <c r="H227" s="267"/>
      <c r="I227" s="267"/>
      <c r="J227" s="281">
        <f t="shared" ref="J227:K227" si="212">J$78 * J197</f>
        <v>0</v>
      </c>
      <c r="K227" s="281">
        <f t="shared" si="212"/>
        <v>0</v>
      </c>
      <c r="L227" s="281">
        <f t="shared" ref="L227:M227" si="213">L$78 * L197</f>
        <v>0</v>
      </c>
      <c r="M227" s="281">
        <f t="shared" si="213"/>
        <v>0</v>
      </c>
      <c r="N227" s="281">
        <f t="shared" ref="N227:P227" si="214">N$78 * N197</f>
        <v>3.6535231052516139E-2</v>
      </c>
      <c r="O227" s="281">
        <f t="shared" si="214"/>
        <v>2.9218073445412128E-2</v>
      </c>
      <c r="P227" s="281">
        <f t="shared" si="214"/>
        <v>2.1683390199035889E-2</v>
      </c>
      <c r="Q227" s="281">
        <f t="shared" ref="Q227:S227" si="215">Q$78 * Q197</f>
        <v>0</v>
      </c>
      <c r="R227" s="281">
        <f t="shared" si="215"/>
        <v>0</v>
      </c>
      <c r="S227" s="281">
        <f t="shared" si="215"/>
        <v>0</v>
      </c>
      <c r="T227" s="281">
        <f t="shared" ref="T227:U227" si="216">T$78 * T197</f>
        <v>2.410632729153837E-2</v>
      </c>
      <c r="U227" s="281">
        <f t="shared" si="216"/>
        <v>0</v>
      </c>
      <c r="V227" s="281">
        <f t="shared" ref="V227:W227" si="217">V$78 * V197</f>
        <v>2.2750072943012619E-2</v>
      </c>
      <c r="W227" s="281">
        <f t="shared" si="217"/>
        <v>0</v>
      </c>
      <c r="X227" s="281">
        <f t="shared" ref="X227:Y227" si="218">X$78 * X197</f>
        <v>2.2400071820812422E-2</v>
      </c>
      <c r="Y227" s="281">
        <f t="shared" si="218"/>
        <v>0</v>
      </c>
      <c r="Z227" s="267"/>
      <c r="AA227" s="267"/>
    </row>
    <row r="228" spans="4:27" x14ac:dyDescent="0.25">
      <c r="D228"/>
      <c r="F228" t="s">
        <v>193</v>
      </c>
      <c r="G228" t="s">
        <v>270</v>
      </c>
      <c r="H228" s="267"/>
      <c r="I228" s="267"/>
      <c r="J228" s="281">
        <f t="shared" ref="J228:K228" si="219">J$78 * J198</f>
        <v>0</v>
      </c>
      <c r="K228" s="281">
        <f t="shared" si="219"/>
        <v>0</v>
      </c>
      <c r="L228" s="281">
        <f t="shared" ref="L228:M228" si="220">L$78 * L198</f>
        <v>0</v>
      </c>
      <c r="M228" s="281">
        <f t="shared" si="220"/>
        <v>0</v>
      </c>
      <c r="N228" s="281">
        <f t="shared" ref="N228:P228" si="221">N$78 * N198</f>
        <v>1.0855272280751904E-2</v>
      </c>
      <c r="O228" s="281">
        <f t="shared" si="221"/>
        <v>8.6812135473579386E-3</v>
      </c>
      <c r="P228" s="281">
        <f t="shared" si="221"/>
        <v>0</v>
      </c>
      <c r="Q228" s="281">
        <f t="shared" ref="Q228:S228" si="222">Q$78 * Q198</f>
        <v>0</v>
      </c>
      <c r="R228" s="281">
        <f t="shared" si="222"/>
        <v>0</v>
      </c>
      <c r="S228" s="281">
        <f t="shared" si="222"/>
        <v>0</v>
      </c>
      <c r="T228" s="281">
        <f t="shared" ref="T228:U228" si="223">T$78 * T198</f>
        <v>7.1624221032686747E-3</v>
      </c>
      <c r="U228" s="281">
        <f t="shared" si="223"/>
        <v>0</v>
      </c>
      <c r="V228" s="281">
        <f t="shared" ref="V228:W228" si="224">V$78 * V198</f>
        <v>6.7594546165149006E-3</v>
      </c>
      <c r="W228" s="281">
        <f t="shared" si="224"/>
        <v>0</v>
      </c>
      <c r="X228" s="281">
        <f t="shared" ref="X228:Y228" si="225">X$78 * X198</f>
        <v>6.6554630070300574E-3</v>
      </c>
      <c r="Y228" s="281">
        <f t="shared" si="225"/>
        <v>0</v>
      </c>
      <c r="Z228" s="267"/>
      <c r="AA228" s="267"/>
    </row>
    <row r="229" spans="4:27" x14ac:dyDescent="0.25">
      <c r="D229"/>
      <c r="F229" t="s">
        <v>194</v>
      </c>
      <c r="G229" t="s">
        <v>270</v>
      </c>
      <c r="H229" s="267"/>
      <c r="I229" s="267"/>
      <c r="J229" s="281">
        <f t="shared" ref="J229:K229" si="226">J$78 * J199</f>
        <v>0</v>
      </c>
      <c r="K229" s="281">
        <f t="shared" si="226"/>
        <v>0</v>
      </c>
      <c r="L229" s="281">
        <f t="shared" ref="L229:M229" si="227">L$78 * L199</f>
        <v>0</v>
      </c>
      <c r="M229" s="281">
        <f t="shared" si="227"/>
        <v>0</v>
      </c>
      <c r="N229" s="281">
        <f t="shared" ref="N229:P229" si="228">N$78 * N199</f>
        <v>0</v>
      </c>
      <c r="O229" s="281">
        <f t="shared" si="228"/>
        <v>0</v>
      </c>
      <c r="P229" s="281">
        <f t="shared" si="228"/>
        <v>0</v>
      </c>
      <c r="Q229" s="281">
        <f t="shared" ref="Q229:S229" si="229">Q$78 * Q199</f>
        <v>0</v>
      </c>
      <c r="R229" s="281">
        <f t="shared" si="229"/>
        <v>0</v>
      </c>
      <c r="S229" s="281">
        <f t="shared" si="229"/>
        <v>0</v>
      </c>
      <c r="T229" s="281">
        <f t="shared" ref="T229:U229" si="230">T$78 * T199</f>
        <v>0</v>
      </c>
      <c r="U229" s="281">
        <f t="shared" si="230"/>
        <v>0</v>
      </c>
      <c r="V229" s="281">
        <f t="shared" ref="V229:W229" si="231">V$78 * V199</f>
        <v>0</v>
      </c>
      <c r="W229" s="281">
        <f t="shared" si="231"/>
        <v>0</v>
      </c>
      <c r="X229" s="281">
        <f t="shared" ref="X229:Y229" si="232">X$78 * X199</f>
        <v>0</v>
      </c>
      <c r="Y229" s="281">
        <f t="shared" si="232"/>
        <v>0</v>
      </c>
      <c r="Z229" s="267"/>
      <c r="AA229" s="267"/>
    </row>
    <row r="230" spans="4:27" x14ac:dyDescent="0.25">
      <c r="D230"/>
      <c r="F230" t="s">
        <v>195</v>
      </c>
      <c r="G230" t="s">
        <v>270</v>
      </c>
      <c r="H230" s="267"/>
      <c r="I230" s="267"/>
      <c r="J230" s="281">
        <f t="shared" ref="J230:K230" si="233">J$78 * J200</f>
        <v>0</v>
      </c>
      <c r="K230" s="281">
        <f t="shared" si="233"/>
        <v>0</v>
      </c>
      <c r="L230" s="281">
        <f t="shared" ref="L230:M230" si="234">L$78 * L200</f>
        <v>0</v>
      </c>
      <c r="M230" s="281">
        <f t="shared" si="234"/>
        <v>0</v>
      </c>
      <c r="N230" s="281">
        <f t="shared" ref="N230:P230" si="235">N$78 * N200</f>
        <v>4.0192219750089166E-2</v>
      </c>
      <c r="O230" s="281">
        <f t="shared" si="235"/>
        <v>0</v>
      </c>
      <c r="P230" s="281">
        <f t="shared" si="235"/>
        <v>0</v>
      </c>
      <c r="Q230" s="281">
        <f t="shared" ref="Q230:S230" si="236">Q$78 * Q200</f>
        <v>0</v>
      </c>
      <c r="R230" s="281">
        <f t="shared" si="236"/>
        <v>0</v>
      </c>
      <c r="S230" s="281">
        <f t="shared" si="236"/>
        <v>0</v>
      </c>
      <c r="T230" s="281">
        <f t="shared" ref="T230:U230" si="237">T$78 * T200</f>
        <v>3.3149058318407566E-2</v>
      </c>
      <c r="U230" s="281">
        <f t="shared" si="237"/>
        <v>0</v>
      </c>
      <c r="V230" s="281">
        <f t="shared" ref="V230:W230" si="238">V$78 * V200</f>
        <v>3.1284047777807501E-2</v>
      </c>
      <c r="W230" s="281">
        <f t="shared" si="238"/>
        <v>0</v>
      </c>
      <c r="X230" s="281">
        <f t="shared" ref="X230:Y230" si="239">X$78 * X200</f>
        <v>3.0802754735072005E-2</v>
      </c>
      <c r="Y230" s="281">
        <f t="shared" si="239"/>
        <v>0</v>
      </c>
      <c r="Z230" s="267"/>
      <c r="AA230" s="267"/>
    </row>
    <row r="231" spans="4:27" x14ac:dyDescent="0.25">
      <c r="D231"/>
      <c r="F231" t="s">
        <v>196</v>
      </c>
      <c r="G231" t="s">
        <v>270</v>
      </c>
      <c r="H231" s="267"/>
      <c r="I231" s="267"/>
      <c r="J231" s="281">
        <f t="shared" ref="J231:K231" si="240">J$78 * J201</f>
        <v>0</v>
      </c>
      <c r="K231" s="281">
        <f t="shared" si="240"/>
        <v>0</v>
      </c>
      <c r="L231" s="281">
        <f t="shared" ref="L231:M231" si="241">L$78 * L201</f>
        <v>0</v>
      </c>
      <c r="M231" s="281">
        <f t="shared" si="241"/>
        <v>0</v>
      </c>
      <c r="N231" s="281">
        <f t="shared" ref="N231:P231" si="242">N$78 * N201</f>
        <v>0</v>
      </c>
      <c r="O231" s="281">
        <f t="shared" si="242"/>
        <v>0</v>
      </c>
      <c r="P231" s="281">
        <f t="shared" si="242"/>
        <v>0</v>
      </c>
      <c r="Q231" s="281">
        <f t="shared" ref="Q231:S231" si="243">Q$78 * Q201</f>
        <v>0</v>
      </c>
      <c r="R231" s="281">
        <f t="shared" si="243"/>
        <v>0</v>
      </c>
      <c r="S231" s="281">
        <f t="shared" si="243"/>
        <v>0</v>
      </c>
      <c r="T231" s="281">
        <f t="shared" ref="T231:U231" si="244">T$78 * T201</f>
        <v>1.0081982016149529E-2</v>
      </c>
      <c r="U231" s="281">
        <f t="shared" si="244"/>
        <v>0</v>
      </c>
      <c r="V231" s="281">
        <f t="shared" ref="V231:W231" si="245">V$78 * V201</f>
        <v>9.5147561676910269E-3</v>
      </c>
      <c r="W231" s="281">
        <f t="shared" si="245"/>
        <v>0</v>
      </c>
      <c r="X231" s="281">
        <f t="shared" ref="X231:Y231" si="246">X$78 * X201</f>
        <v>0</v>
      </c>
      <c r="Y231" s="281">
        <f t="shared" si="246"/>
        <v>0</v>
      </c>
      <c r="Z231" s="267"/>
      <c r="AA231" s="267"/>
    </row>
    <row r="232" spans="4:27" x14ac:dyDescent="0.25">
      <c r="D232"/>
      <c r="F232" t="s">
        <v>197</v>
      </c>
      <c r="G232" t="s">
        <v>270</v>
      </c>
      <c r="H232" s="267"/>
      <c r="I232" s="267"/>
      <c r="J232" s="281">
        <f t="shared" ref="J232:K232" si="247">J$78 * J202</f>
        <v>0</v>
      </c>
      <c r="K232" s="281">
        <f t="shared" si="247"/>
        <v>0</v>
      </c>
      <c r="L232" s="281">
        <f t="shared" ref="L232:M232" si="248">L$78 * L202</f>
        <v>0</v>
      </c>
      <c r="M232" s="281">
        <f t="shared" si="248"/>
        <v>0</v>
      </c>
      <c r="N232" s="281">
        <f t="shared" ref="N232:P232" si="249">N$78 * N202</f>
        <v>0</v>
      </c>
      <c r="O232" s="281">
        <f t="shared" si="249"/>
        <v>0</v>
      </c>
      <c r="P232" s="281">
        <f t="shared" si="249"/>
        <v>0</v>
      </c>
      <c r="Q232" s="281">
        <f t="shared" ref="Q232:S232" si="250">Q$78 * Q202</f>
        <v>0</v>
      </c>
      <c r="R232" s="281">
        <f t="shared" si="250"/>
        <v>0</v>
      </c>
      <c r="S232" s="281">
        <f t="shared" si="250"/>
        <v>0</v>
      </c>
      <c r="T232" s="281">
        <f t="shared" ref="T232:U232" si="251">T$78 * T202</f>
        <v>0</v>
      </c>
      <c r="U232" s="281">
        <f t="shared" si="251"/>
        <v>0</v>
      </c>
      <c r="V232" s="281">
        <f t="shared" ref="V232:W232" si="252">V$78 * V202</f>
        <v>0</v>
      </c>
      <c r="W232" s="281">
        <f t="shared" si="252"/>
        <v>0</v>
      </c>
      <c r="X232" s="281">
        <f t="shared" ref="X232:Y232" si="253">X$78 * X202</f>
        <v>0</v>
      </c>
      <c r="Y232" s="281">
        <f t="shared" si="253"/>
        <v>0</v>
      </c>
      <c r="Z232" s="267"/>
      <c r="AA232" s="267"/>
    </row>
    <row r="233" spans="4:27" x14ac:dyDescent="0.25">
      <c r="D233"/>
      <c r="F233" t="s">
        <v>332</v>
      </c>
      <c r="G233" t="s">
        <v>270</v>
      </c>
      <c r="H233" s="267"/>
      <c r="I233" s="267"/>
      <c r="J233" s="293"/>
      <c r="K233" s="293"/>
      <c r="L233" s="293"/>
      <c r="M233" s="293"/>
      <c r="N233" s="293"/>
      <c r="O233" s="293"/>
      <c r="P233" s="293"/>
      <c r="Q233" s="293"/>
      <c r="R233" s="293"/>
      <c r="S233" s="293"/>
      <c r="T233" s="293"/>
      <c r="U233" s="293"/>
      <c r="V233" s="293"/>
      <c r="W233" s="293"/>
      <c r="X233" s="293"/>
      <c r="Y233" s="293"/>
      <c r="Z233" s="267"/>
      <c r="AA233" s="267"/>
    </row>
    <row r="234" spans="4:27" x14ac:dyDescent="0.25">
      <c r="D234"/>
      <c r="F234" s="96" t="s">
        <v>333</v>
      </c>
      <c r="G234" s="96" t="s">
        <v>270</v>
      </c>
      <c r="H234" s="269"/>
      <c r="I234" s="269"/>
      <c r="J234" s="275"/>
      <c r="K234" s="275"/>
      <c r="L234" s="275"/>
      <c r="M234" s="275"/>
      <c r="N234" s="275"/>
      <c r="O234" s="275"/>
      <c r="P234" s="275"/>
      <c r="Q234" s="275"/>
      <c r="R234" s="275"/>
      <c r="S234" s="275"/>
      <c r="T234" s="275"/>
      <c r="U234" s="275"/>
      <c r="V234" s="275"/>
      <c r="W234" s="275"/>
      <c r="X234" s="275"/>
      <c r="Y234" s="275"/>
      <c r="Z234" s="267"/>
      <c r="AA234" s="267"/>
    </row>
    <row r="235" spans="4:27" x14ac:dyDescent="0.25">
      <c r="D235"/>
      <c r="J235" s="106"/>
      <c r="K235" s="106"/>
      <c r="L235" s="106"/>
      <c r="M235" s="106"/>
      <c r="N235" s="106"/>
      <c r="O235" s="106"/>
      <c r="P235" s="106"/>
      <c r="Q235" s="106"/>
      <c r="R235" s="106"/>
      <c r="S235" s="106"/>
      <c r="T235" s="106"/>
      <c r="U235" s="106"/>
      <c r="V235" s="106"/>
      <c r="W235" s="106"/>
      <c r="X235" s="106"/>
      <c r="Y235" s="106"/>
    </row>
    <row r="236" spans="4:27" x14ac:dyDescent="0.25">
      <c r="D236"/>
      <c r="E236" s="75" t="s">
        <v>577</v>
      </c>
      <c r="J236" s="106"/>
      <c r="K236" s="106"/>
      <c r="L236" s="106"/>
      <c r="M236" s="106"/>
      <c r="N236" s="106"/>
      <c r="O236" s="106"/>
      <c r="P236" s="106"/>
      <c r="Q236" s="106"/>
      <c r="R236" s="106"/>
      <c r="S236" s="106"/>
      <c r="T236" s="106"/>
      <c r="U236" s="106"/>
      <c r="V236" s="106"/>
      <c r="W236" s="106"/>
      <c r="X236" s="106"/>
      <c r="Y236" s="106"/>
    </row>
    <row r="237" spans="4:27" x14ac:dyDescent="0.25">
      <c r="D237"/>
      <c r="F237" s="95" t="s">
        <v>187</v>
      </c>
      <c r="G237" s="95" t="s">
        <v>270</v>
      </c>
      <c r="H237" s="265"/>
      <c r="I237" s="265"/>
      <c r="J237" s="282">
        <f t="shared" ref="J237:K237" si="254">J$78 * J207</f>
        <v>0</v>
      </c>
      <c r="K237" s="282">
        <f t="shared" si="254"/>
        <v>0</v>
      </c>
      <c r="L237" s="282">
        <f t="shared" ref="L237:M237" si="255">L$78 * L207</f>
        <v>0</v>
      </c>
      <c r="M237" s="282">
        <f t="shared" si="255"/>
        <v>0</v>
      </c>
      <c r="N237" s="282">
        <f t="shared" ref="N237:P237" si="256">N$78 * N207</f>
        <v>1.1325782518097748E-2</v>
      </c>
      <c r="O237" s="282">
        <f t="shared" si="256"/>
        <v>9.0574915200311787E-3</v>
      </c>
      <c r="P237" s="282">
        <f t="shared" si="256"/>
        <v>8.4022105025260193E-3</v>
      </c>
      <c r="Q237" s="282">
        <f t="shared" ref="Q237:S237" si="257">Q$78 * Q207</f>
        <v>0</v>
      </c>
      <c r="R237" s="282">
        <f t="shared" si="257"/>
        <v>0</v>
      </c>
      <c r="S237" s="282">
        <f t="shared" si="257"/>
        <v>0</v>
      </c>
      <c r="T237" s="282">
        <f t="shared" ref="T237:U237" si="258">T$78 * T207</f>
        <v>7.4728696753443733E-3</v>
      </c>
      <c r="U237" s="282">
        <f t="shared" si="258"/>
        <v>0</v>
      </c>
      <c r="V237" s="282">
        <f t="shared" ref="V237:W237" si="259">V$78 * V207</f>
        <v>7.0524359912505878E-3</v>
      </c>
      <c r="W237" s="282">
        <f t="shared" si="259"/>
        <v>0</v>
      </c>
      <c r="X237" s="282">
        <f t="shared" ref="X237:Y237" si="260">X$78 * X207</f>
        <v>6.9439369760005785E-3</v>
      </c>
      <c r="Y237" s="282">
        <f t="shared" si="260"/>
        <v>0</v>
      </c>
      <c r="Z237" s="267"/>
      <c r="AA237" s="267"/>
    </row>
    <row r="238" spans="4:27" x14ac:dyDescent="0.25">
      <c r="D238"/>
      <c r="F238" t="s">
        <v>189</v>
      </c>
      <c r="G238" t="s">
        <v>270</v>
      </c>
      <c r="H238" s="267"/>
      <c r="I238" s="267"/>
      <c r="J238" s="281">
        <f t="shared" ref="J238:K238" si="261">J$78 * J208</f>
        <v>0</v>
      </c>
      <c r="K238" s="281">
        <f t="shared" si="261"/>
        <v>0</v>
      </c>
      <c r="L238" s="281">
        <f t="shared" ref="L238:M238" si="262">L$78 * L208</f>
        <v>0</v>
      </c>
      <c r="M238" s="281">
        <f t="shared" si="262"/>
        <v>0</v>
      </c>
      <c r="N238" s="281">
        <f t="shared" ref="N238:P238" si="263">N$78 * N208</f>
        <v>0</v>
      </c>
      <c r="O238" s="281">
        <f t="shared" si="263"/>
        <v>0</v>
      </c>
      <c r="P238" s="281">
        <f t="shared" si="263"/>
        <v>0</v>
      </c>
      <c r="Q238" s="281">
        <f t="shared" ref="Q238:S238" si="264">Q$78 * Q208</f>
        <v>0</v>
      </c>
      <c r="R238" s="281">
        <f t="shared" si="264"/>
        <v>0</v>
      </c>
      <c r="S238" s="281">
        <f t="shared" si="264"/>
        <v>0</v>
      </c>
      <c r="T238" s="281">
        <f t="shared" ref="T238:U238" si="265">T$78 * T208</f>
        <v>0</v>
      </c>
      <c r="U238" s="281">
        <f t="shared" si="265"/>
        <v>0</v>
      </c>
      <c r="V238" s="281">
        <f t="shared" ref="V238:W238" si="266">V$78 * V208</f>
        <v>0</v>
      </c>
      <c r="W238" s="281">
        <f t="shared" si="266"/>
        <v>0</v>
      </c>
      <c r="X238" s="281">
        <f t="shared" ref="X238:Y238" si="267">X$78 * X208</f>
        <v>0</v>
      </c>
      <c r="Y238" s="281">
        <f t="shared" si="267"/>
        <v>0</v>
      </c>
      <c r="Z238" s="267"/>
      <c r="AA238" s="267"/>
    </row>
    <row r="239" spans="4:27" x14ac:dyDescent="0.25">
      <c r="D239"/>
      <c r="F239" t="s">
        <v>190</v>
      </c>
      <c r="G239" t="s">
        <v>270</v>
      </c>
      <c r="H239" s="267"/>
      <c r="I239" s="267"/>
      <c r="J239" s="281">
        <f t="shared" ref="J239:K239" si="268">J$78 * J209</f>
        <v>0</v>
      </c>
      <c r="K239" s="281">
        <f t="shared" si="268"/>
        <v>0</v>
      </c>
      <c r="L239" s="281">
        <f t="shared" ref="L239:M239" si="269">L$78 * L209</f>
        <v>0</v>
      </c>
      <c r="M239" s="281">
        <f t="shared" si="269"/>
        <v>0</v>
      </c>
      <c r="N239" s="281">
        <f t="shared" ref="N239:P239" si="270">N$78 * N209</f>
        <v>4.8469507042104617E-3</v>
      </c>
      <c r="O239" s="281">
        <f t="shared" si="270"/>
        <v>3.8762191337547371E-3</v>
      </c>
      <c r="P239" s="281">
        <f t="shared" si="270"/>
        <v>3.5957868736281478E-3</v>
      </c>
      <c r="Q239" s="281">
        <f t="shared" ref="Q239:S239" si="271">Q$78 * Q209</f>
        <v>0</v>
      </c>
      <c r="R239" s="281">
        <f t="shared" si="271"/>
        <v>0</v>
      </c>
      <c r="S239" s="281">
        <f t="shared" si="271"/>
        <v>0</v>
      </c>
      <c r="T239" s="281">
        <f t="shared" ref="T239:U239" si="272">T$78 * T209</f>
        <v>3.1980687318960582E-3</v>
      </c>
      <c r="U239" s="281">
        <f t="shared" si="272"/>
        <v>0</v>
      </c>
      <c r="V239" s="281">
        <f t="shared" ref="V239:W239" si="273">V$78 * V209</f>
        <v>3.0181410899926498E-3</v>
      </c>
      <c r="W239" s="281">
        <f t="shared" si="273"/>
        <v>0</v>
      </c>
      <c r="X239" s="281">
        <f t="shared" ref="X239:Y239" si="274">X$78 * X209</f>
        <v>2.9717081501466095E-3</v>
      </c>
      <c r="Y239" s="281">
        <f t="shared" si="274"/>
        <v>0</v>
      </c>
      <c r="Z239" s="267"/>
      <c r="AA239" s="267"/>
    </row>
    <row r="240" spans="4:27" x14ac:dyDescent="0.25">
      <c r="D240"/>
      <c r="F240" t="s">
        <v>191</v>
      </c>
      <c r="G240" t="s">
        <v>270</v>
      </c>
      <c r="H240" s="267"/>
      <c r="I240" s="267"/>
      <c r="J240" s="281">
        <f t="shared" ref="J240:K240" si="275">J$78 * J210</f>
        <v>0</v>
      </c>
      <c r="K240" s="281">
        <f t="shared" si="275"/>
        <v>0</v>
      </c>
      <c r="L240" s="281">
        <f t="shared" ref="L240:M240" si="276">L$78 * L210</f>
        <v>0</v>
      </c>
      <c r="M240" s="281">
        <f t="shared" si="276"/>
        <v>0</v>
      </c>
      <c r="N240" s="281">
        <f t="shared" ref="N240:P240" si="277">N$78 * N210</f>
        <v>3.7934124016041765E-3</v>
      </c>
      <c r="O240" s="281">
        <f t="shared" si="277"/>
        <v>3.0336800662213105E-3</v>
      </c>
      <c r="P240" s="281">
        <f t="shared" si="277"/>
        <v>2.8142028570865038E-3</v>
      </c>
      <c r="Q240" s="281">
        <f t="shared" ref="Q240:S240" si="278">Q$78 * Q210</f>
        <v>0</v>
      </c>
      <c r="R240" s="281">
        <f t="shared" si="278"/>
        <v>0</v>
      </c>
      <c r="S240" s="281">
        <f t="shared" si="278"/>
        <v>0</v>
      </c>
      <c r="T240" s="281">
        <f t="shared" ref="T240:U240" si="279">T$78 * T210</f>
        <v>2.5029331489215575E-3</v>
      </c>
      <c r="U240" s="281">
        <f t="shared" si="279"/>
        <v>0</v>
      </c>
      <c r="V240" s="281">
        <f t="shared" ref="V240:W240" si="280">V$78 * V210</f>
        <v>2.3621147684922141E-3</v>
      </c>
      <c r="W240" s="281">
        <f t="shared" si="280"/>
        <v>0</v>
      </c>
      <c r="X240" s="281">
        <f t="shared" ref="X240:Y240" si="281">X$78 * X210</f>
        <v>2.3257745412846409E-3</v>
      </c>
      <c r="Y240" s="281">
        <f t="shared" si="281"/>
        <v>0</v>
      </c>
      <c r="Z240" s="267"/>
      <c r="AA240" s="267"/>
    </row>
    <row r="241" spans="2:27" x14ac:dyDescent="0.25">
      <c r="D241"/>
      <c r="F241" t="s">
        <v>192</v>
      </c>
      <c r="G241" t="s">
        <v>270</v>
      </c>
      <c r="H241" s="267"/>
      <c r="I241" s="267"/>
      <c r="J241" s="281">
        <f t="shared" ref="J241:K241" si="282">J$78 * J211</f>
        <v>0</v>
      </c>
      <c r="K241" s="281">
        <f t="shared" si="282"/>
        <v>0</v>
      </c>
      <c r="L241" s="281">
        <f t="shared" ref="L241:M241" si="283">L$78 * L211</f>
        <v>0</v>
      </c>
      <c r="M241" s="281">
        <f t="shared" si="283"/>
        <v>0</v>
      </c>
      <c r="N241" s="281">
        <f t="shared" ref="N241:P241" si="284">N$78 * N211</f>
        <v>1.2027892937831327E-2</v>
      </c>
      <c r="O241" s="281">
        <f t="shared" si="284"/>
        <v>9.6189855415436589E-3</v>
      </c>
      <c r="P241" s="281">
        <f t="shared" si="284"/>
        <v>7.1384657583892144E-3</v>
      </c>
      <c r="Q241" s="281">
        <f t="shared" ref="Q241:S241" si="285">Q$78 * Q211</f>
        <v>0</v>
      </c>
      <c r="R241" s="281">
        <f t="shared" si="285"/>
        <v>0</v>
      </c>
      <c r="S241" s="281">
        <f t="shared" si="285"/>
        <v>0</v>
      </c>
      <c r="T241" s="281">
        <f t="shared" ref="T241:U241" si="286">T$78 * T211</f>
        <v>7.936129468297878E-3</v>
      </c>
      <c r="U241" s="281">
        <f t="shared" si="286"/>
        <v>0</v>
      </c>
      <c r="V241" s="281">
        <f t="shared" ref="V241:W241" si="287">V$78 * V211</f>
        <v>7.4896321660887413E-3</v>
      </c>
      <c r="W241" s="281">
        <f t="shared" si="287"/>
        <v>0</v>
      </c>
      <c r="X241" s="281">
        <f t="shared" ref="X241:Y241" si="288">X$78 * X211</f>
        <v>7.3744070558412209E-3</v>
      </c>
      <c r="Y241" s="281">
        <f t="shared" si="288"/>
        <v>0</v>
      </c>
      <c r="Z241" s="267"/>
      <c r="AA241" s="267"/>
    </row>
    <row r="242" spans="2:27" x14ac:dyDescent="0.25">
      <c r="D242"/>
      <c r="F242" t="s">
        <v>193</v>
      </c>
      <c r="G242" t="s">
        <v>270</v>
      </c>
      <c r="H242" s="267"/>
      <c r="I242" s="267"/>
      <c r="J242" s="281">
        <f t="shared" ref="J242:K242" si="289">J$78 * J212</f>
        <v>0</v>
      </c>
      <c r="K242" s="281">
        <f t="shared" si="289"/>
        <v>0</v>
      </c>
      <c r="L242" s="281">
        <f t="shared" ref="L242:M242" si="290">L$78 * L212</f>
        <v>0</v>
      </c>
      <c r="M242" s="281">
        <f t="shared" si="290"/>
        <v>0</v>
      </c>
      <c r="N242" s="281">
        <f t="shared" ref="N242:P242" si="291">N$78 * N212</f>
        <v>3.5737026711618416E-3</v>
      </c>
      <c r="O242" s="281">
        <f t="shared" si="291"/>
        <v>2.8579730881674865E-3</v>
      </c>
      <c r="P242" s="281">
        <f t="shared" si="291"/>
        <v>0</v>
      </c>
      <c r="Q242" s="281">
        <f t="shared" ref="Q242:S242" si="292">Q$78 * Q212</f>
        <v>0</v>
      </c>
      <c r="R242" s="281">
        <f t="shared" si="292"/>
        <v>0</v>
      </c>
      <c r="S242" s="281">
        <f t="shared" si="292"/>
        <v>0</v>
      </c>
      <c r="T242" s="281">
        <f t="shared" ref="T242:U242" si="293">T$78 * T212</f>
        <v>2.3579663725087985E-3</v>
      </c>
      <c r="U242" s="281">
        <f t="shared" si="293"/>
        <v>0</v>
      </c>
      <c r="V242" s="281">
        <f t="shared" ref="V242:W242" si="294">V$78 * V212</f>
        <v>2.2253040176126592E-3</v>
      </c>
      <c r="W242" s="281">
        <f t="shared" si="294"/>
        <v>0</v>
      </c>
      <c r="X242" s="281">
        <f t="shared" ref="X242:Y242" si="295">X$78 * X212</f>
        <v>2.1910685711878492E-3</v>
      </c>
      <c r="Y242" s="281">
        <f t="shared" si="295"/>
        <v>0</v>
      </c>
      <c r="Z242" s="267"/>
      <c r="AA242" s="267"/>
    </row>
    <row r="243" spans="2:27" x14ac:dyDescent="0.25">
      <c r="D243"/>
      <c r="F243" t="s">
        <v>194</v>
      </c>
      <c r="G243" t="s">
        <v>270</v>
      </c>
      <c r="H243" s="267"/>
      <c r="I243" s="267"/>
      <c r="J243" s="281">
        <f t="shared" ref="J243:K243" si="296">J$78 * J213</f>
        <v>0</v>
      </c>
      <c r="K243" s="281">
        <f t="shared" si="296"/>
        <v>0</v>
      </c>
      <c r="L243" s="281">
        <f t="shared" ref="L243:M243" si="297">L$78 * L213</f>
        <v>0</v>
      </c>
      <c r="M243" s="281">
        <f t="shared" si="297"/>
        <v>0</v>
      </c>
      <c r="N243" s="281">
        <f t="shared" ref="N243:P243" si="298">N$78 * N213</f>
        <v>0</v>
      </c>
      <c r="O243" s="281">
        <f t="shared" si="298"/>
        <v>0</v>
      </c>
      <c r="P243" s="281">
        <f t="shared" si="298"/>
        <v>0</v>
      </c>
      <c r="Q243" s="281">
        <f t="shared" ref="Q243:S243" si="299">Q$78 * Q213</f>
        <v>0</v>
      </c>
      <c r="R243" s="281">
        <f t="shared" si="299"/>
        <v>0</v>
      </c>
      <c r="S243" s="281">
        <f t="shared" si="299"/>
        <v>0</v>
      </c>
      <c r="T243" s="281">
        <f t="shared" ref="T243:U243" si="300">T$78 * T213</f>
        <v>0</v>
      </c>
      <c r="U243" s="281">
        <f t="shared" si="300"/>
        <v>0</v>
      </c>
      <c r="V243" s="281">
        <f t="shared" ref="V243:W243" si="301">V$78 * V213</f>
        <v>0</v>
      </c>
      <c r="W243" s="281">
        <f t="shared" si="301"/>
        <v>0</v>
      </c>
      <c r="X243" s="281">
        <f t="shared" ref="X243:Y243" si="302">X$78 * X213</f>
        <v>0</v>
      </c>
      <c r="Y243" s="281">
        <f t="shared" si="302"/>
        <v>0</v>
      </c>
      <c r="Z243" s="267"/>
      <c r="AA243" s="267"/>
    </row>
    <row r="244" spans="2:27" x14ac:dyDescent="0.25">
      <c r="D244"/>
      <c r="F244" t="s">
        <v>195</v>
      </c>
      <c r="G244" t="s">
        <v>270</v>
      </c>
      <c r="H244" s="267"/>
      <c r="I244" s="267"/>
      <c r="J244" s="281">
        <f t="shared" ref="J244:K244" si="303">J$78 * J214</f>
        <v>0</v>
      </c>
      <c r="K244" s="281">
        <f t="shared" si="303"/>
        <v>0</v>
      </c>
      <c r="L244" s="281">
        <f t="shared" ref="L244:M244" si="304">L$78 * L214</f>
        <v>0</v>
      </c>
      <c r="M244" s="281">
        <f t="shared" si="304"/>
        <v>0</v>
      </c>
      <c r="N244" s="281">
        <f t="shared" ref="N244:P244" si="305">N$78 * N214</f>
        <v>1.3231823151548657E-2</v>
      </c>
      <c r="O244" s="281">
        <f t="shared" si="305"/>
        <v>0</v>
      </c>
      <c r="P244" s="281">
        <f t="shared" si="305"/>
        <v>0</v>
      </c>
      <c r="Q244" s="281">
        <f t="shared" ref="Q244:S244" si="306">Q$78 * Q214</f>
        <v>0</v>
      </c>
      <c r="R244" s="281">
        <f t="shared" si="306"/>
        <v>0</v>
      </c>
      <c r="S244" s="281">
        <f t="shared" si="306"/>
        <v>0</v>
      </c>
      <c r="T244" s="281">
        <f t="shared" ref="T244:U244" si="307">T$78 * T214</f>
        <v>1.0913119007530524E-2</v>
      </c>
      <c r="U244" s="281">
        <f t="shared" si="307"/>
        <v>0</v>
      </c>
      <c r="V244" s="281">
        <f t="shared" ref="V244:W244" si="308">V$78 * V214</f>
        <v>1.0299132275709385E-2</v>
      </c>
      <c r="W244" s="281">
        <f t="shared" si="308"/>
        <v>0</v>
      </c>
      <c r="X244" s="281">
        <f t="shared" ref="X244:Y244" si="309">X$78 * X214</f>
        <v>1.0140684086852318E-2</v>
      </c>
      <c r="Y244" s="281">
        <f t="shared" si="309"/>
        <v>0</v>
      </c>
      <c r="Z244" s="267"/>
      <c r="AA244" s="267"/>
    </row>
    <row r="245" spans="2:27" x14ac:dyDescent="0.25">
      <c r="D245"/>
      <c r="F245" t="s">
        <v>196</v>
      </c>
      <c r="G245" t="s">
        <v>270</v>
      </c>
      <c r="H245" s="267"/>
      <c r="I245" s="267"/>
      <c r="J245" s="281">
        <f t="shared" ref="J245:K245" si="310">J$78 * J215</f>
        <v>0</v>
      </c>
      <c r="K245" s="281">
        <f t="shared" si="310"/>
        <v>0</v>
      </c>
      <c r="L245" s="281">
        <f t="shared" ref="L245:M245" si="311">L$78 * L215</f>
        <v>0</v>
      </c>
      <c r="M245" s="281">
        <f t="shared" si="311"/>
        <v>0</v>
      </c>
      <c r="N245" s="281">
        <f t="shared" ref="N245:P245" si="312">N$78 * N215</f>
        <v>0</v>
      </c>
      <c r="O245" s="281">
        <f t="shared" si="312"/>
        <v>0</v>
      </c>
      <c r="P245" s="281">
        <f t="shared" si="312"/>
        <v>0</v>
      </c>
      <c r="Q245" s="281">
        <f t="shared" ref="Q245:S245" si="313">Q$78 * Q215</f>
        <v>0</v>
      </c>
      <c r="R245" s="281">
        <f t="shared" si="313"/>
        <v>0</v>
      </c>
      <c r="S245" s="281">
        <f t="shared" si="313"/>
        <v>0</v>
      </c>
      <c r="T245" s="281">
        <f t="shared" ref="T245:U245" si="314">T$78 * T215</f>
        <v>3.3191250417187661E-3</v>
      </c>
      <c r="U245" s="281">
        <f t="shared" si="314"/>
        <v>0</v>
      </c>
      <c r="V245" s="281">
        <f t="shared" ref="V245:W245" si="315">V$78 * V215</f>
        <v>3.1323866092445702E-3</v>
      </c>
      <c r="W245" s="281">
        <f t="shared" si="315"/>
        <v>0</v>
      </c>
      <c r="X245" s="281">
        <f t="shared" ref="X245:Y245" si="316">X$78 * X215</f>
        <v>0</v>
      </c>
      <c r="Y245" s="281">
        <f t="shared" si="316"/>
        <v>0</v>
      </c>
      <c r="Z245" s="267"/>
      <c r="AA245" s="267"/>
    </row>
    <row r="246" spans="2:27" x14ac:dyDescent="0.25">
      <c r="D246"/>
      <c r="F246" t="s">
        <v>197</v>
      </c>
      <c r="G246" t="s">
        <v>270</v>
      </c>
      <c r="H246" s="267"/>
      <c r="I246" s="267"/>
      <c r="J246" s="281">
        <f t="shared" ref="J246:K246" si="317">J$78 * J216</f>
        <v>0</v>
      </c>
      <c r="K246" s="281">
        <f t="shared" si="317"/>
        <v>0</v>
      </c>
      <c r="L246" s="281">
        <f t="shared" ref="L246:M246" si="318">L$78 * L216</f>
        <v>0</v>
      </c>
      <c r="M246" s="281">
        <f t="shared" si="318"/>
        <v>0</v>
      </c>
      <c r="N246" s="281">
        <f t="shared" ref="N246:P246" si="319">N$78 * N216</f>
        <v>0</v>
      </c>
      <c r="O246" s="281">
        <f t="shared" si="319"/>
        <v>0</v>
      </c>
      <c r="P246" s="281">
        <f t="shared" si="319"/>
        <v>0</v>
      </c>
      <c r="Q246" s="281">
        <f t="shared" ref="Q246:S246" si="320">Q$78 * Q216</f>
        <v>0</v>
      </c>
      <c r="R246" s="281">
        <f t="shared" si="320"/>
        <v>0</v>
      </c>
      <c r="S246" s="281">
        <f t="shared" si="320"/>
        <v>0</v>
      </c>
      <c r="T246" s="281">
        <f t="shared" ref="T246:U246" si="321">T$78 * T216</f>
        <v>0</v>
      </c>
      <c r="U246" s="281">
        <f t="shared" si="321"/>
        <v>0</v>
      </c>
      <c r="V246" s="281">
        <f t="shared" ref="V246:W246" si="322">V$78 * V216</f>
        <v>0</v>
      </c>
      <c r="W246" s="281">
        <f t="shared" si="322"/>
        <v>0</v>
      </c>
      <c r="X246" s="281">
        <f t="shared" ref="X246:Y246" si="323">X$78 * X216</f>
        <v>0</v>
      </c>
      <c r="Y246" s="281">
        <f t="shared" si="323"/>
        <v>0</v>
      </c>
      <c r="Z246" s="267"/>
      <c r="AA246" s="267"/>
    </row>
    <row r="247" spans="2:27" x14ac:dyDescent="0.25">
      <c r="D247"/>
      <c r="F247" t="s">
        <v>332</v>
      </c>
      <c r="G247" t="s">
        <v>270</v>
      </c>
      <c r="H247" s="267"/>
      <c r="I247" s="267"/>
      <c r="J247" s="293"/>
      <c r="K247" s="293"/>
      <c r="L247" s="293"/>
      <c r="M247" s="293"/>
      <c r="N247" s="293"/>
      <c r="O247" s="293"/>
      <c r="P247" s="293"/>
      <c r="Q247" s="293"/>
      <c r="R247" s="293"/>
      <c r="S247" s="293"/>
      <c r="T247" s="293"/>
      <c r="U247" s="293"/>
      <c r="V247" s="293"/>
      <c r="W247" s="293"/>
      <c r="X247" s="293"/>
      <c r="Y247" s="293"/>
      <c r="Z247" s="267"/>
      <c r="AA247" s="267"/>
    </row>
    <row r="248" spans="2:27" x14ac:dyDescent="0.25">
      <c r="D248"/>
      <c r="F248" s="96" t="s">
        <v>333</v>
      </c>
      <c r="G248" s="96" t="s">
        <v>270</v>
      </c>
      <c r="H248" s="269"/>
      <c r="I248" s="269"/>
      <c r="J248" s="275"/>
      <c r="K248" s="275"/>
      <c r="L248" s="275"/>
      <c r="M248" s="275"/>
      <c r="N248" s="275"/>
      <c r="O248" s="275"/>
      <c r="P248" s="275"/>
      <c r="Q248" s="275"/>
      <c r="R248" s="275"/>
      <c r="S248" s="275"/>
      <c r="T248" s="275"/>
      <c r="U248" s="275"/>
      <c r="V248" s="275"/>
      <c r="W248" s="275"/>
      <c r="X248" s="275"/>
      <c r="Y248" s="275"/>
      <c r="Z248" s="267"/>
      <c r="AA248" s="267"/>
    </row>
    <row r="249" spans="2:27" x14ac:dyDescent="0.25">
      <c r="C249" s="105"/>
      <c r="J249" s="106"/>
      <c r="K249" s="106"/>
      <c r="L249" s="106"/>
      <c r="M249" s="106"/>
      <c r="N249" s="106"/>
      <c r="O249" s="106"/>
      <c r="P249" s="106"/>
      <c r="Q249" s="106"/>
      <c r="R249" s="106"/>
      <c r="S249" s="106"/>
      <c r="T249" s="106"/>
      <c r="U249" s="106"/>
      <c r="V249" s="106"/>
      <c r="W249" s="106"/>
      <c r="X249" s="106"/>
      <c r="Y249" s="106"/>
    </row>
    <row r="250" spans="2:27" x14ac:dyDescent="0.25">
      <c r="E250" t="s">
        <v>639</v>
      </c>
      <c r="G250" t="s">
        <v>270</v>
      </c>
      <c r="H250" s="267"/>
      <c r="I250" s="267" t="s">
        <v>152</v>
      </c>
      <c r="J250" s="296">
        <f t="shared" ref="J250:K250" si="324">SUM(J223:J234,J237:J248)</f>
        <v>0</v>
      </c>
      <c r="K250" s="296">
        <f t="shared" si="324"/>
        <v>0</v>
      </c>
      <c r="L250" s="296">
        <f t="shared" ref="L250:M250" si="325">SUM(L223:L234,L237:L248)</f>
        <v>0</v>
      </c>
      <c r="M250" s="296">
        <f t="shared" si="325"/>
        <v>0</v>
      </c>
      <c r="N250" s="296">
        <f t="shared" ref="N250:P250" si="326">SUM(N223:N234,N237:N248)</f>
        <v>0.16262775407449134</v>
      </c>
      <c r="O250" s="296">
        <f t="shared" si="326"/>
        <v>8.7332745999980935E-2</v>
      </c>
      <c r="P250" s="296">
        <f t="shared" si="326"/>
        <v>6.3104669794093876E-2</v>
      </c>
      <c r="Q250" s="296">
        <f t="shared" ref="Q250:S250" si="327">SUM(Q223:Q234,Q237:Q248)</f>
        <v>0</v>
      </c>
      <c r="R250" s="296">
        <f t="shared" si="327"/>
        <v>0</v>
      </c>
      <c r="S250" s="296">
        <f t="shared" si="327"/>
        <v>0</v>
      </c>
      <c r="T250" s="296">
        <f t="shared" ref="T250:U250" si="328">SUM(T223:T234,T237:T248)</f>
        <v>0.1295170343436588</v>
      </c>
      <c r="U250" s="296">
        <f t="shared" si="328"/>
        <v>0</v>
      </c>
      <c r="V250" s="296">
        <f t="shared" ref="V250:W250" si="329">SUM(V223:V234,V237:V248)</f>
        <v>0.12223023204846202</v>
      </c>
      <c r="W250" s="296">
        <f t="shared" si="329"/>
        <v>0</v>
      </c>
      <c r="X250" s="296">
        <f t="shared" ref="X250:Y250" si="330">SUM(X223:X234,X237:X248)</f>
        <v>0.10789719559042603</v>
      </c>
      <c r="Y250" s="296">
        <f t="shared" si="330"/>
        <v>0</v>
      </c>
      <c r="Z250" s="267"/>
      <c r="AA250" s="267" t="s">
        <v>638</v>
      </c>
    </row>
    <row r="251" spans="2:27" x14ac:dyDescent="0.25">
      <c r="C251" s="105"/>
    </row>
    <row r="252" spans="2:27" x14ac:dyDescent="0.25">
      <c r="B252" s="85" t="s">
        <v>229</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25">
      <c r="E254" t="s">
        <v>230</v>
      </c>
      <c r="G254" s="6" t="s">
        <v>54</v>
      </c>
      <c r="H254" s="113">
        <f t="array" ref="H254">SUM(IF(ISERROR(H21:Y250), 1))</f>
        <v>0</v>
      </c>
    </row>
    <row r="256" spans="2:27" x14ac:dyDescent="0.25">
      <c r="B256" s="85" t="s">
        <v>105</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H165 &amp; IF(H165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671</v>
      </c>
      <c r="E9"/>
    </row>
    <row r="10" spans="1:27" x14ac:dyDescent="0.25">
      <c r="D10" s="134" t="s">
        <v>672</v>
      </c>
      <c r="E10"/>
    </row>
    <row r="11" spans="1:27" x14ac:dyDescent="0.25">
      <c r="D11" s="86" t="s">
        <v>673</v>
      </c>
      <c r="E11"/>
    </row>
    <row r="12" spans="1:27" x14ac:dyDescent="0.25">
      <c r="D12" s="134" t="s">
        <v>674</v>
      </c>
      <c r="E12"/>
    </row>
    <row r="14" spans="1:27" x14ac:dyDescent="0.25">
      <c r="B14" s="85" t="s">
        <v>675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2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25">
      <c r="D17"/>
      <c r="E17" s="75"/>
      <c r="I17" t="s">
        <v>152</v>
      </c>
      <c r="AA17" t="s">
        <v>676</v>
      </c>
    </row>
    <row r="18" spans="3:27" x14ac:dyDescent="0.25">
      <c r="C18" s="105"/>
      <c r="E18" t="s">
        <v>504</v>
      </c>
      <c r="G18" t="s">
        <v>210</v>
      </c>
      <c r="J18" s="167">
        <f>'Volume adjustments'!J275</f>
        <v>1547748.3978608586</v>
      </c>
      <c r="K18" s="167">
        <f>'Volume adjustments'!K275</f>
        <v>7577.1293347193641</v>
      </c>
      <c r="L18" s="167">
        <f>'Volume adjustments'!L275</f>
        <v>100775.69911688015</v>
      </c>
      <c r="M18" s="167">
        <f>'Volume adjustments'!M275</f>
        <v>589.96666666666681</v>
      </c>
      <c r="N18" s="167">
        <f>'Volume adjustments'!N275</f>
        <v>11392.790444138975</v>
      </c>
      <c r="O18" s="167">
        <f>'Volume adjustments'!O275</f>
        <v>769.46796766216858</v>
      </c>
      <c r="P18" s="167">
        <f>'Volume adjustments'!P275</f>
        <v>933.12524752410434</v>
      </c>
      <c r="Q18" s="167">
        <f>'Volume adjustments'!Q275</f>
        <v>1129.7489873710761</v>
      </c>
      <c r="R18" s="167">
        <f>'Volume adjustments'!R275</f>
        <v>24062.24357489097</v>
      </c>
      <c r="S18" s="167">
        <f>'Volume adjustments'!S275</f>
        <v>0</v>
      </c>
      <c r="T18" s="167">
        <f>'Volume adjustments'!T275</f>
        <v>372</v>
      </c>
      <c r="U18" s="167">
        <f>'Volume adjustments'!U275</f>
        <v>0</v>
      </c>
      <c r="V18" s="167">
        <f>'Volume adjustments'!V275</f>
        <v>36</v>
      </c>
      <c r="W18" s="167">
        <f>'Volume adjustments'!W275</f>
        <v>0</v>
      </c>
      <c r="X18" s="167">
        <f>'Volume adjustments'!X275</f>
        <v>176</v>
      </c>
      <c r="Y18" s="167">
        <f>'Volume adjustments'!Y275</f>
        <v>0</v>
      </c>
    </row>
    <row r="19" spans="3:27" x14ac:dyDescent="0.25">
      <c r="C19" s="105"/>
      <c r="E19"/>
      <c r="J19" s="167"/>
      <c r="K19" s="167"/>
      <c r="L19" s="167"/>
      <c r="M19" s="167"/>
      <c r="N19" s="167"/>
      <c r="O19" s="167"/>
      <c r="P19" s="167"/>
      <c r="Q19" s="167"/>
      <c r="R19" s="167"/>
      <c r="S19" s="167"/>
      <c r="T19" s="167"/>
      <c r="U19" s="167"/>
      <c r="V19" s="167"/>
      <c r="W19" s="167"/>
      <c r="X19" s="167"/>
      <c r="Y19" s="167"/>
    </row>
    <row r="20" spans="3:27" x14ac:dyDescent="0.25">
      <c r="C20" s="105"/>
      <c r="E20" t="s">
        <v>426</v>
      </c>
      <c r="G20" t="s">
        <v>170</v>
      </c>
      <c r="H20" s="97"/>
      <c r="J20" s="167">
        <f>'System peak demand'!J200</f>
        <v>1126.2892001807943</v>
      </c>
      <c r="K20" s="167">
        <f>'System peak demand'!K200</f>
        <v>19.875866891336415</v>
      </c>
      <c r="L20" s="167">
        <f>'System peak demand'!L200</f>
        <v>355.85340954657823</v>
      </c>
      <c r="M20" s="167">
        <f>'System peak demand'!M200</f>
        <v>2.1066605268854048</v>
      </c>
      <c r="N20" s="167">
        <f>'System peak demand'!N200</f>
        <v>395.27808652082405</v>
      </c>
      <c r="O20" s="167">
        <f>'System peak demand'!O200</f>
        <v>113.66775216462065</v>
      </c>
      <c r="P20" s="167">
        <f>'System peak demand'!P200</f>
        <v>371.33537310293895</v>
      </c>
      <c r="Q20" s="167">
        <f>'System peak demand'!Q200</f>
        <v>25.27009910991805</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25">
      <c r="J21" s="106"/>
      <c r="K21" s="106"/>
      <c r="L21" s="106"/>
      <c r="M21" s="106"/>
      <c r="N21" s="106"/>
      <c r="O21" s="106"/>
      <c r="P21" s="106"/>
      <c r="Q21" s="106"/>
      <c r="R21" s="106"/>
      <c r="S21" s="106"/>
      <c r="T21" s="106"/>
      <c r="U21" s="106"/>
      <c r="V21" s="106"/>
      <c r="W21" s="106"/>
      <c r="X21" s="106"/>
      <c r="Y21" s="106"/>
    </row>
    <row r="22" spans="3:27" x14ac:dyDescent="0.2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25">
      <c r="D23"/>
      <c r="E23" s="75"/>
      <c r="I23" t="s">
        <v>152</v>
      </c>
      <c r="J23" s="106"/>
      <c r="K23" s="106"/>
      <c r="L23" s="106"/>
      <c r="M23" s="106"/>
      <c r="N23" s="106"/>
      <c r="O23" s="106"/>
      <c r="P23" s="106"/>
      <c r="Q23" s="106"/>
      <c r="R23" s="106"/>
      <c r="S23" s="106"/>
      <c r="T23" s="106"/>
      <c r="U23" s="106"/>
      <c r="V23" s="106"/>
      <c r="W23" s="106"/>
      <c r="X23" s="106"/>
      <c r="Y23" s="106"/>
      <c r="AA23" t="s">
        <v>676</v>
      </c>
    </row>
    <row r="24" spans="3:27" x14ac:dyDescent="0.25">
      <c r="C24" s="105"/>
      <c r="E24" s="75" t="s">
        <v>576</v>
      </c>
      <c r="J24" s="106"/>
      <c r="K24" s="106"/>
      <c r="L24" s="106"/>
      <c r="M24" s="106"/>
      <c r="N24" s="106"/>
      <c r="O24" s="106"/>
      <c r="P24" s="106"/>
      <c r="Q24" s="106"/>
      <c r="R24" s="106"/>
      <c r="S24" s="106"/>
      <c r="T24" s="106"/>
      <c r="U24" s="106"/>
      <c r="V24" s="106"/>
      <c r="W24" s="106"/>
      <c r="X24" s="106"/>
      <c r="Y24" s="106"/>
    </row>
    <row r="25" spans="3:27" x14ac:dyDescent="0.25">
      <c r="C25" s="105"/>
      <c r="E25" s="86"/>
      <c r="F25" s="95" t="s">
        <v>187</v>
      </c>
      <c r="G25" s="95" t="s">
        <v>269</v>
      </c>
      <c r="H25" s="95"/>
      <c r="I25" s="95"/>
      <c r="J25" s="117"/>
      <c r="K25" s="117"/>
      <c r="L25" s="117"/>
      <c r="M25" s="117"/>
      <c r="N25" s="117"/>
      <c r="O25" s="117"/>
      <c r="P25" s="117"/>
      <c r="Q25" s="117"/>
      <c r="R25" s="117"/>
      <c r="S25" s="117"/>
      <c r="T25" s="117"/>
      <c r="U25" s="117"/>
      <c r="V25" s="117"/>
      <c r="W25" s="117"/>
      <c r="X25" s="117"/>
      <c r="Y25" s="117"/>
    </row>
    <row r="26" spans="3:27" x14ac:dyDescent="0.25">
      <c r="C26" s="105"/>
      <c r="E26" s="86"/>
      <c r="F26" t="s">
        <v>189</v>
      </c>
      <c r="G26" t="s">
        <v>269</v>
      </c>
      <c r="J26" s="119"/>
      <c r="K26" s="119"/>
      <c r="L26" s="119"/>
      <c r="M26" s="119"/>
      <c r="N26" s="119"/>
      <c r="O26" s="119"/>
      <c r="P26" s="119"/>
      <c r="Q26" s="119"/>
      <c r="R26" s="119"/>
      <c r="S26" s="119"/>
      <c r="T26" s="119"/>
      <c r="U26" s="119"/>
      <c r="V26" s="119"/>
      <c r="W26" s="119"/>
      <c r="X26" s="119"/>
      <c r="Y26" s="119"/>
    </row>
    <row r="27" spans="3:27" x14ac:dyDescent="0.25">
      <c r="C27" s="105"/>
      <c r="E27" s="86"/>
      <c r="F27" t="s">
        <v>190</v>
      </c>
      <c r="G27" t="s">
        <v>269</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25">
      <c r="C28" s="105"/>
      <c r="E28" s="86"/>
      <c r="F28" t="s">
        <v>191</v>
      </c>
      <c r="G28" t="s">
        <v>269</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25">
      <c r="C29" s="105"/>
      <c r="E29" s="86"/>
      <c r="F29" t="s">
        <v>192</v>
      </c>
      <c r="G29" t="s">
        <v>269</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25">
      <c r="C30" s="105"/>
      <c r="E30" s="86"/>
      <c r="F30" t="s">
        <v>193</v>
      </c>
      <c r="G30" t="s">
        <v>269</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25">
      <c r="C31" s="105"/>
      <c r="E31" s="86"/>
      <c r="F31" t="s">
        <v>194</v>
      </c>
      <c r="G31" t="s">
        <v>269</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25">
      <c r="C32" s="105"/>
      <c r="E32" s="86"/>
      <c r="F32" t="s">
        <v>195</v>
      </c>
      <c r="G32" t="s">
        <v>269</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25">
      <c r="C33" s="105"/>
      <c r="E33" s="86"/>
      <c r="F33" t="s">
        <v>196</v>
      </c>
      <c r="G33" t="s">
        <v>269</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25">
      <c r="C34" s="105"/>
      <c r="E34" s="86"/>
      <c r="F34" t="s">
        <v>197</v>
      </c>
      <c r="G34" t="s">
        <v>269</v>
      </c>
      <c r="J34" s="167">
        <f>'Capacity charges'!J271</f>
        <v>2.5390810377525548</v>
      </c>
      <c r="K34" s="167">
        <f>'Capacity charges'!K271</f>
        <v>0</v>
      </c>
      <c r="L34" s="167">
        <f>'Capacity charges'!L271</f>
        <v>2.5390810377525548</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25">
      <c r="C35" s="105"/>
      <c r="E35" s="86"/>
      <c r="F35" t="s">
        <v>332</v>
      </c>
      <c r="G35" t="s">
        <v>269</v>
      </c>
      <c r="J35" s="119"/>
      <c r="K35" s="119"/>
      <c r="L35" s="119"/>
      <c r="M35" s="119"/>
      <c r="N35" s="119"/>
      <c r="O35" s="119"/>
      <c r="P35" s="119"/>
      <c r="Q35" s="119"/>
      <c r="R35" s="119"/>
      <c r="S35" s="119"/>
      <c r="T35" s="119"/>
      <c r="U35" s="119"/>
      <c r="V35" s="119"/>
      <c r="W35" s="119"/>
      <c r="X35" s="119"/>
      <c r="Y35" s="119"/>
    </row>
    <row r="36" spans="3:25" x14ac:dyDescent="0.25">
      <c r="C36" s="105"/>
      <c r="E36" s="86"/>
      <c r="F36" s="96" t="s">
        <v>333</v>
      </c>
      <c r="G36" s="96" t="s">
        <v>269</v>
      </c>
      <c r="H36" s="96"/>
      <c r="I36" s="96"/>
      <c r="J36" s="121"/>
      <c r="K36" s="121"/>
      <c r="L36" s="121"/>
      <c r="M36" s="121"/>
      <c r="N36" s="121"/>
      <c r="O36" s="121"/>
      <c r="P36" s="121"/>
      <c r="Q36" s="121"/>
      <c r="R36" s="121"/>
      <c r="S36" s="121"/>
      <c r="T36" s="121"/>
      <c r="U36" s="121"/>
      <c r="V36" s="121"/>
      <c r="W36" s="121"/>
      <c r="X36" s="121"/>
      <c r="Y36" s="121"/>
    </row>
    <row r="37" spans="3:25" x14ac:dyDescent="0.25">
      <c r="C37" s="105"/>
      <c r="D37"/>
      <c r="E37" s="86"/>
      <c r="J37" s="106"/>
      <c r="K37" s="106"/>
      <c r="L37" s="106"/>
      <c r="M37" s="106"/>
      <c r="N37" s="106"/>
      <c r="O37" s="106"/>
      <c r="P37" s="106"/>
      <c r="Q37" s="106"/>
      <c r="R37" s="106"/>
      <c r="S37" s="106"/>
      <c r="T37" s="106"/>
      <c r="U37" s="106"/>
      <c r="V37" s="106"/>
      <c r="W37" s="106"/>
      <c r="X37" s="106"/>
      <c r="Y37" s="106"/>
    </row>
    <row r="38" spans="3:25" x14ac:dyDescent="0.25">
      <c r="C38" s="105"/>
      <c r="E38" s="75" t="s">
        <v>577</v>
      </c>
      <c r="J38" s="106"/>
      <c r="K38" s="106"/>
      <c r="L38" s="106"/>
      <c r="M38" s="106"/>
      <c r="N38" s="106"/>
      <c r="O38" s="106"/>
      <c r="P38" s="106"/>
      <c r="Q38" s="106"/>
      <c r="R38" s="106"/>
      <c r="S38" s="106"/>
      <c r="T38" s="106"/>
      <c r="U38" s="106"/>
      <c r="V38" s="106"/>
      <c r="W38" s="106"/>
      <c r="X38" s="106"/>
      <c r="Y38" s="106"/>
    </row>
    <row r="39" spans="3:25" x14ac:dyDescent="0.25">
      <c r="C39" s="105"/>
      <c r="F39" s="95" t="s">
        <v>187</v>
      </c>
      <c r="G39" s="95" t="s">
        <v>269</v>
      </c>
      <c r="H39" s="95"/>
      <c r="I39" s="95"/>
      <c r="J39" s="170">
        <f>'Capacity charges'!J276</f>
        <v>0</v>
      </c>
      <c r="K39" s="170">
        <f>'Capacity charges'!K276</f>
        <v>0</v>
      </c>
      <c r="L39" s="170">
        <f>'Capacity charges'!L276</f>
        <v>0</v>
      </c>
      <c r="M39" s="170">
        <f>'Capacity charges'!M276</f>
        <v>0</v>
      </c>
      <c r="N39" s="170">
        <f>'Capacity charges'!N276</f>
        <v>0</v>
      </c>
      <c r="O39" s="170">
        <f>'Capacity charges'!O276</f>
        <v>0</v>
      </c>
      <c r="P39" s="170">
        <f>'Capacity charges'!P276</f>
        <v>0</v>
      </c>
      <c r="Q39" s="170">
        <f>'Capacity charges'!Q276</f>
        <v>0</v>
      </c>
      <c r="R39" s="170">
        <f>'Capacity charges'!R276</f>
        <v>0</v>
      </c>
      <c r="S39" s="170">
        <f>'Capacity charges'!S276</f>
        <v>0</v>
      </c>
      <c r="T39" s="170">
        <f>'Capacity charges'!T276</f>
        <v>0</v>
      </c>
      <c r="U39" s="170">
        <f>'Capacity charges'!U276</f>
        <v>0</v>
      </c>
      <c r="V39" s="170">
        <f>'Capacity charges'!V276</f>
        <v>0</v>
      </c>
      <c r="W39" s="170">
        <f>'Capacity charges'!W276</f>
        <v>0</v>
      </c>
      <c r="X39" s="170">
        <f>'Capacity charges'!X276</f>
        <v>0</v>
      </c>
      <c r="Y39" s="170">
        <f>'Capacity charges'!Y276</f>
        <v>0</v>
      </c>
    </row>
    <row r="40" spans="3:25" x14ac:dyDescent="0.25">
      <c r="C40" s="105"/>
      <c r="F40" t="s">
        <v>189</v>
      </c>
      <c r="G40" t="s">
        <v>269</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25">
      <c r="C41" s="105"/>
      <c r="F41" t="s">
        <v>190</v>
      </c>
      <c r="G41" t="s">
        <v>269</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25">
      <c r="C42" s="105"/>
      <c r="F42" t="s">
        <v>191</v>
      </c>
      <c r="G42" t="s">
        <v>269</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25">
      <c r="C43" s="105"/>
      <c r="F43" t="s">
        <v>192</v>
      </c>
      <c r="G43" t="s">
        <v>269</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25">
      <c r="C44" s="105"/>
      <c r="F44" t="s">
        <v>193</v>
      </c>
      <c r="G44" t="s">
        <v>269</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25">
      <c r="C45" s="105"/>
      <c r="F45" t="s">
        <v>194</v>
      </c>
      <c r="G45" t="s">
        <v>269</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25">
      <c r="C46" s="105"/>
      <c r="F46" t="s">
        <v>195</v>
      </c>
      <c r="G46" t="s">
        <v>269</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25">
      <c r="C47" s="105"/>
      <c r="F47" t="s">
        <v>196</v>
      </c>
      <c r="G47" t="s">
        <v>269</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25">
      <c r="C48" s="105"/>
      <c r="F48" t="s">
        <v>197</v>
      </c>
      <c r="G48" t="s">
        <v>269</v>
      </c>
      <c r="J48" s="167">
        <f>'Capacity charges'!J285</f>
        <v>0.83589986987264886</v>
      </c>
      <c r="K48" s="167">
        <f>'Capacity charges'!K285</f>
        <v>0</v>
      </c>
      <c r="L48" s="167">
        <f>'Capacity charges'!L285</f>
        <v>0.83589986987264886</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25">
      <c r="C49" s="105"/>
      <c r="F49" t="s">
        <v>332</v>
      </c>
      <c r="G49" t="s">
        <v>269</v>
      </c>
      <c r="J49" s="119"/>
      <c r="K49" s="119"/>
      <c r="L49" s="119"/>
      <c r="M49" s="119"/>
      <c r="N49" s="119"/>
      <c r="O49" s="119"/>
      <c r="P49" s="119"/>
      <c r="Q49" s="119"/>
      <c r="R49" s="119"/>
      <c r="S49" s="119"/>
      <c r="T49" s="119"/>
      <c r="U49" s="119"/>
      <c r="V49" s="119"/>
      <c r="W49" s="119"/>
      <c r="X49" s="119"/>
      <c r="Y49" s="119"/>
    </row>
    <row r="50" spans="3:27" x14ac:dyDescent="0.25">
      <c r="C50" s="105"/>
      <c r="F50" s="96" t="s">
        <v>333</v>
      </c>
      <c r="G50" s="96" t="s">
        <v>269</v>
      </c>
      <c r="H50" s="96"/>
      <c r="I50" s="96"/>
      <c r="J50" s="121"/>
      <c r="K50" s="121"/>
      <c r="L50" s="121"/>
      <c r="M50" s="121"/>
      <c r="N50" s="121"/>
      <c r="O50" s="121"/>
      <c r="P50" s="121"/>
      <c r="Q50" s="121"/>
      <c r="R50" s="121"/>
      <c r="S50" s="121"/>
      <c r="T50" s="121"/>
      <c r="U50" s="121"/>
      <c r="V50" s="121"/>
      <c r="W50" s="121"/>
      <c r="X50" s="121"/>
      <c r="Y50" s="121"/>
    </row>
    <row r="51" spans="3:27" x14ac:dyDescent="0.25">
      <c r="C51" s="105"/>
      <c r="J51" s="106"/>
      <c r="K51" s="106"/>
      <c r="L51" s="106"/>
      <c r="M51" s="106"/>
      <c r="N51" s="106"/>
      <c r="O51" s="106"/>
      <c r="P51" s="106"/>
      <c r="Q51" s="106"/>
      <c r="R51" s="106"/>
      <c r="S51" s="106"/>
      <c r="T51" s="106"/>
      <c r="U51" s="106"/>
      <c r="V51" s="106"/>
      <c r="W51" s="106"/>
      <c r="X51" s="106"/>
      <c r="Y51" s="106"/>
    </row>
    <row r="52" spans="3:27" x14ac:dyDescent="0.2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25">
      <c r="D53"/>
    </row>
    <row r="54" spans="3:27" x14ac:dyDescent="0.25">
      <c r="C54" s="75"/>
      <c r="D54"/>
      <c r="E54" s="75" t="s">
        <v>577</v>
      </c>
      <c r="I54" t="s">
        <v>152</v>
      </c>
      <c r="J54" s="106"/>
      <c r="K54" s="106"/>
      <c r="L54" s="106"/>
      <c r="M54" s="106"/>
      <c r="N54" s="106"/>
      <c r="O54" s="106"/>
      <c r="P54" s="106"/>
      <c r="Q54" s="106"/>
      <c r="R54" s="106"/>
      <c r="S54" s="106"/>
      <c r="T54" s="106"/>
      <c r="U54" s="106"/>
      <c r="V54" s="106"/>
      <c r="W54" s="106"/>
      <c r="X54" s="106"/>
      <c r="Y54" s="106"/>
      <c r="AA54" t="s">
        <v>677</v>
      </c>
    </row>
    <row r="55" spans="3:27" x14ac:dyDescent="0.25">
      <c r="C55" s="105"/>
      <c r="D55"/>
      <c r="F55" s="95" t="s">
        <v>332</v>
      </c>
      <c r="G55" s="95" t="s">
        <v>268</v>
      </c>
      <c r="H55" s="95"/>
      <c r="I55" s="95"/>
      <c r="J55" s="170">
        <f>'Service model charges'!J42</f>
        <v>12.823563793547155</v>
      </c>
      <c r="K55" s="170">
        <f>'Service model charges'!K42</f>
        <v>0</v>
      </c>
      <c r="L55" s="170">
        <f>'Service model charges'!L42</f>
        <v>11.517555291718375</v>
      </c>
      <c r="M55" s="170">
        <f>'Service model charges'!M42</f>
        <v>0</v>
      </c>
      <c r="N55" s="170">
        <f>'Service model charges'!N42</f>
        <v>15.245335464261153</v>
      </c>
      <c r="O55" s="170">
        <f>'Service model charges'!O42</f>
        <v>15.245335464261153</v>
      </c>
      <c r="P55" s="170">
        <f>'Service model charges'!P42</f>
        <v>0</v>
      </c>
      <c r="Q55" s="117"/>
      <c r="R55" s="170">
        <f>'Service model charges'!R42</f>
        <v>0</v>
      </c>
      <c r="S55" s="170">
        <f>'Service model charges'!S42</f>
        <v>0</v>
      </c>
      <c r="T55" s="170">
        <f>'Service model charges'!T42</f>
        <v>0</v>
      </c>
      <c r="U55" s="170">
        <f>'Service model charges'!U42</f>
        <v>0</v>
      </c>
      <c r="V55" s="170">
        <f>'Service model charges'!V42</f>
        <v>0</v>
      </c>
      <c r="W55" s="170">
        <f>'Service model charges'!W42</f>
        <v>0</v>
      </c>
      <c r="X55" s="170">
        <f>'Service model charges'!X42</f>
        <v>0</v>
      </c>
      <c r="Y55" s="170">
        <f>'Service model charges'!Y42</f>
        <v>0</v>
      </c>
    </row>
    <row r="56" spans="3:27" x14ac:dyDescent="0.25">
      <c r="C56" s="105"/>
      <c r="D56"/>
      <c r="F56" s="96" t="s">
        <v>333</v>
      </c>
      <c r="G56" s="96" t="s">
        <v>268</v>
      </c>
      <c r="H56" s="96"/>
      <c r="I56" s="96"/>
      <c r="J56" s="171">
        <f>'Service model charges'!J43</f>
        <v>0</v>
      </c>
      <c r="K56" s="171">
        <f>'Service model charges'!K43</f>
        <v>0</v>
      </c>
      <c r="L56" s="171">
        <f>'Service model charges'!L43</f>
        <v>0</v>
      </c>
      <c r="M56" s="171">
        <f>'Service model charges'!M43</f>
        <v>0</v>
      </c>
      <c r="N56" s="171">
        <f>'Service model charges'!N43</f>
        <v>0</v>
      </c>
      <c r="O56" s="171">
        <f>'Service model charges'!O43</f>
        <v>0</v>
      </c>
      <c r="P56" s="171">
        <f>'Service model charges'!P43</f>
        <v>316.6556440359268</v>
      </c>
      <c r="Q56" s="121"/>
      <c r="R56" s="171">
        <f>'Service model charges'!R43</f>
        <v>0</v>
      </c>
      <c r="S56" s="171">
        <f>'Service model charges'!S43</f>
        <v>0</v>
      </c>
      <c r="T56" s="171">
        <f>'Service model charges'!T43</f>
        <v>0</v>
      </c>
      <c r="U56" s="171">
        <f>'Service model charges'!U43</f>
        <v>0</v>
      </c>
      <c r="V56" s="171">
        <f>'Service model charges'!V43</f>
        <v>0</v>
      </c>
      <c r="W56" s="171">
        <f>'Service model charges'!W43</f>
        <v>0</v>
      </c>
      <c r="X56" s="171">
        <f>'Service model charges'!X43</f>
        <v>70.642345390577461</v>
      </c>
      <c r="Y56" s="171">
        <f>'Service model charges'!Y43</f>
        <v>70.642345390577461</v>
      </c>
    </row>
    <row r="57" spans="3:27" x14ac:dyDescent="0.25">
      <c r="C57" s="105"/>
      <c r="D57"/>
      <c r="F57" s="2"/>
    </row>
    <row r="58" spans="3:27" x14ac:dyDescent="0.2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25">
      <c r="C59" s="75"/>
      <c r="D59"/>
      <c r="E59"/>
    </row>
    <row r="60" spans="3:27" x14ac:dyDescent="0.25">
      <c r="D60" s="86" t="s">
        <v>678</v>
      </c>
      <c r="E60"/>
    </row>
    <row r="61" spans="3:27" x14ac:dyDescent="0.25">
      <c r="D61" s="86" t="s">
        <v>679</v>
      </c>
      <c r="E61"/>
    </row>
    <row r="62" spans="3:27" x14ac:dyDescent="0.25">
      <c r="D62" s="86"/>
      <c r="E62"/>
    </row>
    <row r="63" spans="3:27" x14ac:dyDescent="0.25">
      <c r="E63" t="s">
        <v>680</v>
      </c>
      <c r="G63" t="s">
        <v>147</v>
      </c>
      <c r="I63" t="s">
        <v>152</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681</v>
      </c>
    </row>
    <row r="65" spans="2:27" x14ac:dyDescent="0.25">
      <c r="B65" s="85" t="s">
        <v>682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25">
      <c r="J66" s="106"/>
      <c r="K66" s="106"/>
      <c r="L66" s="106"/>
      <c r="M66" s="106"/>
      <c r="N66" s="106"/>
      <c r="O66" s="106"/>
      <c r="P66" s="106"/>
      <c r="Q66" s="106"/>
      <c r="R66" s="106"/>
      <c r="S66" s="106"/>
      <c r="T66" s="106"/>
      <c r="U66" s="106"/>
      <c r="V66" s="106"/>
      <c r="W66" s="106"/>
      <c r="X66" s="106"/>
      <c r="Y66" s="106"/>
    </row>
    <row r="67" spans="2:27" x14ac:dyDescent="0.2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25">
      <c r="D68"/>
      <c r="E68" s="75"/>
      <c r="I68" t="s">
        <v>152</v>
      </c>
      <c r="J68" s="106"/>
      <c r="K68" s="106"/>
      <c r="L68" s="106"/>
      <c r="M68" s="106"/>
      <c r="N68" s="106"/>
      <c r="O68" s="106"/>
      <c r="P68" s="106"/>
      <c r="Q68" s="106"/>
      <c r="R68" s="106"/>
      <c r="S68" s="106"/>
      <c r="T68" s="106"/>
      <c r="U68" s="106"/>
      <c r="V68" s="106"/>
      <c r="W68" s="106"/>
      <c r="X68" s="106"/>
      <c r="Y68" s="106"/>
      <c r="AA68" t="s">
        <v>681</v>
      </c>
    </row>
    <row r="69" spans="2:27" x14ac:dyDescent="0.25">
      <c r="C69" s="105"/>
      <c r="D69"/>
      <c r="E69" s="75" t="s">
        <v>576</v>
      </c>
      <c r="J69" s="106"/>
      <c r="K69" s="106"/>
      <c r="L69" s="106"/>
      <c r="M69" s="106"/>
      <c r="N69" s="106"/>
      <c r="O69" s="106"/>
      <c r="P69" s="106"/>
      <c r="Q69" s="106"/>
      <c r="R69" s="106"/>
      <c r="S69" s="106"/>
      <c r="T69" s="106"/>
      <c r="U69" s="106"/>
      <c r="V69" s="106"/>
      <c r="W69" s="106"/>
      <c r="X69" s="106"/>
      <c r="Y69" s="106"/>
    </row>
    <row r="70" spans="2:27" x14ac:dyDescent="0.25">
      <c r="C70" s="105"/>
      <c r="D70"/>
      <c r="E70" s="86"/>
      <c r="F70" s="95" t="s">
        <v>187</v>
      </c>
      <c r="G70" s="95" t="s">
        <v>683</v>
      </c>
      <c r="H70" s="95"/>
      <c r="I70" s="95"/>
      <c r="J70" s="117"/>
      <c r="K70" s="117"/>
      <c r="L70" s="117"/>
      <c r="M70" s="117"/>
      <c r="N70" s="117"/>
      <c r="O70" s="117"/>
      <c r="P70" s="117"/>
      <c r="Q70" s="117"/>
      <c r="R70" s="117"/>
      <c r="S70" s="117"/>
      <c r="T70" s="117"/>
      <c r="U70" s="117"/>
      <c r="V70" s="117"/>
      <c r="W70" s="117"/>
      <c r="X70" s="117"/>
      <c r="Y70" s="117"/>
    </row>
    <row r="71" spans="2:27" x14ac:dyDescent="0.25">
      <c r="C71" s="105"/>
      <c r="D71"/>
      <c r="E71" s="86"/>
      <c r="F71" t="s">
        <v>189</v>
      </c>
      <c r="G71" t="s">
        <v>683</v>
      </c>
      <c r="J71" s="119"/>
      <c r="K71" s="119"/>
      <c r="L71" s="119"/>
      <c r="M71" s="119"/>
      <c r="N71" s="119"/>
      <c r="O71" s="119"/>
      <c r="P71" s="119"/>
      <c r="Q71" s="119"/>
      <c r="R71" s="119"/>
      <c r="S71" s="119"/>
      <c r="T71" s="119"/>
      <c r="U71" s="119"/>
      <c r="V71" s="119"/>
      <c r="W71" s="119"/>
      <c r="X71" s="119"/>
      <c r="Y71" s="119"/>
    </row>
    <row r="72" spans="2:27" x14ac:dyDescent="0.25">
      <c r="C72" s="105"/>
      <c r="D72"/>
      <c r="E72" s="86"/>
      <c r="F72" t="s">
        <v>190</v>
      </c>
      <c r="G72" t="s">
        <v>683</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25">
      <c r="C73" s="105"/>
      <c r="D73"/>
      <c r="E73" s="86"/>
      <c r="F73" t="s">
        <v>191</v>
      </c>
      <c r="G73" t="s">
        <v>683</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25">
      <c r="C74" s="105"/>
      <c r="D74"/>
      <c r="E74" s="86"/>
      <c r="F74" t="s">
        <v>192</v>
      </c>
      <c r="G74" t="s">
        <v>683</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25">
      <c r="C75" s="105"/>
      <c r="D75"/>
      <c r="E75" s="86"/>
      <c r="F75" t="s">
        <v>193</v>
      </c>
      <c r="G75" t="s">
        <v>683</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25">
      <c r="C76" s="105"/>
      <c r="D76"/>
      <c r="E76" s="86"/>
      <c r="F76" t="s">
        <v>194</v>
      </c>
      <c r="G76" t="s">
        <v>683</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25">
      <c r="C77" s="105"/>
      <c r="D77"/>
      <c r="E77" s="86"/>
      <c r="F77" t="s">
        <v>195</v>
      </c>
      <c r="G77" t="s">
        <v>683</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25">
      <c r="C78" s="105"/>
      <c r="D78"/>
      <c r="E78" s="86"/>
      <c r="F78" t="s">
        <v>196</v>
      </c>
      <c r="G78" t="s">
        <v>683</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25">
      <c r="C79" s="105"/>
      <c r="D79"/>
      <c r="E79" s="86"/>
      <c r="F79" t="s">
        <v>197</v>
      </c>
      <c r="G79" t="s">
        <v>683</v>
      </c>
      <c r="J79" s="168">
        <f t="shared" ref="J79:K79" si="49">J$20 * J34 * thousand / PowerFactor</f>
        <v>3010252.1591626802</v>
      </c>
      <c r="K79" s="168">
        <f t="shared" si="49"/>
        <v>0</v>
      </c>
      <c r="L79" s="168">
        <f t="shared" ref="L79:M79" si="50">L$20 * L34 * thousand / PowerFactor</f>
        <v>951095.41515716922</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25">
      <c r="C80" s="105"/>
      <c r="D80"/>
      <c r="E80" s="86"/>
      <c r="F80" t="s">
        <v>332</v>
      </c>
      <c r="G80" t="s">
        <v>683</v>
      </c>
      <c r="J80" s="119"/>
      <c r="K80" s="119"/>
      <c r="L80" s="119"/>
      <c r="M80" s="119"/>
      <c r="N80" s="119"/>
      <c r="O80" s="119"/>
      <c r="P80" s="119"/>
      <c r="Q80" s="119"/>
      <c r="R80" s="119"/>
      <c r="S80" s="119"/>
      <c r="T80" s="119"/>
      <c r="U80" s="119"/>
      <c r="V80" s="119"/>
      <c r="W80" s="119"/>
      <c r="X80" s="119"/>
      <c r="Y80" s="119"/>
    </row>
    <row r="81" spans="3:25" x14ac:dyDescent="0.25">
      <c r="C81" s="105"/>
      <c r="D81"/>
      <c r="E81" s="86"/>
      <c r="F81" s="96" t="s">
        <v>333</v>
      </c>
      <c r="G81" s="96" t="s">
        <v>683</v>
      </c>
      <c r="H81" s="96"/>
      <c r="I81" s="96"/>
      <c r="J81" s="121"/>
      <c r="K81" s="121"/>
      <c r="L81" s="121"/>
      <c r="M81" s="121"/>
      <c r="N81" s="121"/>
      <c r="O81" s="121"/>
      <c r="P81" s="121"/>
      <c r="Q81" s="121"/>
      <c r="R81" s="121"/>
      <c r="S81" s="121"/>
      <c r="T81" s="121"/>
      <c r="U81" s="121"/>
      <c r="V81" s="121"/>
      <c r="W81" s="121"/>
      <c r="X81" s="121"/>
      <c r="Y81" s="121"/>
    </row>
    <row r="82" spans="3:25" x14ac:dyDescent="0.25">
      <c r="C82" s="105"/>
      <c r="D82"/>
      <c r="E82" s="86"/>
      <c r="J82" s="106"/>
      <c r="K82" s="106"/>
      <c r="L82" s="106"/>
      <c r="M82" s="106"/>
      <c r="N82" s="106"/>
      <c r="O82" s="106"/>
      <c r="P82" s="106"/>
      <c r="Q82" s="106"/>
      <c r="R82" s="106"/>
      <c r="S82" s="106"/>
      <c r="T82" s="106"/>
      <c r="U82" s="106"/>
      <c r="V82" s="106"/>
      <c r="W82" s="106"/>
      <c r="X82" s="106"/>
      <c r="Y82" s="106"/>
    </row>
    <row r="83" spans="3:25" x14ac:dyDescent="0.25">
      <c r="C83" s="105"/>
      <c r="D83"/>
      <c r="E83" s="75" t="s">
        <v>577</v>
      </c>
      <c r="J83" s="106"/>
      <c r="K83" s="106"/>
      <c r="L83" s="106"/>
      <c r="M83" s="106"/>
      <c r="N83" s="106"/>
      <c r="O83" s="106"/>
      <c r="P83" s="106"/>
      <c r="Q83" s="106"/>
      <c r="R83" s="106"/>
      <c r="S83" s="106"/>
      <c r="T83" s="106"/>
      <c r="U83" s="106"/>
      <c r="V83" s="106"/>
      <c r="W83" s="106"/>
      <c r="X83" s="106"/>
      <c r="Y83" s="106"/>
    </row>
    <row r="84" spans="3:25" x14ac:dyDescent="0.25">
      <c r="C84" s="105"/>
      <c r="D84"/>
      <c r="F84" s="95" t="s">
        <v>187</v>
      </c>
      <c r="G84" s="95" t="s">
        <v>683</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25">
      <c r="C85" s="105"/>
      <c r="D85"/>
      <c r="F85" t="s">
        <v>189</v>
      </c>
      <c r="G85" t="s">
        <v>683</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25">
      <c r="C86" s="105"/>
      <c r="D86"/>
      <c r="F86" t="s">
        <v>190</v>
      </c>
      <c r="G86" t="s">
        <v>683</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25">
      <c r="C87" s="105"/>
      <c r="D87"/>
      <c r="F87" t="s">
        <v>191</v>
      </c>
      <c r="G87" t="s">
        <v>683</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25">
      <c r="C88" s="105"/>
      <c r="D88"/>
      <c r="F88" t="s">
        <v>192</v>
      </c>
      <c r="G88" t="s">
        <v>683</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25">
      <c r="C89" s="105"/>
      <c r="D89"/>
      <c r="F89" t="s">
        <v>193</v>
      </c>
      <c r="G89" t="s">
        <v>683</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25">
      <c r="C90" s="105"/>
      <c r="D90"/>
      <c r="F90" t="s">
        <v>194</v>
      </c>
      <c r="G90" t="s">
        <v>683</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25">
      <c r="C91" s="105"/>
      <c r="D91"/>
      <c r="F91" t="s">
        <v>195</v>
      </c>
      <c r="G91" t="s">
        <v>683</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25">
      <c r="C92" s="105"/>
      <c r="D92"/>
      <c r="F92" t="s">
        <v>196</v>
      </c>
      <c r="G92" t="s">
        <v>683</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25">
      <c r="C93" s="105"/>
      <c r="D93"/>
      <c r="F93" t="s">
        <v>197</v>
      </c>
      <c r="G93" t="s">
        <v>683</v>
      </c>
      <c r="J93" s="168">
        <f t="shared" ref="J93:K93" si="119">J$20 * J48 * thousand / PowerFactor</f>
        <v>991015.78512641659</v>
      </c>
      <c r="K93" s="168">
        <f t="shared" si="119"/>
        <v>0</v>
      </c>
      <c r="L93" s="168">
        <f t="shared" ref="L93:M93" si="120">L$20 * L48 * thousand / PowerFactor</f>
        <v>313113.49340391916</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25">
      <c r="C94" s="105"/>
      <c r="D94"/>
      <c r="F94" t="s">
        <v>332</v>
      </c>
      <c r="G94" t="s">
        <v>683</v>
      </c>
      <c r="J94" s="119"/>
      <c r="K94" s="119"/>
      <c r="L94" s="119"/>
      <c r="M94" s="119"/>
      <c r="N94" s="119"/>
      <c r="O94" s="119"/>
      <c r="P94" s="119"/>
      <c r="Q94" s="119"/>
      <c r="R94" s="119"/>
      <c r="S94" s="119"/>
      <c r="T94" s="119"/>
      <c r="U94" s="119"/>
      <c r="V94" s="119"/>
      <c r="W94" s="119"/>
      <c r="X94" s="119"/>
      <c r="Y94" s="119"/>
    </row>
    <row r="95" spans="3:25" x14ac:dyDescent="0.25">
      <c r="C95" s="105"/>
      <c r="D95"/>
      <c r="F95" s="96" t="s">
        <v>333</v>
      </c>
      <c r="G95" s="96" t="s">
        <v>683</v>
      </c>
      <c r="H95" s="96"/>
      <c r="I95" s="96"/>
      <c r="J95" s="121"/>
      <c r="K95" s="121"/>
      <c r="L95" s="121"/>
      <c r="M95" s="121"/>
      <c r="N95" s="121"/>
      <c r="O95" s="121"/>
      <c r="P95" s="121"/>
      <c r="Q95" s="121"/>
      <c r="R95" s="121"/>
      <c r="S95" s="121"/>
      <c r="T95" s="121"/>
      <c r="U95" s="121"/>
      <c r="V95" s="121"/>
      <c r="W95" s="121"/>
      <c r="X95" s="121"/>
      <c r="Y95" s="121"/>
    </row>
    <row r="96" spans="3:25" x14ac:dyDescent="0.25">
      <c r="C96" s="105"/>
      <c r="J96" s="106"/>
      <c r="K96" s="106"/>
      <c r="L96" s="106"/>
      <c r="M96" s="106"/>
      <c r="N96" s="106"/>
      <c r="O96" s="106"/>
      <c r="P96" s="106"/>
      <c r="Q96" s="106"/>
      <c r="R96" s="106"/>
      <c r="S96" s="106"/>
      <c r="T96" s="106"/>
      <c r="U96" s="106"/>
      <c r="V96" s="106"/>
      <c r="W96" s="106"/>
      <c r="X96" s="106"/>
      <c r="Y96" s="106"/>
    </row>
    <row r="97" spans="3:27" x14ac:dyDescent="0.2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25">
      <c r="D98"/>
      <c r="E98" s="75"/>
      <c r="I98" t="s">
        <v>152</v>
      </c>
      <c r="J98" s="106"/>
      <c r="K98" s="106"/>
      <c r="L98" s="106"/>
      <c r="M98" s="106"/>
      <c r="N98" s="106"/>
      <c r="O98" s="106"/>
      <c r="P98" s="106"/>
      <c r="Q98" s="106"/>
      <c r="R98" s="106"/>
      <c r="S98" s="106"/>
      <c r="T98" s="106"/>
      <c r="U98" s="106"/>
      <c r="V98" s="106"/>
      <c r="W98" s="106"/>
      <c r="X98" s="106"/>
      <c r="Y98" s="106"/>
      <c r="AA98" t="s">
        <v>681</v>
      </c>
    </row>
    <row r="99" spans="3:27" x14ac:dyDescent="0.25">
      <c r="C99" s="105"/>
      <c r="D99"/>
      <c r="E99" s="75" t="s">
        <v>576</v>
      </c>
      <c r="J99" s="106"/>
      <c r="K99" s="106"/>
      <c r="L99" s="106"/>
      <c r="M99" s="106"/>
      <c r="N99" s="106"/>
      <c r="O99" s="106"/>
      <c r="P99" s="106"/>
      <c r="Q99" s="106"/>
      <c r="R99" s="106"/>
      <c r="S99" s="106"/>
      <c r="T99" s="106"/>
      <c r="U99" s="106"/>
      <c r="V99" s="106"/>
      <c r="W99" s="106"/>
      <c r="X99" s="106"/>
      <c r="Y99" s="106"/>
    </row>
    <row r="100" spans="3:27" x14ac:dyDescent="0.25">
      <c r="C100" s="105"/>
      <c r="D100"/>
      <c r="E100" s="86"/>
      <c r="F100" s="95" t="s">
        <v>187</v>
      </c>
      <c r="G100" s="95" t="s">
        <v>683</v>
      </c>
      <c r="H100" s="95"/>
      <c r="I100" s="95"/>
      <c r="J100" s="117"/>
      <c r="K100" s="117"/>
      <c r="L100" s="117"/>
      <c r="M100" s="117"/>
      <c r="N100" s="117"/>
      <c r="O100" s="117"/>
      <c r="P100" s="117"/>
      <c r="Q100" s="117"/>
      <c r="R100" s="117"/>
      <c r="S100" s="117"/>
      <c r="T100" s="117"/>
      <c r="U100" s="117"/>
      <c r="V100" s="117"/>
      <c r="W100" s="117"/>
      <c r="X100" s="117"/>
      <c r="Y100" s="117"/>
    </row>
    <row r="101" spans="3:27" x14ac:dyDescent="0.25">
      <c r="C101" s="105"/>
      <c r="D101"/>
      <c r="E101" s="86"/>
      <c r="F101" t="s">
        <v>189</v>
      </c>
      <c r="G101" t="s">
        <v>683</v>
      </c>
      <c r="J101" s="119"/>
      <c r="K101" s="119"/>
      <c r="L101" s="119"/>
      <c r="M101" s="119"/>
      <c r="N101" s="119"/>
      <c r="O101" s="119"/>
      <c r="P101" s="119"/>
      <c r="Q101" s="119"/>
      <c r="R101" s="119"/>
      <c r="S101" s="119"/>
      <c r="T101" s="119"/>
      <c r="U101" s="119"/>
      <c r="V101" s="119"/>
      <c r="W101" s="119"/>
      <c r="X101" s="119"/>
      <c r="Y101" s="119"/>
    </row>
    <row r="102" spans="3:27" x14ac:dyDescent="0.25">
      <c r="C102" s="105"/>
      <c r="D102"/>
      <c r="E102" s="86"/>
      <c r="F102" t="s">
        <v>190</v>
      </c>
      <c r="G102" t="s">
        <v>683</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25">
      <c r="C103" s="105"/>
      <c r="D103"/>
      <c r="E103" s="86"/>
      <c r="F103" t="s">
        <v>191</v>
      </c>
      <c r="G103" t="s">
        <v>683</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25">
      <c r="C104" s="105"/>
      <c r="D104"/>
      <c r="E104" s="86"/>
      <c r="F104" t="s">
        <v>192</v>
      </c>
      <c r="G104" t="s">
        <v>683</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25">
      <c r="C105" s="105"/>
      <c r="D105"/>
      <c r="E105" s="86"/>
      <c r="F105" t="s">
        <v>193</v>
      </c>
      <c r="G105" t="s">
        <v>683</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25">
      <c r="C106" s="105"/>
      <c r="D106"/>
      <c r="E106" s="86"/>
      <c r="F106" t="s">
        <v>194</v>
      </c>
      <c r="G106" t="s">
        <v>683</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25">
      <c r="C107" s="105"/>
      <c r="D107"/>
      <c r="E107" s="86"/>
      <c r="F107" t="s">
        <v>195</v>
      </c>
      <c r="G107" t="s">
        <v>683</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25">
      <c r="C108" s="105"/>
      <c r="D108"/>
      <c r="E108" s="86"/>
      <c r="F108" t="s">
        <v>196</v>
      </c>
      <c r="G108" t="s">
        <v>683</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25">
      <c r="C109" s="105"/>
      <c r="D109"/>
      <c r="E109" s="86"/>
      <c r="F109" t="s">
        <v>197</v>
      </c>
      <c r="G109" t="s">
        <v>683</v>
      </c>
      <c r="J109" s="168">
        <f t="shared" ref="J109:Y109" si="133">SUMIFS($J79:$Y79,$J$63:$Y$63,J$63)</f>
        <v>3961347.5743198493</v>
      </c>
      <c r="K109" s="168">
        <f t="shared" si="133"/>
        <v>0</v>
      </c>
      <c r="L109" s="168">
        <f t="shared" si="133"/>
        <v>3961347.5743198493</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25">
      <c r="C110" s="105"/>
      <c r="D110"/>
      <c r="E110" s="86"/>
      <c r="F110" t="s">
        <v>332</v>
      </c>
      <c r="G110" t="s">
        <v>683</v>
      </c>
      <c r="J110" s="119"/>
      <c r="K110" s="119"/>
      <c r="L110" s="119"/>
      <c r="M110" s="119"/>
      <c r="N110" s="119"/>
      <c r="O110" s="119"/>
      <c r="P110" s="119"/>
      <c r="Q110" s="119"/>
      <c r="R110" s="119"/>
      <c r="S110" s="119"/>
      <c r="T110" s="119"/>
      <c r="U110" s="119"/>
      <c r="V110" s="119"/>
      <c r="W110" s="119"/>
      <c r="X110" s="119"/>
      <c r="Y110" s="119"/>
    </row>
    <row r="111" spans="3:27" x14ac:dyDescent="0.25">
      <c r="C111" s="105"/>
      <c r="D111"/>
      <c r="E111" s="86"/>
      <c r="F111" s="96" t="s">
        <v>333</v>
      </c>
      <c r="G111" s="96" t="s">
        <v>683</v>
      </c>
      <c r="H111" s="96"/>
      <c r="I111" s="96"/>
      <c r="J111" s="121"/>
      <c r="K111" s="121"/>
      <c r="L111" s="121"/>
      <c r="M111" s="121"/>
      <c r="N111" s="121"/>
      <c r="O111" s="121"/>
      <c r="P111" s="121"/>
      <c r="Q111" s="121"/>
      <c r="R111" s="121"/>
      <c r="S111" s="121"/>
      <c r="T111" s="121"/>
      <c r="U111" s="121"/>
      <c r="V111" s="121"/>
      <c r="W111" s="121"/>
      <c r="X111" s="121"/>
      <c r="Y111" s="121"/>
    </row>
    <row r="112" spans="3:27" x14ac:dyDescent="0.2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25">
      <c r="C113" s="105"/>
      <c r="D113"/>
      <c r="E113" s="75" t="s">
        <v>577</v>
      </c>
      <c r="J113" s="106"/>
      <c r="K113" s="106"/>
      <c r="L113" s="106"/>
      <c r="M113" s="106"/>
      <c r="N113" s="106"/>
      <c r="O113" s="106"/>
      <c r="P113" s="106"/>
      <c r="Q113" s="106"/>
      <c r="R113" s="106"/>
      <c r="S113" s="106"/>
      <c r="T113" s="106"/>
      <c r="U113" s="106"/>
      <c r="V113" s="106"/>
      <c r="W113" s="106"/>
      <c r="X113" s="106"/>
      <c r="Y113" s="106"/>
    </row>
    <row r="114" spans="3:27" x14ac:dyDescent="0.25">
      <c r="C114" s="105"/>
      <c r="D114"/>
      <c r="F114" s="95" t="s">
        <v>187</v>
      </c>
      <c r="G114" s="95" t="s">
        <v>683</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25">
      <c r="C115" s="105"/>
      <c r="D115"/>
      <c r="F115" t="s">
        <v>189</v>
      </c>
      <c r="G115" t="s">
        <v>683</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25">
      <c r="C116" s="105"/>
      <c r="D116"/>
      <c r="F116" t="s">
        <v>190</v>
      </c>
      <c r="G116" t="s">
        <v>683</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25">
      <c r="C117" s="105"/>
      <c r="D117"/>
      <c r="F117" t="s">
        <v>191</v>
      </c>
      <c r="G117" t="s">
        <v>683</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25">
      <c r="C118" s="105"/>
      <c r="D118"/>
      <c r="F118" t="s">
        <v>192</v>
      </c>
      <c r="G118" t="s">
        <v>683</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25">
      <c r="C119" s="105"/>
      <c r="D119"/>
      <c r="F119" t="s">
        <v>193</v>
      </c>
      <c r="G119" t="s">
        <v>683</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25">
      <c r="C120" s="105"/>
      <c r="D120"/>
      <c r="F120" t="s">
        <v>194</v>
      </c>
      <c r="G120" t="s">
        <v>683</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25">
      <c r="C121" s="105"/>
      <c r="D121"/>
      <c r="F121" t="s">
        <v>195</v>
      </c>
      <c r="G121" t="s">
        <v>683</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25">
      <c r="C122" s="105"/>
      <c r="D122"/>
      <c r="F122" t="s">
        <v>196</v>
      </c>
      <c r="G122" t="s">
        <v>683</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25">
      <c r="C123" s="105"/>
      <c r="D123"/>
      <c r="F123" t="s">
        <v>197</v>
      </c>
      <c r="G123" t="s">
        <v>683</v>
      </c>
      <c r="J123" s="168">
        <f t="shared" ref="J123:Y123" si="143">SUMIFS($J93:$Y93,$J$63:$Y$63,J$63)</f>
        <v>1304129.2785303358</v>
      </c>
      <c r="K123" s="168">
        <f t="shared" si="143"/>
        <v>0</v>
      </c>
      <c r="L123" s="168">
        <f t="shared" si="143"/>
        <v>1304129.2785303358</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25">
      <c r="C124" s="105"/>
      <c r="D124"/>
      <c r="F124" t="s">
        <v>332</v>
      </c>
      <c r="G124" t="s">
        <v>683</v>
      </c>
      <c r="J124" s="119"/>
      <c r="K124" s="119"/>
      <c r="L124" s="119"/>
      <c r="M124" s="119"/>
      <c r="N124" s="119"/>
      <c r="O124" s="119"/>
      <c r="P124" s="119"/>
      <c r="Q124" s="119"/>
      <c r="R124" s="119"/>
      <c r="S124" s="119"/>
      <c r="T124" s="119"/>
      <c r="U124" s="119"/>
      <c r="V124" s="119"/>
      <c r="W124" s="119"/>
      <c r="X124" s="119"/>
      <c r="Y124" s="119"/>
    </row>
    <row r="125" spans="3:27" x14ac:dyDescent="0.25">
      <c r="C125" s="105"/>
      <c r="D125"/>
      <c r="F125" s="96" t="s">
        <v>333</v>
      </c>
      <c r="G125" s="96" t="s">
        <v>683</v>
      </c>
      <c r="H125" s="96"/>
      <c r="I125" s="96"/>
      <c r="J125" s="121"/>
      <c r="K125" s="121"/>
      <c r="L125" s="121"/>
      <c r="M125" s="121"/>
      <c r="N125" s="121"/>
      <c r="O125" s="121"/>
      <c r="P125" s="121"/>
      <c r="Q125" s="121"/>
      <c r="R125" s="121"/>
      <c r="S125" s="121"/>
      <c r="T125" s="121"/>
      <c r="U125" s="121"/>
      <c r="V125" s="121"/>
      <c r="W125" s="121"/>
      <c r="X125" s="121"/>
      <c r="Y125" s="121"/>
    </row>
    <row r="126" spans="3:27" x14ac:dyDescent="0.25">
      <c r="C126" s="105"/>
      <c r="J126" s="106"/>
      <c r="K126" s="106"/>
      <c r="L126" s="106"/>
      <c r="M126" s="106"/>
      <c r="N126" s="106"/>
      <c r="O126" s="106"/>
      <c r="P126" s="106"/>
      <c r="Q126" s="106"/>
      <c r="R126" s="106"/>
      <c r="S126" s="106"/>
      <c r="T126" s="106"/>
      <c r="U126" s="106"/>
      <c r="V126" s="106"/>
      <c r="W126" s="106"/>
      <c r="X126" s="106"/>
      <c r="Y126" s="106"/>
    </row>
    <row r="127" spans="3:27" x14ac:dyDescent="0.2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25">
      <c r="D128"/>
      <c r="E128" s="75"/>
    </row>
    <row r="129" spans="3:27" x14ac:dyDescent="0.25">
      <c r="D129"/>
      <c r="E129" t="s">
        <v>684</v>
      </c>
      <c r="G129" t="s">
        <v>210</v>
      </c>
      <c r="J129" s="106">
        <f t="shared" ref="J129:Y129" si="144">SUMIFS($J$18:$Y$18,$J$63:$Y$63,J63)</f>
        <v>1648524.0969777387</v>
      </c>
      <c r="K129" s="106">
        <f t="shared" si="144"/>
        <v>47038.472222973331</v>
      </c>
      <c r="L129" s="106">
        <f t="shared" si="144"/>
        <v>1648524.0969777387</v>
      </c>
      <c r="M129" s="106">
        <f t="shared" si="144"/>
        <v>47038.472222973331</v>
      </c>
      <c r="N129" s="106">
        <f t="shared" si="144"/>
        <v>47038.472222973331</v>
      </c>
      <c r="O129" s="106">
        <f t="shared" si="144"/>
        <v>47038.472222973331</v>
      </c>
      <c r="P129" s="106">
        <f t="shared" si="144"/>
        <v>47038.472222973331</v>
      </c>
      <c r="Q129" s="106">
        <f t="shared" si="144"/>
        <v>47038.472222973331</v>
      </c>
      <c r="R129" s="106">
        <f t="shared" si="144"/>
        <v>47038.472222973331</v>
      </c>
      <c r="S129" s="106">
        <f t="shared" si="144"/>
        <v>47038.472222973331</v>
      </c>
      <c r="T129" s="106">
        <f t="shared" si="144"/>
        <v>47038.472222973331</v>
      </c>
      <c r="U129" s="106">
        <f t="shared" si="144"/>
        <v>47038.472222973331</v>
      </c>
      <c r="V129" s="106">
        <f t="shared" si="144"/>
        <v>47038.472222973331</v>
      </c>
      <c r="W129" s="106">
        <f t="shared" si="144"/>
        <v>47038.472222973331</v>
      </c>
      <c r="X129" s="106">
        <f t="shared" si="144"/>
        <v>47038.472222973331</v>
      </c>
      <c r="Y129" s="106">
        <f t="shared" si="144"/>
        <v>47038.472222973331</v>
      </c>
    </row>
    <row r="130" spans="3:27" x14ac:dyDescent="0.25">
      <c r="D130"/>
      <c r="E130"/>
    </row>
    <row r="131" spans="3:27" x14ac:dyDescent="0.25">
      <c r="C131" s="105"/>
      <c r="E131" s="75" t="s">
        <v>576</v>
      </c>
      <c r="I131" t="s">
        <v>152</v>
      </c>
      <c r="J131" s="106"/>
      <c r="K131" s="106"/>
      <c r="L131" s="106"/>
      <c r="M131" s="106"/>
      <c r="N131" s="106"/>
      <c r="O131" s="106"/>
      <c r="P131" s="106"/>
      <c r="Q131" s="106"/>
      <c r="R131" s="106"/>
      <c r="S131" s="106"/>
      <c r="T131" s="106"/>
      <c r="U131" s="106"/>
      <c r="V131" s="106"/>
      <c r="W131" s="106"/>
      <c r="X131" s="106"/>
      <c r="Y131" s="106"/>
      <c r="AA131" t="s">
        <v>681</v>
      </c>
    </row>
    <row r="132" spans="3:27" x14ac:dyDescent="0.25">
      <c r="C132" s="105"/>
      <c r="E132" s="86"/>
      <c r="F132" s="95" t="s">
        <v>187</v>
      </c>
      <c r="G132" s="95" t="s">
        <v>268</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25">
      <c r="C133" s="105"/>
      <c r="E133" s="86"/>
      <c r="F133" t="s">
        <v>189</v>
      </c>
      <c r="G133" t="s">
        <v>268</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25">
      <c r="C134" s="105"/>
      <c r="E134" s="86"/>
      <c r="F134" t="s">
        <v>190</v>
      </c>
      <c r="G134" t="s">
        <v>268</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25">
      <c r="C135" s="105"/>
      <c r="E135" s="86"/>
      <c r="F135" t="s">
        <v>191</v>
      </c>
      <c r="G135" t="s">
        <v>268</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25">
      <c r="C136" s="105"/>
      <c r="E136" s="86"/>
      <c r="F136" t="s">
        <v>192</v>
      </c>
      <c r="G136" t="s">
        <v>268</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25">
      <c r="C137" s="105"/>
      <c r="E137" s="86"/>
      <c r="F137" t="s">
        <v>193</v>
      </c>
      <c r="G137" t="s">
        <v>268</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25">
      <c r="C138" s="105"/>
      <c r="E138" s="86"/>
      <c r="F138" t="s">
        <v>194</v>
      </c>
      <c r="G138" t="s">
        <v>268</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25">
      <c r="C139" s="105"/>
      <c r="E139" s="86"/>
      <c r="F139" t="s">
        <v>195</v>
      </c>
      <c r="G139" t="s">
        <v>268</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25">
      <c r="C140" s="105"/>
      <c r="E140" s="86"/>
      <c r="F140" t="s">
        <v>196</v>
      </c>
      <c r="G140" t="s">
        <v>268</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25">
      <c r="C141" s="105"/>
      <c r="E141" s="86"/>
      <c r="F141" t="s">
        <v>197</v>
      </c>
      <c r="G141" t="s">
        <v>268</v>
      </c>
      <c r="J141" s="168">
        <f t="shared" ref="J141:K141" si="208">IF(J$129 = 0, 0, J109 / J$129)</f>
        <v>2.4029661329077574</v>
      </c>
      <c r="K141" s="168">
        <f t="shared" si="208"/>
        <v>0</v>
      </c>
      <c r="L141" s="168">
        <f t="shared" ref="L141:M141" si="209">IF(L$129 = 0, 0, L109 / L$129)</f>
        <v>2.4029661329077574</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25">
      <c r="C142" s="105"/>
      <c r="E142" s="86"/>
      <c r="F142" s="95" t="s">
        <v>332</v>
      </c>
      <c r="G142" s="95" t="s">
        <v>268</v>
      </c>
      <c r="H142" s="95"/>
      <c r="I142" s="95"/>
      <c r="J142" s="117"/>
      <c r="K142" s="117"/>
      <c r="L142" s="117"/>
      <c r="M142" s="117"/>
      <c r="N142" s="117"/>
      <c r="O142" s="117"/>
      <c r="P142" s="117"/>
      <c r="Q142" s="117"/>
      <c r="R142" s="117"/>
      <c r="S142" s="117"/>
      <c r="T142" s="117"/>
      <c r="U142" s="117"/>
      <c r="V142" s="117"/>
      <c r="W142" s="117"/>
      <c r="X142" s="117"/>
      <c r="Y142" s="117"/>
    </row>
    <row r="143" spans="3:27" x14ac:dyDescent="0.25">
      <c r="C143" s="105"/>
      <c r="E143" s="86"/>
      <c r="F143" s="96" t="s">
        <v>333</v>
      </c>
      <c r="G143" s="96" t="s">
        <v>268</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25">
      <c r="C145" s="105"/>
      <c r="E145" s="75" t="s">
        <v>577</v>
      </c>
      <c r="J145" s="106"/>
      <c r="K145" s="106"/>
      <c r="L145" s="106"/>
      <c r="M145" s="106"/>
      <c r="N145" s="106"/>
      <c r="O145" s="106"/>
      <c r="P145" s="106"/>
      <c r="Q145" s="106"/>
      <c r="R145" s="106"/>
      <c r="S145" s="106"/>
      <c r="T145" s="106"/>
      <c r="U145" s="106"/>
      <c r="V145" s="106"/>
      <c r="W145" s="106"/>
      <c r="X145" s="106"/>
      <c r="Y145" s="106"/>
    </row>
    <row r="146" spans="3:27" x14ac:dyDescent="0.25">
      <c r="C146" s="105"/>
      <c r="F146" s="95" t="s">
        <v>187</v>
      </c>
      <c r="G146" s="95" t="s">
        <v>268</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25">
      <c r="C147" s="105"/>
      <c r="F147" t="s">
        <v>189</v>
      </c>
      <c r="G147" t="s">
        <v>268</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25">
      <c r="C148" s="105"/>
      <c r="F148" t="s">
        <v>190</v>
      </c>
      <c r="G148" t="s">
        <v>268</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25">
      <c r="C149" s="105"/>
      <c r="F149" t="s">
        <v>191</v>
      </c>
      <c r="G149" t="s">
        <v>268</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25">
      <c r="C150" s="105"/>
      <c r="F150" t="s">
        <v>192</v>
      </c>
      <c r="G150" t="s">
        <v>268</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25">
      <c r="C151" s="105"/>
      <c r="F151" t="s">
        <v>193</v>
      </c>
      <c r="G151" t="s">
        <v>268</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25">
      <c r="C152" s="105"/>
      <c r="F152" t="s">
        <v>194</v>
      </c>
      <c r="G152" t="s">
        <v>268</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25">
      <c r="C153" s="105"/>
      <c r="F153" t="s">
        <v>195</v>
      </c>
      <c r="G153" t="s">
        <v>268</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25">
      <c r="C154" s="105"/>
      <c r="F154" t="s">
        <v>196</v>
      </c>
      <c r="G154" t="s">
        <v>268</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25">
      <c r="C155" s="105"/>
      <c r="F155" t="s">
        <v>197</v>
      </c>
      <c r="G155" t="s">
        <v>268</v>
      </c>
      <c r="J155" s="168">
        <f t="shared" ref="J155:K155" si="278">IF(J$129 = 0, 0, J123 / J$129)</f>
        <v>0.79108899950034905</v>
      </c>
      <c r="K155" s="168">
        <f t="shared" si="278"/>
        <v>0</v>
      </c>
      <c r="L155" s="168">
        <f t="shared" ref="L155:M155" si="279">IF(L$129 = 0, 0, L123 / L$129)</f>
        <v>0.79108899950034905</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25">
      <c r="C156" s="105"/>
      <c r="D156"/>
      <c r="F156" s="95" t="s">
        <v>332</v>
      </c>
      <c r="G156" s="95" t="s">
        <v>268</v>
      </c>
      <c r="H156" s="95"/>
      <c r="I156" s="95"/>
      <c r="J156" s="147">
        <f t="shared" ref="J156:K156" si="285">J55</f>
        <v>12.823563793547155</v>
      </c>
      <c r="K156" s="147">
        <f t="shared" si="285"/>
        <v>0</v>
      </c>
      <c r="L156" s="147">
        <f t="shared" ref="L156:M156" si="286">L55</f>
        <v>11.517555291718375</v>
      </c>
      <c r="M156" s="147">
        <f t="shared" si="286"/>
        <v>0</v>
      </c>
      <c r="N156" s="147">
        <f t="shared" ref="N156:P156" si="287">N55</f>
        <v>15.245335464261153</v>
      </c>
      <c r="O156" s="147">
        <f t="shared" si="287"/>
        <v>15.245335464261153</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25">
      <c r="C157" s="105"/>
      <c r="D157"/>
      <c r="F157" s="96" t="s">
        <v>333</v>
      </c>
      <c r="G157" s="96" t="s">
        <v>268</v>
      </c>
      <c r="H157" s="96"/>
      <c r="I157" s="96"/>
      <c r="J157" s="172">
        <f t="shared" ref="J157:K157" si="292">J56</f>
        <v>0</v>
      </c>
      <c r="K157" s="172">
        <f t="shared" si="292"/>
        <v>0</v>
      </c>
      <c r="L157" s="172">
        <f t="shared" ref="L157:M157" si="293">L56</f>
        <v>0</v>
      </c>
      <c r="M157" s="172">
        <f t="shared" si="293"/>
        <v>0</v>
      </c>
      <c r="N157" s="172">
        <f t="shared" ref="N157:P157" si="294">N56</f>
        <v>0</v>
      </c>
      <c r="O157" s="172">
        <f t="shared" si="294"/>
        <v>0</v>
      </c>
      <c r="P157" s="172">
        <f t="shared" si="294"/>
        <v>316.6556440359268</v>
      </c>
      <c r="Q157" s="172">
        <f t="shared" ref="Q157:S157" si="295">Q56</f>
        <v>0</v>
      </c>
      <c r="R157" s="172">
        <f t="shared" si="295"/>
        <v>0</v>
      </c>
      <c r="S157" s="172">
        <f t="shared" si="295"/>
        <v>0</v>
      </c>
      <c r="T157" s="172">
        <f t="shared" ref="T157:U157" si="296">T56</f>
        <v>0</v>
      </c>
      <c r="U157" s="172">
        <f t="shared" si="296"/>
        <v>0</v>
      </c>
      <c r="V157" s="172">
        <f t="shared" ref="V157:W157" si="297">V56</f>
        <v>0</v>
      </c>
      <c r="W157" s="172">
        <f t="shared" si="297"/>
        <v>0</v>
      </c>
      <c r="X157" s="172">
        <f t="shared" ref="X157:Y157" si="298">X56</f>
        <v>70.642345390577461</v>
      </c>
      <c r="Y157" s="172">
        <f t="shared" si="298"/>
        <v>70.642345390577461</v>
      </c>
    </row>
    <row r="158" spans="3:27" x14ac:dyDescent="0.25">
      <c r="C158" s="105"/>
      <c r="J158" s="106"/>
      <c r="K158" s="106"/>
      <c r="L158" s="106"/>
      <c r="M158" s="106"/>
      <c r="N158" s="106"/>
      <c r="O158" s="106"/>
      <c r="P158" s="106"/>
      <c r="Q158" s="106"/>
      <c r="R158" s="106"/>
      <c r="S158" s="106"/>
      <c r="T158" s="106"/>
      <c r="U158" s="106"/>
      <c r="V158" s="106"/>
      <c r="W158" s="106"/>
      <c r="X158" s="106"/>
      <c r="Y158" s="106"/>
    </row>
    <row r="159" spans="3:27" x14ac:dyDescent="0.2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C160" s="105"/>
      <c r="J160" s="106"/>
      <c r="K160" s="106"/>
      <c r="L160" s="106"/>
      <c r="M160" s="106"/>
      <c r="N160" s="106"/>
      <c r="O160" s="106"/>
      <c r="P160" s="106"/>
      <c r="Q160" s="106"/>
      <c r="R160" s="106"/>
      <c r="S160" s="106"/>
      <c r="T160" s="106"/>
      <c r="U160" s="106"/>
      <c r="V160" s="106"/>
      <c r="W160" s="106"/>
      <c r="X160" s="106"/>
      <c r="Y160" s="106"/>
    </row>
    <row r="161" spans="2:27" x14ac:dyDescent="0.25">
      <c r="E161" t="s">
        <v>157</v>
      </c>
      <c r="G161" t="s">
        <v>268</v>
      </c>
      <c r="J161" s="151">
        <f t="shared" ref="J161:K161" si="299">SUM(J132:J143,J146:J157)</f>
        <v>16.017618925955261</v>
      </c>
      <c r="K161" s="151">
        <f t="shared" si="299"/>
        <v>0</v>
      </c>
      <c r="L161" s="151">
        <f t="shared" ref="L161:M161" si="300">SUM(L132:L143,L146:L157)</f>
        <v>14.711610424126482</v>
      </c>
      <c r="M161" s="151">
        <f t="shared" si="300"/>
        <v>0</v>
      </c>
      <c r="N161" s="151">
        <f t="shared" ref="N161:P161" si="301">SUM(N132:N143,N146:N157)</f>
        <v>15.245335464261153</v>
      </c>
      <c r="O161" s="151">
        <f t="shared" si="301"/>
        <v>15.245335464261153</v>
      </c>
      <c r="P161" s="151">
        <f t="shared" si="301"/>
        <v>316.6556440359268</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70.642345390577461</v>
      </c>
      <c r="Y161" s="151">
        <f>SUM(Y132:Y143,Y146:Y157)</f>
        <v>70.642345390577461</v>
      </c>
    </row>
    <row r="163" spans="2:27" x14ac:dyDescent="0.25">
      <c r="B163" s="85" t="s">
        <v>229</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25">
      <c r="C165" s="105"/>
      <c r="E165" t="s">
        <v>230</v>
      </c>
      <c r="G165" s="6" t="s">
        <v>54</v>
      </c>
      <c r="H165" s="113">
        <f t="array" ref="H165">SUM(IF(ISERROR(H18:Y161), 1))</f>
        <v>0</v>
      </c>
    </row>
    <row r="167" spans="2:27" x14ac:dyDescent="0.25">
      <c r="B167" s="85" t="s">
        <v>105</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6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v11 - 2026/27</v>
      </c>
    </row>
    <row r="4" spans="1:27" x14ac:dyDescent="0.25">
      <c r="A4" s="60" t="str">
        <f>H66 &amp; IF(H66 = 1, " issue", " issues") &amp;" identified in checks on this sheet"</f>
        <v>0 issues identified in checks on this sheet</v>
      </c>
      <c r="B4" s="61"/>
      <c r="C4" s="61"/>
      <c r="D4" s="61"/>
      <c r="E4" s="61"/>
      <c r="F4" s="61"/>
      <c r="G4" s="61"/>
      <c r="H4" s="62"/>
      <c r="I4" s="62"/>
      <c r="J4" s="61"/>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818</v>
      </c>
      <c r="E9"/>
    </row>
    <row r="10" spans="1:27" x14ac:dyDescent="0.25">
      <c r="C10" s="86" t="s">
        <v>819</v>
      </c>
      <c r="E10"/>
    </row>
    <row r="12" spans="1:27" x14ac:dyDescent="0.25">
      <c r="B12" s="85" t="s">
        <v>820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25">
      <c r="C14" s="86" t="s">
        <v>821</v>
      </c>
    </row>
    <row r="16" spans="1:27" x14ac:dyDescent="0.2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25">
      <c r="E18" s="105" t="s">
        <v>210</v>
      </c>
      <c r="F18" s="75"/>
    </row>
    <row r="19" spans="1:27" x14ac:dyDescent="0.25">
      <c r="E19" s="86" t="s">
        <v>822</v>
      </c>
      <c r="F19" s="2"/>
    </row>
    <row r="20" spans="1:27" x14ac:dyDescent="0.25">
      <c r="C20" s="105"/>
      <c r="F20" s="95" t="s">
        <v>402</v>
      </c>
      <c r="G20" s="95" t="s">
        <v>210</v>
      </c>
      <c r="H20" s="277"/>
      <c r="I20" s="265"/>
      <c r="J20" s="277">
        <f>'Volume adjustments'!J202</f>
        <v>1493778.5153092039</v>
      </c>
      <c r="K20" s="277">
        <f>'Volume adjustments'!K202</f>
        <v>7577.1293347193641</v>
      </c>
      <c r="L20" s="277">
        <f>'Volume adjustments'!L202</f>
        <v>100167.66234671953</v>
      </c>
      <c r="M20" s="277">
        <f>'Volume adjustments'!M202</f>
        <v>589.96666666666681</v>
      </c>
      <c r="N20" s="277">
        <f>'Volume adjustments'!N202</f>
        <v>11131.390035518312</v>
      </c>
      <c r="O20" s="277">
        <f>'Volume adjustments'!O202</f>
        <v>730.01608783922825</v>
      </c>
      <c r="P20" s="277">
        <f>'Volume adjustments'!P202</f>
        <v>909.81476968127367</v>
      </c>
      <c r="Q20" s="277">
        <f>'Volume adjustments'!Q202</f>
        <v>915.3</v>
      </c>
      <c r="R20" s="277">
        <f>'Volume adjustments'!R202</f>
        <v>24062.24357489097</v>
      </c>
      <c r="S20" s="277">
        <f>'Volume adjustments'!S202</f>
        <v>0</v>
      </c>
      <c r="T20" s="277">
        <f>'Volume adjustments'!T202</f>
        <v>372</v>
      </c>
      <c r="U20" s="277">
        <f>'Volume adjustments'!U202</f>
        <v>0</v>
      </c>
      <c r="V20" s="277">
        <f>'Volume adjustments'!V202</f>
        <v>36</v>
      </c>
      <c r="W20" s="277">
        <f>'Volume adjustments'!W202</f>
        <v>0</v>
      </c>
      <c r="X20" s="277">
        <f>'Volume adjustments'!X202</f>
        <v>176</v>
      </c>
      <c r="Y20" s="277">
        <f>'Volume adjustments'!Y202</f>
        <v>0</v>
      </c>
      <c r="Z20" s="267"/>
      <c r="AA20" s="267"/>
    </row>
    <row r="21" spans="1:27" x14ac:dyDescent="0.25">
      <c r="C21" s="105"/>
      <c r="F21" t="s">
        <v>403</v>
      </c>
      <c r="G21" t="s">
        <v>210</v>
      </c>
      <c r="H21" s="278"/>
      <c r="I21" s="267"/>
      <c r="J21" s="278">
        <f>'Volume adjustments'!J211</f>
        <v>40123.208470178259</v>
      </c>
      <c r="K21" s="278">
        <f>'Volume adjustments'!K211</f>
        <v>0</v>
      </c>
      <c r="L21" s="278">
        <f>'Volume adjustments'!L211</f>
        <v>547.56985088676629</v>
      </c>
      <c r="M21" s="278">
        <f>'Volume adjustments'!M211</f>
        <v>0</v>
      </c>
      <c r="N21" s="278">
        <f>'Volume adjustments'!N211</f>
        <v>172.25865279566597</v>
      </c>
      <c r="O21" s="278">
        <f>'Volume adjustments'!O211</f>
        <v>0</v>
      </c>
      <c r="P21" s="278">
        <f>'Volume adjustments'!P211</f>
        <v>0</v>
      </c>
      <c r="Q21" s="278">
        <f>'Volume adjustments'!Q211</f>
        <v>168.09041872801774</v>
      </c>
      <c r="R21" s="278">
        <f>'Volume adjustments'!R211</f>
        <v>395.6</v>
      </c>
      <c r="S21" s="278">
        <f>'Volume adjustments'!S211</f>
        <v>0</v>
      </c>
      <c r="T21" s="278">
        <f>'Volume adjustments'!T211</f>
        <v>0</v>
      </c>
      <c r="U21" s="278">
        <f>'Volume adjustments'!U211</f>
        <v>0</v>
      </c>
      <c r="V21" s="278">
        <f>'Volume adjustments'!V211</f>
        <v>0</v>
      </c>
      <c r="W21" s="278">
        <f>'Volume adjustments'!W211</f>
        <v>0</v>
      </c>
      <c r="X21" s="278">
        <f>'Volume adjustments'!X211</f>
        <v>0</v>
      </c>
      <c r="Y21" s="278">
        <f>'Volume adjustments'!Y211</f>
        <v>0</v>
      </c>
      <c r="Z21" s="267"/>
      <c r="AA21" s="267"/>
    </row>
    <row r="22" spans="1:27" x14ac:dyDescent="0.25">
      <c r="C22" s="105"/>
      <c r="F22" t="s">
        <v>404</v>
      </c>
      <c r="G22" t="s">
        <v>210</v>
      </c>
      <c r="H22" s="278"/>
      <c r="I22" s="267"/>
      <c r="J22" s="278">
        <f>'Volume adjustments'!J220</f>
        <v>76462.255868941589</v>
      </c>
      <c r="K22" s="278">
        <f>'Volume adjustments'!K220</f>
        <v>0</v>
      </c>
      <c r="L22" s="278">
        <f>'Volume adjustments'!L220</f>
        <v>719.19050867207795</v>
      </c>
      <c r="M22" s="278">
        <f>'Volume adjustments'!M220</f>
        <v>0</v>
      </c>
      <c r="N22" s="278">
        <f>'Volume adjustments'!N220</f>
        <v>403.21284654392912</v>
      </c>
      <c r="O22" s="278">
        <f>'Volume adjustments'!O220</f>
        <v>58.419550931888629</v>
      </c>
      <c r="P22" s="278">
        <f>'Volume adjustments'!P220</f>
        <v>28.071780455590009</v>
      </c>
      <c r="Q22" s="278">
        <f>'Volume adjustments'!Q220</f>
        <v>290.92572472156917</v>
      </c>
      <c r="R22" s="278">
        <f>'Volume adjustments'!R220</f>
        <v>673.7</v>
      </c>
      <c r="S22" s="278">
        <f>'Volume adjustments'!S220</f>
        <v>0</v>
      </c>
      <c r="T22" s="278">
        <f>'Volume adjustments'!T220</f>
        <v>11</v>
      </c>
      <c r="U22" s="278">
        <f>'Volume adjustments'!U220</f>
        <v>0</v>
      </c>
      <c r="V22" s="278">
        <f>'Volume adjustments'!V220</f>
        <v>1</v>
      </c>
      <c r="W22" s="278">
        <f>'Volume adjustments'!W220</f>
        <v>0</v>
      </c>
      <c r="X22" s="278">
        <f>'Volume adjustments'!X220</f>
        <v>0</v>
      </c>
      <c r="Y22" s="278">
        <f>'Volume adjustments'!Y220</f>
        <v>0</v>
      </c>
      <c r="Z22" s="267"/>
      <c r="AA22" s="267"/>
    </row>
    <row r="23" spans="1:27" x14ac:dyDescent="0.25">
      <c r="C23" s="105"/>
      <c r="F23" s="96" t="s">
        <v>823</v>
      </c>
      <c r="G23" s="96" t="s">
        <v>210</v>
      </c>
      <c r="H23" s="297"/>
      <c r="I23" s="96"/>
      <c r="J23" s="171">
        <f>'Inputs by customer type'!J161</f>
        <v>3875.1816928921298</v>
      </c>
      <c r="K23" s="171">
        <f>'Inputs by customer type'!K161</f>
        <v>0</v>
      </c>
      <c r="L23" s="171">
        <f>'Inputs by customer type'!L161</f>
        <v>37.003710600550477</v>
      </c>
      <c r="M23" s="171">
        <f>'Inputs by customer type'!M161</f>
        <v>0</v>
      </c>
      <c r="N23" s="171">
        <f>'Inputs by customer type'!N161</f>
        <v>20.139850310629548</v>
      </c>
      <c r="O23" s="171">
        <f>'Inputs by customer type'!O161</f>
        <v>1.2759900207086368</v>
      </c>
      <c r="P23" s="171">
        <f>'Inputs by customer type'!P161</f>
        <v>5.1039600828345471</v>
      </c>
      <c r="Q23" s="171">
        <f>'Inputs by customer type'!Q161</f>
        <v>0</v>
      </c>
      <c r="R23" s="171">
        <f>'Inputs by customer type'!R161</f>
        <v>2</v>
      </c>
      <c r="S23" s="171">
        <f>'Inputs by customer type'!S161</f>
        <v>0</v>
      </c>
      <c r="T23" s="171">
        <f>'Inputs by customer type'!T161</f>
        <v>0</v>
      </c>
      <c r="U23" s="171">
        <f>'Inputs by customer type'!U161</f>
        <v>0</v>
      </c>
      <c r="V23" s="171">
        <f>'Inputs by customer type'!V161</f>
        <v>0</v>
      </c>
      <c r="W23" s="171">
        <f>'Inputs by customer type'!W161</f>
        <v>0</v>
      </c>
      <c r="X23" s="171">
        <f>'Inputs by customer type'!X161</f>
        <v>0</v>
      </c>
      <c r="Y23" s="171">
        <f>'Inputs by customer type'!Y161</f>
        <v>0</v>
      </c>
    </row>
    <row r="24" spans="1:27" x14ac:dyDescent="0.25">
      <c r="C24" s="105"/>
      <c r="E24"/>
      <c r="J24" s="106"/>
      <c r="K24" s="106"/>
      <c r="L24" s="106"/>
      <c r="M24" s="106"/>
      <c r="N24" s="106"/>
      <c r="O24" s="106"/>
      <c r="P24" s="106"/>
      <c r="Q24" s="106"/>
      <c r="R24" s="106"/>
      <c r="S24" s="106"/>
      <c r="T24" s="106"/>
      <c r="U24" s="106"/>
      <c r="V24" s="106"/>
      <c r="W24" s="106"/>
      <c r="X24" s="106"/>
      <c r="Y24" s="106"/>
    </row>
    <row r="25" spans="1:27" x14ac:dyDescent="0.25">
      <c r="C25" s="105"/>
      <c r="E25" s="75" t="s">
        <v>824</v>
      </c>
      <c r="J25" s="106"/>
      <c r="K25" s="106"/>
      <c r="L25" s="106"/>
      <c r="M25" s="106"/>
      <c r="N25" s="106"/>
      <c r="O25" s="106"/>
      <c r="P25" s="106"/>
      <c r="Q25" s="106"/>
      <c r="R25" s="106"/>
      <c r="S25" s="106"/>
      <c r="T25" s="106"/>
      <c r="U25" s="106"/>
      <c r="V25" s="106"/>
      <c r="W25" s="106"/>
      <c r="X25" s="106"/>
      <c r="Y25" s="106"/>
    </row>
    <row r="26" spans="1:27" x14ac:dyDescent="0.25">
      <c r="C26" s="105"/>
      <c r="E26"/>
      <c r="F26" s="95" t="s">
        <v>1148</v>
      </c>
      <c r="G26" s="95" t="s">
        <v>174</v>
      </c>
      <c r="H26" s="95"/>
      <c r="I26" s="95"/>
      <c r="J26" s="236">
        <f>'Fixed inputs'!J159</f>
        <v>1</v>
      </c>
      <c r="K26" s="236">
        <f>'Fixed inputs'!K159</f>
        <v>0</v>
      </c>
      <c r="L26" s="236">
        <f>'Fixed inputs'!L159</f>
        <v>0</v>
      </c>
      <c r="M26" s="236">
        <f>'Fixed inputs'!M159</f>
        <v>0</v>
      </c>
      <c r="N26" s="236">
        <f>'Fixed inputs'!N159</f>
        <v>0</v>
      </c>
      <c r="O26" s="236">
        <f>'Fixed inputs'!O159</f>
        <v>0</v>
      </c>
      <c r="P26" s="236">
        <f>'Fixed inputs'!P159</f>
        <v>0</v>
      </c>
      <c r="Q26" s="236">
        <f>'Fixed inputs'!Q159</f>
        <v>0</v>
      </c>
      <c r="R26" s="236">
        <f>'Fixed inputs'!R159</f>
        <v>0</v>
      </c>
      <c r="S26" s="236">
        <f>'Fixed inputs'!S159</f>
        <v>0</v>
      </c>
      <c r="T26" s="236">
        <f>'Fixed inputs'!T159</f>
        <v>0</v>
      </c>
      <c r="U26" s="236">
        <f>'Fixed inputs'!U159</f>
        <v>0</v>
      </c>
      <c r="V26" s="236">
        <f>'Fixed inputs'!V159</f>
        <v>0</v>
      </c>
      <c r="W26" s="236">
        <f>'Fixed inputs'!W159</f>
        <v>0</v>
      </c>
      <c r="X26" s="236">
        <f>'Fixed inputs'!X159</f>
        <v>0</v>
      </c>
      <c r="Y26" s="236">
        <f>'Fixed inputs'!Y159</f>
        <v>0</v>
      </c>
    </row>
    <row r="27" spans="1:27" x14ac:dyDescent="0.25">
      <c r="C27" s="105"/>
      <c r="E27"/>
      <c r="F27" s="96" t="s">
        <v>1149</v>
      </c>
      <c r="G27" s="96" t="s">
        <v>174</v>
      </c>
      <c r="H27" s="96"/>
      <c r="I27" s="96"/>
      <c r="J27" s="297">
        <f>'Fixed inputs'!J160</f>
        <v>1</v>
      </c>
      <c r="K27" s="297">
        <f>'Fixed inputs'!K160</f>
        <v>0</v>
      </c>
      <c r="L27" s="297">
        <f>'Fixed inputs'!L160</f>
        <v>1</v>
      </c>
      <c r="M27" s="297">
        <f>'Fixed inputs'!M160</f>
        <v>0</v>
      </c>
      <c r="N27" s="297">
        <f>'Fixed inputs'!N160</f>
        <v>1</v>
      </c>
      <c r="O27" s="297">
        <f>'Fixed inputs'!O160</f>
        <v>1</v>
      </c>
      <c r="P27" s="297">
        <f>'Fixed inputs'!P160</f>
        <v>1</v>
      </c>
      <c r="Q27" s="297">
        <f>'Fixed inputs'!Q160</f>
        <v>0</v>
      </c>
      <c r="R27" s="297">
        <f>'Fixed inputs'!R160</f>
        <v>0</v>
      </c>
      <c r="S27" s="297">
        <f>'Fixed inputs'!S160</f>
        <v>0</v>
      </c>
      <c r="T27" s="297">
        <f>'Fixed inputs'!T160</f>
        <v>0</v>
      </c>
      <c r="U27" s="297">
        <f>'Fixed inputs'!U160</f>
        <v>0</v>
      </c>
      <c r="V27" s="297">
        <f>'Fixed inputs'!V160</f>
        <v>0</v>
      </c>
      <c r="W27" s="297">
        <f>'Fixed inputs'!W160</f>
        <v>0</v>
      </c>
      <c r="X27" s="297">
        <f>'Fixed inputs'!X160</f>
        <v>0</v>
      </c>
      <c r="Y27" s="297">
        <f>'Fixed inputs'!Y160</f>
        <v>0</v>
      </c>
    </row>
    <row r="28" spans="1:27" x14ac:dyDescent="0.25">
      <c r="C28" s="105"/>
      <c r="E28"/>
      <c r="J28" s="106"/>
      <c r="K28" s="106"/>
      <c r="L28" s="106"/>
      <c r="M28" s="106"/>
      <c r="N28" s="106"/>
      <c r="O28" s="106"/>
      <c r="P28" s="106"/>
      <c r="Q28" s="106"/>
      <c r="R28" s="106"/>
      <c r="S28" s="106"/>
      <c r="T28" s="106"/>
      <c r="U28" s="106"/>
      <c r="V28" s="106"/>
      <c r="W28" s="106"/>
      <c r="X28" s="106"/>
      <c r="Y28" s="106"/>
    </row>
    <row r="29" spans="1:27" x14ac:dyDescent="0.25">
      <c r="C29" s="105"/>
      <c r="E29" s="75" t="s">
        <v>825</v>
      </c>
      <c r="J29" s="106"/>
      <c r="K29" s="106"/>
      <c r="L29" s="106"/>
      <c r="M29" s="106"/>
      <c r="N29" s="106"/>
      <c r="O29" s="106"/>
      <c r="P29" s="106"/>
      <c r="Q29" s="106"/>
      <c r="R29" s="106"/>
      <c r="S29" s="106"/>
      <c r="T29" s="106"/>
      <c r="U29" s="106"/>
      <c r="V29" s="106"/>
      <c r="W29" s="106"/>
      <c r="X29" s="106"/>
      <c r="Y29" s="106"/>
    </row>
    <row r="30" spans="1:27" x14ac:dyDescent="0.25">
      <c r="C30" s="105"/>
      <c r="E30"/>
      <c r="F30" s="95" t="s">
        <v>1148</v>
      </c>
      <c r="G30" s="95" t="s">
        <v>275</v>
      </c>
      <c r="H30" s="170">
        <f>'General inputs'!H89</f>
        <v>0</v>
      </c>
      <c r="J30" s="167"/>
      <c r="K30" s="167"/>
      <c r="L30" s="167"/>
      <c r="M30" s="167"/>
      <c r="N30" s="167"/>
      <c r="O30" s="167"/>
      <c r="P30" s="167"/>
      <c r="Q30" s="167"/>
      <c r="R30" s="167"/>
      <c r="S30" s="167"/>
      <c r="T30" s="167"/>
      <c r="U30" s="167"/>
      <c r="V30" s="167"/>
      <c r="W30" s="167"/>
      <c r="X30" s="167"/>
      <c r="Y30" s="167"/>
    </row>
    <row r="31" spans="1:27" x14ac:dyDescent="0.25">
      <c r="C31" s="105"/>
      <c r="E31"/>
      <c r="F31" s="96" t="s">
        <v>1149</v>
      </c>
      <c r="G31" s="96" t="s">
        <v>275</v>
      </c>
      <c r="H31" s="171">
        <f>'General inputs'!H90</f>
        <v>0</v>
      </c>
      <c r="J31" s="167"/>
      <c r="K31" s="167"/>
      <c r="L31" s="167"/>
      <c r="M31" s="167"/>
      <c r="N31" s="167"/>
      <c r="O31" s="167"/>
      <c r="P31" s="167"/>
      <c r="Q31" s="167"/>
      <c r="R31" s="167"/>
      <c r="S31" s="167"/>
      <c r="T31" s="167"/>
      <c r="U31" s="167"/>
      <c r="V31" s="167"/>
      <c r="W31" s="167"/>
      <c r="X31" s="167"/>
      <c r="Y31" s="167"/>
    </row>
    <row r="32" spans="1:27" x14ac:dyDescent="0.25">
      <c r="A32" s="15"/>
    </row>
    <row r="33" spans="1:27" x14ac:dyDescent="0.2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25">
      <c r="A34" s="15"/>
      <c r="C34" s="105"/>
      <c r="E34"/>
      <c r="J34" s="106"/>
      <c r="K34" s="106"/>
      <c r="L34" s="106"/>
      <c r="M34" s="106"/>
      <c r="N34" s="106"/>
      <c r="O34" s="106"/>
      <c r="P34" s="106"/>
      <c r="Q34" s="106"/>
      <c r="R34" s="106"/>
      <c r="S34" s="106"/>
      <c r="T34" s="106"/>
      <c r="U34" s="106"/>
      <c r="V34" s="106"/>
      <c r="W34" s="106"/>
      <c r="X34" s="106"/>
      <c r="Y34" s="106"/>
    </row>
    <row r="35" spans="1:27" x14ac:dyDescent="0.25">
      <c r="A35" s="15"/>
      <c r="C35" s="105"/>
      <c r="E35" s="75" t="s">
        <v>826</v>
      </c>
      <c r="J35" s="106"/>
      <c r="K35" s="106"/>
      <c r="L35" s="106"/>
      <c r="M35" s="106"/>
      <c r="N35" s="106"/>
      <c r="O35" s="106"/>
      <c r="P35" s="106"/>
      <c r="Q35" s="106"/>
      <c r="R35" s="106"/>
      <c r="S35" s="106"/>
      <c r="T35" s="106"/>
      <c r="U35" s="106"/>
      <c r="V35" s="106"/>
      <c r="W35" s="106"/>
      <c r="X35" s="106"/>
      <c r="Y35" s="106"/>
    </row>
    <row r="36" spans="1:27" x14ac:dyDescent="0.25">
      <c r="A36" s="15"/>
      <c r="F36" s="95" t="s">
        <v>1148</v>
      </c>
      <c r="G36" s="95" t="s">
        <v>210</v>
      </c>
      <c r="H36" s="95"/>
      <c r="I36" s="95"/>
      <c r="J36" s="222">
        <f t="shared" ref="J36:Y36" si="0">SUM( J$20:J$23 ) * J26</f>
        <v>1614239.1613412159</v>
      </c>
      <c r="K36" s="222">
        <f t="shared" si="0"/>
        <v>0</v>
      </c>
      <c r="L36" s="222">
        <f t="shared" si="0"/>
        <v>0</v>
      </c>
      <c r="M36" s="222">
        <f t="shared" si="0"/>
        <v>0</v>
      </c>
      <c r="N36" s="222">
        <f t="shared" si="0"/>
        <v>0</v>
      </c>
      <c r="O36" s="222">
        <f t="shared" si="0"/>
        <v>0</v>
      </c>
      <c r="P36" s="222">
        <f t="shared" si="0"/>
        <v>0</v>
      </c>
      <c r="Q36" s="222">
        <f t="shared" si="0"/>
        <v>0</v>
      </c>
      <c r="R36" s="222">
        <f t="shared" si="0"/>
        <v>0</v>
      </c>
      <c r="S36" s="222">
        <f t="shared" si="0"/>
        <v>0</v>
      </c>
      <c r="T36" s="222">
        <f t="shared" si="0"/>
        <v>0</v>
      </c>
      <c r="U36" s="222">
        <f t="shared" si="0"/>
        <v>0</v>
      </c>
      <c r="V36" s="222">
        <f t="shared" si="0"/>
        <v>0</v>
      </c>
      <c r="W36" s="222">
        <f t="shared" si="0"/>
        <v>0</v>
      </c>
      <c r="X36" s="222">
        <f t="shared" si="0"/>
        <v>0</v>
      </c>
      <c r="Y36" s="222">
        <f t="shared" si="0"/>
        <v>0</v>
      </c>
    </row>
    <row r="37" spans="1:27" x14ac:dyDescent="0.25">
      <c r="A37" s="15"/>
      <c r="F37" s="96" t="s">
        <v>1149</v>
      </c>
      <c r="G37" s="96" t="s">
        <v>210</v>
      </c>
      <c r="H37" s="96"/>
      <c r="I37" s="96"/>
      <c r="J37" s="195">
        <f t="shared" ref="J37:Y37" si="1">SUM( J$20:J$23 ) * J27</f>
        <v>1614239.1613412159</v>
      </c>
      <c r="K37" s="195">
        <f t="shared" si="1"/>
        <v>0</v>
      </c>
      <c r="L37" s="195">
        <f t="shared" si="1"/>
        <v>101471.42641687892</v>
      </c>
      <c r="M37" s="195">
        <f t="shared" si="1"/>
        <v>0</v>
      </c>
      <c r="N37" s="195">
        <f t="shared" si="1"/>
        <v>11727.001385168538</v>
      </c>
      <c r="O37" s="195">
        <f t="shared" si="1"/>
        <v>789.71162879182543</v>
      </c>
      <c r="P37" s="195">
        <f t="shared" si="1"/>
        <v>942.99051021969819</v>
      </c>
      <c r="Q37" s="195">
        <f t="shared" si="1"/>
        <v>0</v>
      </c>
      <c r="R37" s="195">
        <f t="shared" si="1"/>
        <v>0</v>
      </c>
      <c r="S37" s="195">
        <f t="shared" si="1"/>
        <v>0</v>
      </c>
      <c r="T37" s="195">
        <f t="shared" si="1"/>
        <v>0</v>
      </c>
      <c r="U37" s="195">
        <f t="shared" si="1"/>
        <v>0</v>
      </c>
      <c r="V37" s="195">
        <f t="shared" si="1"/>
        <v>0</v>
      </c>
      <c r="W37" s="195">
        <f t="shared" si="1"/>
        <v>0</v>
      </c>
      <c r="X37" s="195">
        <f t="shared" si="1"/>
        <v>0</v>
      </c>
      <c r="Y37" s="195">
        <f t="shared" si="1"/>
        <v>0</v>
      </c>
    </row>
    <row r="38" spans="1:27" x14ac:dyDescent="0.25">
      <c r="A38" s="15"/>
      <c r="C38" s="105"/>
      <c r="E38"/>
      <c r="J38" s="106"/>
      <c r="K38" s="106"/>
      <c r="L38" s="106"/>
      <c r="M38" s="106"/>
      <c r="N38" s="106"/>
      <c r="O38" s="106"/>
      <c r="P38" s="106"/>
      <c r="Q38" s="106"/>
      <c r="R38" s="106"/>
      <c r="S38" s="106"/>
      <c r="T38" s="106"/>
      <c r="U38" s="106"/>
      <c r="V38" s="106"/>
      <c r="W38" s="106"/>
      <c r="X38" s="106"/>
      <c r="Y38" s="106"/>
    </row>
    <row r="39" spans="1:27" x14ac:dyDescent="0.25">
      <c r="A39" s="15"/>
      <c r="C39" s="105"/>
      <c r="E39" s="75" t="s">
        <v>827</v>
      </c>
      <c r="I39" t="s">
        <v>152</v>
      </c>
      <c r="J39" s="106"/>
      <c r="K39" s="106"/>
      <c r="L39" s="106"/>
      <c r="M39" s="106"/>
      <c r="N39" s="106"/>
      <c r="O39" s="106"/>
      <c r="P39" s="106"/>
      <c r="Q39" s="106"/>
      <c r="R39" s="106"/>
      <c r="S39" s="106"/>
      <c r="T39" s="106"/>
      <c r="U39" s="106"/>
      <c r="V39" s="106"/>
      <c r="W39" s="106"/>
      <c r="X39" s="106"/>
      <c r="Y39" s="106"/>
      <c r="AA39" t="s">
        <v>1103</v>
      </c>
    </row>
    <row r="40" spans="1:27" x14ac:dyDescent="0.25">
      <c r="A40" s="15"/>
      <c r="C40" s="105"/>
      <c r="E40"/>
      <c r="F40" s="95" t="s">
        <v>1148</v>
      </c>
      <c r="G40" s="95" t="s">
        <v>268</v>
      </c>
      <c r="H40" s="298">
        <f>H30 / SUM( J36:Y36 ) * hundred / days_in_year</f>
        <v>0</v>
      </c>
      <c r="I40" s="62"/>
      <c r="J40" s="256"/>
      <c r="K40" s="256"/>
      <c r="L40" s="256"/>
      <c r="M40" s="256"/>
      <c r="N40" s="256"/>
      <c r="O40" s="256"/>
      <c r="P40" s="256"/>
      <c r="Q40" s="256"/>
      <c r="R40" s="256"/>
      <c r="S40" s="256"/>
      <c r="T40" s="256"/>
      <c r="U40" s="256"/>
      <c r="V40" s="256"/>
      <c r="W40" s="256"/>
      <c r="X40" s="256"/>
      <c r="Y40" s="256"/>
    </row>
    <row r="41" spans="1:27" ht="15" customHeight="1" x14ac:dyDescent="0.25">
      <c r="A41" s="15"/>
      <c r="C41" s="105"/>
      <c r="E41"/>
      <c r="F41" s="96" t="s">
        <v>1149</v>
      </c>
      <c r="G41" s="96" t="s">
        <v>268</v>
      </c>
      <c r="H41" s="299">
        <f>H31 / SUM( J37:Y37 ) * hundred / days_in_year</f>
        <v>0</v>
      </c>
      <c r="I41" s="62"/>
      <c r="J41" s="256"/>
      <c r="K41" s="256"/>
      <c r="L41" s="256"/>
      <c r="M41" s="256"/>
      <c r="N41" s="256"/>
      <c r="O41" s="256"/>
      <c r="P41" s="256"/>
      <c r="Q41" s="256"/>
      <c r="R41" s="256"/>
      <c r="S41" s="256"/>
      <c r="T41" s="256"/>
      <c r="U41" s="256"/>
      <c r="V41" s="256"/>
      <c r="W41" s="256"/>
      <c r="X41" s="256"/>
      <c r="Y41" s="256"/>
    </row>
    <row r="42" spans="1:27" x14ac:dyDescent="0.25">
      <c r="A42" s="15"/>
      <c r="C42" s="105"/>
      <c r="E42"/>
      <c r="H42" s="62"/>
      <c r="I42" s="62"/>
      <c r="J42" s="260"/>
      <c r="K42" s="260"/>
      <c r="L42" s="260"/>
      <c r="M42" s="260"/>
      <c r="N42" s="260"/>
      <c r="O42" s="260"/>
      <c r="P42" s="260"/>
      <c r="Q42" s="260"/>
      <c r="R42" s="260"/>
      <c r="S42" s="260"/>
      <c r="T42" s="260"/>
      <c r="U42" s="260"/>
      <c r="V42" s="260"/>
      <c r="W42" s="260"/>
      <c r="X42" s="260"/>
      <c r="Y42" s="260"/>
    </row>
    <row r="43" spans="1:27" x14ac:dyDescent="0.25">
      <c r="A43" s="15"/>
      <c r="C43" s="105"/>
      <c r="E43" s="75" t="s">
        <v>828</v>
      </c>
      <c r="H43" s="62"/>
      <c r="I43" s="62"/>
      <c r="J43" s="260"/>
      <c r="K43" s="260"/>
      <c r="L43" s="260"/>
      <c r="M43" s="260"/>
      <c r="N43" s="260"/>
      <c r="O43" s="260"/>
      <c r="P43" s="260"/>
      <c r="Q43" s="260"/>
      <c r="R43" s="260"/>
      <c r="S43" s="260"/>
      <c r="T43" s="260"/>
      <c r="U43" s="260"/>
      <c r="V43" s="260"/>
      <c r="W43" s="260"/>
      <c r="X43" s="260"/>
      <c r="Y43" s="260"/>
    </row>
    <row r="44" spans="1:27" x14ac:dyDescent="0.25">
      <c r="A44" s="15"/>
      <c r="C44" s="105"/>
      <c r="E44"/>
      <c r="F44" s="95" t="s">
        <v>1148</v>
      </c>
      <c r="G44" s="95" t="s">
        <v>268</v>
      </c>
      <c r="H44" s="298"/>
      <c r="I44" s="298"/>
      <c r="J44" s="298">
        <f t="shared" ref="J44:Y44" si="2">IF( J26 = 1, $H40, 0)</f>
        <v>0</v>
      </c>
      <c r="K44" s="298">
        <f t="shared" si="2"/>
        <v>0</v>
      </c>
      <c r="L44" s="298">
        <f t="shared" si="2"/>
        <v>0</v>
      </c>
      <c r="M44" s="298">
        <f t="shared" si="2"/>
        <v>0</v>
      </c>
      <c r="N44" s="298">
        <f t="shared" si="2"/>
        <v>0</v>
      </c>
      <c r="O44" s="298">
        <f t="shared" si="2"/>
        <v>0</v>
      </c>
      <c r="P44" s="298">
        <f t="shared" si="2"/>
        <v>0</v>
      </c>
      <c r="Q44" s="298">
        <f t="shared" si="2"/>
        <v>0</v>
      </c>
      <c r="R44" s="298">
        <f t="shared" si="2"/>
        <v>0</v>
      </c>
      <c r="S44" s="298">
        <f t="shared" si="2"/>
        <v>0</v>
      </c>
      <c r="T44" s="298">
        <f t="shared" si="2"/>
        <v>0</v>
      </c>
      <c r="U44" s="298">
        <f t="shared" si="2"/>
        <v>0</v>
      </c>
      <c r="V44" s="298">
        <f t="shared" si="2"/>
        <v>0</v>
      </c>
      <c r="W44" s="298">
        <f t="shared" si="2"/>
        <v>0</v>
      </c>
      <c r="X44" s="298">
        <f t="shared" si="2"/>
        <v>0</v>
      </c>
      <c r="Y44" s="298">
        <f t="shared" si="2"/>
        <v>0</v>
      </c>
    </row>
    <row r="45" spans="1:27" x14ac:dyDescent="0.25">
      <c r="A45" s="15"/>
      <c r="C45" s="105"/>
      <c r="E45"/>
      <c r="F45" s="96" t="s">
        <v>1149</v>
      </c>
      <c r="G45" s="96" t="s">
        <v>268</v>
      </c>
      <c r="H45" s="299"/>
      <c r="I45" s="299"/>
      <c r="J45" s="299">
        <f t="shared" ref="J45:Y45" si="3">IF( J27 = 1, $H41, 0)</f>
        <v>0</v>
      </c>
      <c r="K45" s="299">
        <f t="shared" si="3"/>
        <v>0</v>
      </c>
      <c r="L45" s="299">
        <f t="shared" si="3"/>
        <v>0</v>
      </c>
      <c r="M45" s="299">
        <f t="shared" si="3"/>
        <v>0</v>
      </c>
      <c r="N45" s="299">
        <f t="shared" si="3"/>
        <v>0</v>
      </c>
      <c r="O45" s="299">
        <f t="shared" si="3"/>
        <v>0</v>
      </c>
      <c r="P45" s="299">
        <f t="shared" si="3"/>
        <v>0</v>
      </c>
      <c r="Q45" s="299">
        <f t="shared" si="3"/>
        <v>0</v>
      </c>
      <c r="R45" s="299">
        <f t="shared" si="3"/>
        <v>0</v>
      </c>
      <c r="S45" s="299">
        <f t="shared" si="3"/>
        <v>0</v>
      </c>
      <c r="T45" s="299">
        <f t="shared" si="3"/>
        <v>0</v>
      </c>
      <c r="U45" s="299">
        <f t="shared" si="3"/>
        <v>0</v>
      </c>
      <c r="V45" s="299">
        <f t="shared" si="3"/>
        <v>0</v>
      </c>
      <c r="W45" s="299">
        <f t="shared" si="3"/>
        <v>0</v>
      </c>
      <c r="X45" s="299">
        <f t="shared" si="3"/>
        <v>0</v>
      </c>
      <c r="Y45" s="299">
        <f t="shared" si="3"/>
        <v>0</v>
      </c>
    </row>
    <row r="46" spans="1:27" s="15" customFormat="1" x14ac:dyDescent="0.25">
      <c r="C46" s="300"/>
      <c r="D46" s="301"/>
      <c r="F46" s="145" t="s">
        <v>500</v>
      </c>
      <c r="G46" s="302" t="s">
        <v>268</v>
      </c>
      <c r="H46" s="303"/>
      <c r="I46" s="303"/>
      <c r="J46" s="304">
        <f xml:space="preserve"> J44 + J45</f>
        <v>0</v>
      </c>
      <c r="K46" s="304">
        <f t="shared" ref="K46:Y46" si="4" xml:space="preserve"> K44 + K45</f>
        <v>0</v>
      </c>
      <c r="L46" s="304">
        <f t="shared" si="4"/>
        <v>0</v>
      </c>
      <c r="M46" s="304">
        <f t="shared" si="4"/>
        <v>0</v>
      </c>
      <c r="N46" s="304">
        <f t="shared" si="4"/>
        <v>0</v>
      </c>
      <c r="O46" s="304">
        <f t="shared" si="4"/>
        <v>0</v>
      </c>
      <c r="P46" s="304">
        <f t="shared" si="4"/>
        <v>0</v>
      </c>
      <c r="Q46" s="304">
        <f t="shared" si="4"/>
        <v>0</v>
      </c>
      <c r="R46" s="304">
        <f t="shared" si="4"/>
        <v>0</v>
      </c>
      <c r="S46" s="304">
        <f t="shared" si="4"/>
        <v>0</v>
      </c>
      <c r="T46" s="304">
        <f t="shared" si="4"/>
        <v>0</v>
      </c>
      <c r="U46" s="304">
        <f t="shared" si="4"/>
        <v>0</v>
      </c>
      <c r="V46" s="304">
        <f t="shared" si="4"/>
        <v>0</v>
      </c>
      <c r="W46" s="304">
        <f t="shared" si="4"/>
        <v>0</v>
      </c>
      <c r="X46" s="304">
        <f t="shared" si="4"/>
        <v>0</v>
      </c>
      <c r="Y46" s="304">
        <f t="shared" si="4"/>
        <v>0</v>
      </c>
    </row>
    <row r="47" spans="1:27" x14ac:dyDescent="0.25">
      <c r="A47" s="15"/>
      <c r="C47" s="105"/>
      <c r="H47" s="62"/>
      <c r="I47" s="62"/>
      <c r="J47" s="62"/>
      <c r="K47" s="62"/>
      <c r="L47" s="62"/>
      <c r="M47" s="62"/>
      <c r="N47" s="62"/>
      <c r="O47" s="62"/>
      <c r="P47" s="62"/>
      <c r="Q47" s="62"/>
      <c r="R47" s="62"/>
      <c r="S47" s="62"/>
      <c r="T47" s="62"/>
      <c r="U47" s="62"/>
      <c r="V47" s="62"/>
      <c r="W47" s="62"/>
      <c r="X47" s="62"/>
      <c r="Y47" s="62"/>
    </row>
    <row r="48" spans="1:27" x14ac:dyDescent="0.2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25">
      <c r="A49" s="15"/>
      <c r="C49" s="105"/>
      <c r="E49"/>
      <c r="J49" s="106"/>
      <c r="K49" s="106"/>
      <c r="L49" s="106"/>
      <c r="M49" s="106"/>
      <c r="N49" s="106"/>
      <c r="O49" s="106"/>
      <c r="P49" s="106"/>
      <c r="Q49" s="106"/>
      <c r="R49" s="106"/>
      <c r="S49" s="106"/>
      <c r="T49" s="106"/>
      <c r="U49" s="106"/>
      <c r="V49" s="106"/>
      <c r="W49" s="106"/>
      <c r="X49" s="106"/>
      <c r="Y49" s="106"/>
    </row>
    <row r="50" spans="1:27" x14ac:dyDescent="0.25">
      <c r="A50" s="15"/>
      <c r="E50" t="s">
        <v>829</v>
      </c>
      <c r="G50" s="6" t="s">
        <v>275</v>
      </c>
      <c r="H50" s="305"/>
      <c r="I50" s="62"/>
      <c r="J50" s="305">
        <f t="shared" ref="J50:Y50" si="5">J46 / hundred * days_in_year * SUM( J20:J22 )</f>
        <v>0</v>
      </c>
      <c r="K50" s="305">
        <f t="shared" si="5"/>
        <v>0</v>
      </c>
      <c r="L50" s="305">
        <f t="shared" si="5"/>
        <v>0</v>
      </c>
      <c r="M50" s="305">
        <f t="shared" si="5"/>
        <v>0</v>
      </c>
      <c r="N50" s="305">
        <f t="shared" si="5"/>
        <v>0</v>
      </c>
      <c r="O50" s="305">
        <f t="shared" si="5"/>
        <v>0</v>
      </c>
      <c r="P50" s="305">
        <f t="shared" si="5"/>
        <v>0</v>
      </c>
      <c r="Q50" s="305">
        <f t="shared" si="5"/>
        <v>0</v>
      </c>
      <c r="R50" s="305">
        <f t="shared" si="5"/>
        <v>0</v>
      </c>
      <c r="S50" s="305">
        <f t="shared" si="5"/>
        <v>0</v>
      </c>
      <c r="T50" s="305">
        <f t="shared" si="5"/>
        <v>0</v>
      </c>
      <c r="U50" s="305">
        <f t="shared" si="5"/>
        <v>0</v>
      </c>
      <c r="V50" s="305">
        <f t="shared" si="5"/>
        <v>0</v>
      </c>
      <c r="W50" s="305">
        <f t="shared" si="5"/>
        <v>0</v>
      </c>
      <c r="X50" s="305">
        <f t="shared" si="5"/>
        <v>0</v>
      </c>
      <c r="Y50" s="305">
        <f t="shared" si="5"/>
        <v>0</v>
      </c>
    </row>
    <row r="51" spans="1:27" x14ac:dyDescent="0.25">
      <c r="A51" s="15"/>
      <c r="H51" s="62"/>
      <c r="I51" s="62"/>
      <c r="J51" s="62"/>
      <c r="K51" s="62"/>
      <c r="L51" s="62"/>
      <c r="M51" s="62"/>
      <c r="N51" s="62"/>
      <c r="O51" s="62"/>
      <c r="P51" s="62"/>
      <c r="Q51" s="62"/>
      <c r="R51" s="62"/>
      <c r="S51" s="62"/>
      <c r="T51" s="62"/>
      <c r="U51" s="62"/>
      <c r="V51" s="62"/>
      <c r="W51" s="62"/>
      <c r="X51" s="62"/>
      <c r="Y51" s="62"/>
    </row>
    <row r="52" spans="1:27" x14ac:dyDescent="0.25">
      <c r="A52" s="15"/>
      <c r="E52" t="s">
        <v>830</v>
      </c>
      <c r="G52" s="6" t="s">
        <v>275</v>
      </c>
      <c r="H52" s="306">
        <f>SUM( J50:Y50 )</f>
        <v>0</v>
      </c>
      <c r="I52" s="62"/>
      <c r="J52" s="62"/>
      <c r="K52" s="62"/>
      <c r="L52" s="62"/>
      <c r="M52" s="62"/>
      <c r="N52" s="62"/>
      <c r="O52" s="62"/>
      <c r="P52" s="62"/>
      <c r="Q52" s="62"/>
      <c r="R52" s="62"/>
      <c r="S52" s="62"/>
      <c r="T52" s="62"/>
      <c r="U52" s="62"/>
      <c r="V52" s="62"/>
      <c r="W52" s="62"/>
      <c r="X52" s="62"/>
      <c r="Y52" s="62"/>
    </row>
    <row r="53" spans="1:27" x14ac:dyDescent="0.25">
      <c r="A53" s="15"/>
      <c r="H53" s="62"/>
      <c r="I53" s="62"/>
      <c r="J53" s="62"/>
      <c r="K53" s="62"/>
      <c r="L53" s="62"/>
      <c r="M53" s="62"/>
      <c r="N53" s="62"/>
      <c r="O53" s="62"/>
      <c r="P53" s="62"/>
      <c r="Q53" s="62"/>
      <c r="R53" s="62"/>
      <c r="S53" s="62"/>
      <c r="T53" s="62"/>
      <c r="U53" s="62"/>
      <c r="V53" s="62"/>
      <c r="W53" s="62"/>
      <c r="X53" s="62"/>
      <c r="Y53" s="62"/>
    </row>
    <row r="54" spans="1:27" x14ac:dyDescent="0.25">
      <c r="A54" s="15"/>
      <c r="E54" t="s">
        <v>831</v>
      </c>
      <c r="G54" s="6" t="s">
        <v>275</v>
      </c>
      <c r="H54" s="305"/>
      <c r="I54" s="62"/>
      <c r="J54" s="305">
        <f t="shared" ref="J54:Y54" si="6">J46 / hundred * days_in_year * J23</f>
        <v>0</v>
      </c>
      <c r="K54" s="305">
        <f t="shared" si="6"/>
        <v>0</v>
      </c>
      <c r="L54" s="305">
        <f t="shared" si="6"/>
        <v>0</v>
      </c>
      <c r="M54" s="305">
        <f t="shared" si="6"/>
        <v>0</v>
      </c>
      <c r="N54" s="305">
        <f t="shared" si="6"/>
        <v>0</v>
      </c>
      <c r="O54" s="305">
        <f t="shared" si="6"/>
        <v>0</v>
      </c>
      <c r="P54" s="305">
        <f t="shared" si="6"/>
        <v>0</v>
      </c>
      <c r="Q54" s="305">
        <f t="shared" si="6"/>
        <v>0</v>
      </c>
      <c r="R54" s="305">
        <f t="shared" si="6"/>
        <v>0</v>
      </c>
      <c r="S54" s="305">
        <f t="shared" si="6"/>
        <v>0</v>
      </c>
      <c r="T54" s="305">
        <f t="shared" si="6"/>
        <v>0</v>
      </c>
      <c r="U54" s="305">
        <f t="shared" si="6"/>
        <v>0</v>
      </c>
      <c r="V54" s="305">
        <f t="shared" si="6"/>
        <v>0</v>
      </c>
      <c r="W54" s="305">
        <f t="shared" si="6"/>
        <v>0</v>
      </c>
      <c r="X54" s="305">
        <f t="shared" si="6"/>
        <v>0</v>
      </c>
      <c r="Y54" s="305">
        <f t="shared" si="6"/>
        <v>0</v>
      </c>
    </row>
    <row r="55" spans="1:27" x14ac:dyDescent="0.25">
      <c r="A55" s="15"/>
      <c r="H55" s="62"/>
      <c r="I55" s="62"/>
      <c r="J55" s="62"/>
      <c r="K55" s="62"/>
      <c r="L55" s="62"/>
      <c r="M55" s="62"/>
      <c r="N55" s="62"/>
      <c r="O55" s="62"/>
      <c r="P55" s="62"/>
      <c r="Q55" s="62"/>
      <c r="R55" s="62"/>
      <c r="S55" s="62"/>
      <c r="T55" s="62"/>
      <c r="U55" s="62"/>
      <c r="V55" s="62"/>
      <c r="W55" s="62"/>
      <c r="X55" s="62"/>
      <c r="Y55" s="62"/>
    </row>
    <row r="56" spans="1:27" x14ac:dyDescent="0.25">
      <c r="A56" s="15"/>
      <c r="E56" t="s">
        <v>832</v>
      </c>
      <c r="G56" s="6" t="s">
        <v>275</v>
      </c>
      <c r="H56" s="306">
        <f>SUM( J54:Y54 )</f>
        <v>0</v>
      </c>
      <c r="I56" s="62"/>
      <c r="J56" s="62"/>
      <c r="K56" s="62"/>
      <c r="L56" s="62"/>
      <c r="M56" s="62"/>
      <c r="N56" s="62"/>
      <c r="O56" s="62"/>
      <c r="P56" s="62"/>
      <c r="Q56" s="62"/>
      <c r="R56" s="62"/>
      <c r="S56" s="62"/>
      <c r="T56" s="62"/>
      <c r="U56" s="62"/>
      <c r="V56" s="62"/>
      <c r="W56" s="62"/>
      <c r="X56" s="62"/>
      <c r="Y56" s="62"/>
    </row>
    <row r="57" spans="1:27" x14ac:dyDescent="0.25">
      <c r="A57" s="15"/>
      <c r="H57" s="62"/>
      <c r="I57" s="62"/>
      <c r="J57" s="62"/>
      <c r="K57" s="62"/>
      <c r="L57" s="62"/>
      <c r="M57" s="62"/>
      <c r="N57" s="62"/>
      <c r="O57" s="62"/>
      <c r="P57" s="62"/>
      <c r="Q57" s="62"/>
      <c r="R57" s="62"/>
      <c r="S57" s="62"/>
      <c r="T57" s="62"/>
      <c r="U57" s="62"/>
      <c r="V57" s="62"/>
      <c r="W57" s="62"/>
      <c r="X57" s="62"/>
      <c r="Y57" s="62"/>
    </row>
    <row r="58" spans="1:27" x14ac:dyDescent="0.25">
      <c r="A58" s="15"/>
      <c r="B58" s="85" t="s">
        <v>229</v>
      </c>
      <c r="C58" s="85"/>
      <c r="D58" s="85"/>
      <c r="E58" s="85"/>
      <c r="F58" s="85"/>
      <c r="G58" s="85"/>
      <c r="H58" s="271"/>
      <c r="I58" s="271"/>
      <c r="J58" s="271"/>
      <c r="K58" s="271"/>
      <c r="L58" s="271"/>
      <c r="M58" s="271"/>
      <c r="N58" s="271"/>
      <c r="O58" s="271"/>
      <c r="P58" s="271"/>
      <c r="Q58" s="271"/>
      <c r="R58" s="271"/>
      <c r="S58" s="271"/>
      <c r="T58" s="271"/>
      <c r="U58" s="271"/>
      <c r="V58" s="271"/>
      <c r="W58" s="271"/>
      <c r="X58" s="271"/>
      <c r="Y58" s="271"/>
      <c r="Z58" s="85"/>
      <c r="AA58" s="85"/>
    </row>
    <row r="59" spans="1:27" x14ac:dyDescent="0.25">
      <c r="A59" s="15"/>
      <c r="H59" s="62"/>
      <c r="I59" s="62"/>
      <c r="J59" s="62"/>
      <c r="K59" s="62"/>
      <c r="L59" s="62"/>
      <c r="M59" s="62"/>
      <c r="N59" s="62"/>
      <c r="O59" s="62"/>
      <c r="P59" s="62"/>
      <c r="Q59" s="62"/>
      <c r="R59" s="62"/>
      <c r="S59" s="62"/>
      <c r="T59" s="62"/>
      <c r="U59" s="62"/>
      <c r="V59" s="62"/>
      <c r="W59" s="62"/>
      <c r="X59" s="62"/>
      <c r="Y59" s="62"/>
    </row>
    <row r="60" spans="1:27" x14ac:dyDescent="0.25">
      <c r="A60" s="15"/>
      <c r="E60" t="s">
        <v>833</v>
      </c>
      <c r="G60" s="6" t="s">
        <v>275</v>
      </c>
      <c r="H60" s="305"/>
      <c r="I60" s="62"/>
      <c r="J60" s="307">
        <f xml:space="preserve"> J50 + J54</f>
        <v>0</v>
      </c>
      <c r="K60" s="307">
        <f t="shared" ref="K60:Y60" si="7" xml:space="preserve"> K50 + K54</f>
        <v>0</v>
      </c>
      <c r="L60" s="307">
        <f t="shared" si="7"/>
        <v>0</v>
      </c>
      <c r="M60" s="307">
        <f t="shared" si="7"/>
        <v>0</v>
      </c>
      <c r="N60" s="307">
        <f t="shared" si="7"/>
        <v>0</v>
      </c>
      <c r="O60" s="307">
        <f t="shared" si="7"/>
        <v>0</v>
      </c>
      <c r="P60" s="307">
        <f t="shared" si="7"/>
        <v>0</v>
      </c>
      <c r="Q60" s="307">
        <f t="shared" si="7"/>
        <v>0</v>
      </c>
      <c r="R60" s="307">
        <f t="shared" si="7"/>
        <v>0</v>
      </c>
      <c r="S60" s="307">
        <f t="shared" si="7"/>
        <v>0</v>
      </c>
      <c r="T60" s="307">
        <f t="shared" si="7"/>
        <v>0</v>
      </c>
      <c r="U60" s="307">
        <f t="shared" si="7"/>
        <v>0</v>
      </c>
      <c r="V60" s="307">
        <f t="shared" si="7"/>
        <v>0</v>
      </c>
      <c r="W60" s="307">
        <f t="shared" si="7"/>
        <v>0</v>
      </c>
      <c r="X60" s="307">
        <f t="shared" si="7"/>
        <v>0</v>
      </c>
      <c r="Y60" s="307">
        <f t="shared" si="7"/>
        <v>0</v>
      </c>
    </row>
    <row r="61" spans="1:27" x14ac:dyDescent="0.25">
      <c r="A61" s="15"/>
      <c r="H61" s="62"/>
      <c r="I61" s="62"/>
      <c r="J61" s="62"/>
      <c r="K61" s="62"/>
      <c r="L61" s="62"/>
      <c r="M61" s="62"/>
      <c r="N61" s="62"/>
      <c r="O61" s="62"/>
      <c r="P61" s="62"/>
      <c r="Q61" s="62"/>
      <c r="R61" s="62"/>
      <c r="S61" s="62"/>
      <c r="T61" s="62"/>
      <c r="U61" s="62"/>
      <c r="V61" s="62"/>
      <c r="W61" s="62"/>
      <c r="X61" s="62"/>
      <c r="Y61" s="62"/>
    </row>
    <row r="62" spans="1:27" x14ac:dyDescent="0.25">
      <c r="A62" s="15"/>
      <c r="E62" t="s">
        <v>834</v>
      </c>
      <c r="G62" s="6" t="s">
        <v>275</v>
      </c>
      <c r="H62" s="260">
        <f>SUM( J60:Y60 )</f>
        <v>0</v>
      </c>
      <c r="I62" s="62"/>
      <c r="J62" s="62"/>
      <c r="K62" s="62"/>
      <c r="L62" s="62"/>
      <c r="M62" s="62"/>
      <c r="N62" s="62"/>
      <c r="O62" s="62"/>
      <c r="P62" s="62"/>
      <c r="Q62" s="62"/>
      <c r="R62" s="62"/>
      <c r="S62" s="62"/>
      <c r="T62" s="62"/>
      <c r="U62" s="62"/>
      <c r="V62" s="62"/>
      <c r="W62" s="62"/>
      <c r="X62" s="62"/>
      <c r="Y62" s="62"/>
    </row>
    <row r="63" spans="1:27" x14ac:dyDescent="0.25">
      <c r="A63" s="15"/>
      <c r="H63" s="62"/>
      <c r="I63" s="62"/>
      <c r="J63" s="62"/>
      <c r="K63" s="62"/>
      <c r="L63" s="62"/>
      <c r="M63" s="62"/>
      <c r="N63" s="62"/>
      <c r="O63" s="62"/>
      <c r="P63" s="62"/>
      <c r="Q63" s="62"/>
      <c r="R63" s="62"/>
      <c r="S63" s="62"/>
      <c r="T63" s="62"/>
      <c r="U63" s="62"/>
      <c r="V63" s="62"/>
      <c r="W63" s="62"/>
      <c r="X63" s="62"/>
      <c r="Y63" s="62"/>
    </row>
    <row r="64" spans="1:27" x14ac:dyDescent="0.25">
      <c r="A64" s="15"/>
      <c r="E64" s="15" t="s">
        <v>835</v>
      </c>
      <c r="G64" s="6" t="s">
        <v>54</v>
      </c>
      <c r="H64" s="273">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25">
      <c r="A65" s="15"/>
      <c r="H65" s="62"/>
      <c r="I65" s="62"/>
      <c r="J65" s="62"/>
      <c r="K65" s="62"/>
      <c r="L65" s="62"/>
      <c r="M65" s="62"/>
      <c r="N65" s="62"/>
      <c r="O65" s="62"/>
      <c r="P65" s="62"/>
      <c r="Q65" s="62"/>
      <c r="R65" s="62"/>
      <c r="S65" s="62"/>
      <c r="T65" s="62"/>
      <c r="U65" s="62"/>
      <c r="V65" s="62"/>
      <c r="W65" s="62"/>
      <c r="X65" s="62"/>
      <c r="Y65" s="62"/>
    </row>
    <row r="66" spans="1:27" x14ac:dyDescent="0.25">
      <c r="A66" s="15"/>
      <c r="E66" t="s">
        <v>230</v>
      </c>
      <c r="G66" s="6" t="s">
        <v>54</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25">
      <c r="H67" s="62"/>
      <c r="I67" s="62"/>
      <c r="J67" s="62"/>
      <c r="K67" s="62"/>
      <c r="L67" s="62"/>
      <c r="M67" s="62"/>
      <c r="N67" s="62"/>
      <c r="O67" s="62"/>
      <c r="P67" s="62"/>
      <c r="Q67" s="62"/>
      <c r="R67" s="62"/>
      <c r="S67" s="62"/>
      <c r="T67" s="62"/>
      <c r="U67" s="62"/>
      <c r="V67" s="62"/>
      <c r="W67" s="62"/>
      <c r="X67" s="62"/>
      <c r="Y67" s="62"/>
    </row>
    <row r="68" spans="1:27" x14ac:dyDescent="0.25">
      <c r="B68" s="85" t="s">
        <v>105</v>
      </c>
      <c r="C68" s="85"/>
      <c r="D68" s="85"/>
      <c r="E68" s="85"/>
      <c r="F68" s="85"/>
      <c r="G68" s="85"/>
      <c r="H68" s="271"/>
      <c r="I68" s="271"/>
      <c r="J68" s="271"/>
      <c r="K68" s="271"/>
      <c r="L68" s="271"/>
      <c r="M68" s="271"/>
      <c r="N68" s="271"/>
      <c r="O68" s="271"/>
      <c r="P68" s="271"/>
      <c r="Q68" s="271"/>
      <c r="R68" s="271"/>
      <c r="S68" s="271"/>
      <c r="T68" s="271"/>
      <c r="U68" s="271"/>
      <c r="V68" s="271"/>
      <c r="W68" s="271"/>
      <c r="X68" s="271"/>
      <c r="Y68" s="271"/>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H432 &amp; IF(H432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0" t="s">
        <v>141</v>
      </c>
      <c r="H5" s="107"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6" spans="1:43" x14ac:dyDescent="0.25">
      <c r="C6" s="105"/>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25">
      <c r="D9" s="86" t="s">
        <v>685</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86" t="s">
        <v>686</v>
      </c>
      <c r="E10"/>
    </row>
    <row r="11" spans="1:43" x14ac:dyDescent="0.25">
      <c r="D11" s="86" t="s">
        <v>687</v>
      </c>
    </row>
    <row r="13" spans="1:43" x14ac:dyDescent="0.25">
      <c r="B13" s="85" t="s">
        <v>688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25">
      <c r="C14" s="105"/>
    </row>
    <row r="15" spans="1:43" x14ac:dyDescent="0.2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2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25">
      <c r="D17" s="86" t="s">
        <v>974</v>
      </c>
      <c r="F17" s="2"/>
    </row>
    <row r="18" spans="3:43" x14ac:dyDescent="0.25">
      <c r="D18" s="105"/>
      <c r="F18" s="2"/>
    </row>
    <row r="19" spans="3:43" ht="60" x14ac:dyDescent="0.25">
      <c r="D19"/>
      <c r="E19" s="75" t="s">
        <v>689</v>
      </c>
      <c r="F19" s="75"/>
      <c r="J19" s="308" t="s">
        <v>1112</v>
      </c>
      <c r="K19" s="308" t="s">
        <v>783</v>
      </c>
      <c r="L19" s="308" t="s">
        <v>1113</v>
      </c>
      <c r="M19" s="308" t="s">
        <v>784</v>
      </c>
      <c r="N19" s="308" t="s">
        <v>790</v>
      </c>
      <c r="O19" s="308" t="s">
        <v>791</v>
      </c>
      <c r="P19" s="308" t="s">
        <v>792</v>
      </c>
      <c r="Q19" s="308" t="s">
        <v>793</v>
      </c>
      <c r="R19" s="308" t="s">
        <v>785</v>
      </c>
      <c r="S19" s="308" t="s">
        <v>786</v>
      </c>
      <c r="T19" s="308" t="s">
        <v>787</v>
      </c>
      <c r="U19" s="308" t="s">
        <v>796</v>
      </c>
      <c r="V19" s="308" t="s">
        <v>788</v>
      </c>
      <c r="W19" s="308" t="s">
        <v>795</v>
      </c>
      <c r="X19" s="308" t="s">
        <v>789</v>
      </c>
      <c r="Y19" s="308" t="s">
        <v>794</v>
      </c>
      <c r="Z19" s="260"/>
      <c r="AA19" s="260"/>
      <c r="AB19" s="260"/>
      <c r="AC19" s="260"/>
      <c r="AD19" s="260"/>
      <c r="AE19" s="260"/>
      <c r="AF19" s="260"/>
      <c r="AG19" s="260"/>
      <c r="AH19" s="260"/>
      <c r="AI19" s="260"/>
      <c r="AJ19" s="260"/>
      <c r="AK19" s="260"/>
      <c r="AL19" s="260"/>
      <c r="AM19" s="260"/>
      <c r="AN19" s="260"/>
      <c r="AO19" s="260"/>
    </row>
    <row r="20" spans="3:43" x14ac:dyDescent="0.25">
      <c r="D20"/>
      <c r="E20" s="105"/>
      <c r="F20" s="95" t="s">
        <v>154</v>
      </c>
      <c r="G20" s="95" t="s">
        <v>267</v>
      </c>
      <c r="H20" s="265"/>
      <c r="I20" s="265"/>
      <c r="J20" s="277">
        <f>'Unit rate charges'!J217</f>
        <v>11.239126343152897</v>
      </c>
      <c r="K20" s="277">
        <f>'Unit rate charges'!K217</f>
        <v>11.239126343152897</v>
      </c>
      <c r="L20" s="277">
        <f>'Unit rate charges'!L217</f>
        <v>12.822603869331022</v>
      </c>
      <c r="M20" s="277">
        <f>'Unit rate charges'!M217</f>
        <v>12.822603869331022</v>
      </c>
      <c r="N20" s="277">
        <f>'Unit rate charges'!N217</f>
        <v>8.5220918944034256</v>
      </c>
      <c r="O20" s="277">
        <f>'Unit rate charges'!O217</f>
        <v>4.63380659366329</v>
      </c>
      <c r="P20" s="277">
        <f>'Unit rate charges'!P217</f>
        <v>3.403264536607697</v>
      </c>
      <c r="Q20" s="277">
        <f>'Unit rate charges'!Q217</f>
        <v>33.229532805108299</v>
      </c>
      <c r="R20" s="277">
        <f>'Unit rate charges'!R217</f>
        <v>-7.7355062211753616</v>
      </c>
      <c r="S20" s="277">
        <f>'Unit rate charges'!S217</f>
        <v>-6.5177917537082717</v>
      </c>
      <c r="T20" s="277">
        <f>'Unit rate charges'!T217</f>
        <v>-7.7355062211753616</v>
      </c>
      <c r="U20" s="277">
        <f>'Unit rate charges'!U217</f>
        <v>-7.7355062211753616</v>
      </c>
      <c r="V20" s="277">
        <f>'Unit rate charges'!V217</f>
        <v>-6.5177917537082717</v>
      </c>
      <c r="W20" s="277">
        <f>'Unit rate charges'!W217</f>
        <v>-6.5177917537082717</v>
      </c>
      <c r="X20" s="277">
        <f>'Unit rate charges'!X217</f>
        <v>-3.8842640314732568</v>
      </c>
      <c r="Y20" s="277">
        <f>'Unit rate charges'!Y217</f>
        <v>-3.8842640314732568</v>
      </c>
      <c r="Z20" s="260"/>
      <c r="AA20" s="260"/>
      <c r="AB20" s="260"/>
      <c r="AC20" s="260"/>
      <c r="AD20" s="260"/>
      <c r="AE20" s="260"/>
      <c r="AF20" s="260"/>
      <c r="AG20" s="260"/>
      <c r="AH20" s="260"/>
      <c r="AI20" s="260"/>
      <c r="AJ20" s="260"/>
      <c r="AK20" s="260"/>
      <c r="AL20" s="260"/>
      <c r="AM20" s="260"/>
      <c r="AN20" s="260"/>
      <c r="AO20" s="260"/>
      <c r="AP20" s="267"/>
      <c r="AQ20" s="267"/>
    </row>
    <row r="21" spans="3:43" x14ac:dyDescent="0.25">
      <c r="D21"/>
      <c r="E21" s="105"/>
      <c r="F21" t="s">
        <v>155</v>
      </c>
      <c r="G21" t="s">
        <v>267</v>
      </c>
      <c r="H21" s="267"/>
      <c r="I21" s="267"/>
      <c r="J21" s="309">
        <f>'Unit rate charges'!J218</f>
        <v>1.7019365165233478</v>
      </c>
      <c r="K21" s="309">
        <f>'Unit rate charges'!K218</f>
        <v>1.7019365165233478</v>
      </c>
      <c r="L21" s="309">
        <f>'Unit rate charges'!L218</f>
        <v>1.9417219004236221</v>
      </c>
      <c r="M21" s="309">
        <f>'Unit rate charges'!M218</f>
        <v>1.9417219004236221</v>
      </c>
      <c r="N21" s="309">
        <f>'Unit rate charges'!N218</f>
        <v>1.2552732468687873</v>
      </c>
      <c r="O21" s="309">
        <f>'Unit rate charges'!O218</f>
        <v>0.62630044190997236</v>
      </c>
      <c r="P21" s="309">
        <f>'Unit rate charges'!P218</f>
        <v>0.426988795557245</v>
      </c>
      <c r="Q21" s="309">
        <f>'Unit rate charges'!Q218</f>
        <v>1.5590045687056049</v>
      </c>
      <c r="R21" s="309">
        <f>'Unit rate charges'!R218</f>
        <v>-1.1713846886001484</v>
      </c>
      <c r="S21" s="309">
        <f>'Unit rate charges'!S218</f>
        <v>-0.97201750043234769</v>
      </c>
      <c r="T21" s="309">
        <f>'Unit rate charges'!T218</f>
        <v>-1.1713846886001484</v>
      </c>
      <c r="U21" s="309">
        <f>'Unit rate charges'!U218</f>
        <v>-1.1713846886001484</v>
      </c>
      <c r="V21" s="309">
        <f>'Unit rate charges'!V218</f>
        <v>-0.97201750043234769</v>
      </c>
      <c r="W21" s="309">
        <f>'Unit rate charges'!W218</f>
        <v>-0.97201750043234769</v>
      </c>
      <c r="X21" s="309">
        <f>'Unit rate charges'!X218</f>
        <v>-0.5249930548964733</v>
      </c>
      <c r="Y21" s="309">
        <f>'Unit rate charges'!Y218</f>
        <v>-0.5249930548964733</v>
      </c>
      <c r="Z21" s="260"/>
      <c r="AA21" s="260"/>
      <c r="AB21" s="260"/>
      <c r="AC21" s="260"/>
      <c r="AD21" s="260"/>
      <c r="AE21" s="260"/>
      <c r="AF21" s="260"/>
      <c r="AG21" s="260"/>
      <c r="AH21" s="260"/>
      <c r="AI21" s="260"/>
      <c r="AJ21" s="260"/>
      <c r="AK21" s="260"/>
      <c r="AL21" s="260"/>
      <c r="AM21" s="260"/>
      <c r="AN21" s="260"/>
      <c r="AO21" s="260"/>
      <c r="AP21" s="267"/>
      <c r="AQ21" s="267"/>
    </row>
    <row r="22" spans="3:43" x14ac:dyDescent="0.25">
      <c r="D22"/>
      <c r="E22" s="105"/>
      <c r="F22" t="s">
        <v>156</v>
      </c>
      <c r="G22" t="s">
        <v>267</v>
      </c>
      <c r="H22" s="267"/>
      <c r="I22" s="267"/>
      <c r="J22" s="309">
        <f>'Unit rate charges'!J219</f>
        <v>0.23964140375829796</v>
      </c>
      <c r="K22" s="309">
        <f>'Unit rate charges'!K219</f>
        <v>0.23964140375829796</v>
      </c>
      <c r="L22" s="309">
        <f>'Unit rate charges'!L219</f>
        <v>0.27340441750217515</v>
      </c>
      <c r="M22" s="309">
        <f>'Unit rate charges'!M219</f>
        <v>0.27340441750217515</v>
      </c>
      <c r="N22" s="309">
        <f>'Unit rate charges'!N219</f>
        <v>0.17893320502249527</v>
      </c>
      <c r="O22" s="309">
        <f>'Unit rate charges'!O219</f>
        <v>9.2861688090222647E-2</v>
      </c>
      <c r="P22" s="309">
        <f>'Unit rate charges'!P219</f>
        <v>6.5601945657101715E-2</v>
      </c>
      <c r="Q22" s="309">
        <f>'Unit rate charges'!Q219</f>
        <v>0.24390708535521802</v>
      </c>
      <c r="R22" s="309">
        <f>'Unit rate charges'!R219</f>
        <v>-0.16493698113402308</v>
      </c>
      <c r="S22" s="309">
        <f>'Unit rate charges'!S219</f>
        <v>-0.13779331844062356</v>
      </c>
      <c r="T22" s="309">
        <f>'Unit rate charges'!T219</f>
        <v>-0.16493698113402308</v>
      </c>
      <c r="U22" s="309">
        <f>'Unit rate charges'!U219</f>
        <v>-0.16493698113402308</v>
      </c>
      <c r="V22" s="309">
        <f>'Unit rate charges'!V219</f>
        <v>-0.13779331844062356</v>
      </c>
      <c r="W22" s="309">
        <f>'Unit rate charges'!W219</f>
        <v>-0.13779331844062356</v>
      </c>
      <c r="X22" s="309">
        <f>'Unit rate charges'!X219</f>
        <v>-7.784082215343105E-2</v>
      </c>
      <c r="Y22" s="309">
        <f>'Unit rate charges'!Y219</f>
        <v>-7.784082215343105E-2</v>
      </c>
      <c r="Z22" s="260"/>
      <c r="AA22" s="260"/>
      <c r="AB22" s="260"/>
      <c r="AC22" s="260"/>
      <c r="AD22" s="260"/>
      <c r="AE22" s="260"/>
      <c r="AF22" s="260"/>
      <c r="AG22" s="260"/>
      <c r="AH22" s="260"/>
      <c r="AI22" s="260"/>
      <c r="AJ22" s="260"/>
      <c r="AK22" s="260"/>
      <c r="AL22" s="260"/>
      <c r="AM22" s="260"/>
      <c r="AN22" s="260"/>
      <c r="AO22" s="260"/>
      <c r="AP22" s="267"/>
      <c r="AQ22" s="267"/>
    </row>
    <row r="23" spans="3:43" x14ac:dyDescent="0.25">
      <c r="D23"/>
      <c r="E23" s="105"/>
      <c r="F23" t="s">
        <v>157</v>
      </c>
      <c r="G23" t="s">
        <v>268</v>
      </c>
      <c r="J23" s="170">
        <f>'Fixed charges'!J161</f>
        <v>16.017618925955261</v>
      </c>
      <c r="K23" s="170">
        <f>'Fixed charges'!K161</f>
        <v>0</v>
      </c>
      <c r="L23" s="170">
        <f>'Fixed charges'!L161</f>
        <v>14.711610424126482</v>
      </c>
      <c r="M23" s="170">
        <f>'Fixed charges'!M161</f>
        <v>0</v>
      </c>
      <c r="N23" s="170">
        <f>'Fixed charges'!N161</f>
        <v>15.245335464261153</v>
      </c>
      <c r="O23" s="170">
        <f>'Fixed charges'!O161</f>
        <v>15.245335464261153</v>
      </c>
      <c r="P23" s="170">
        <f>'Fixed charges'!P161</f>
        <v>316.6556440359268</v>
      </c>
      <c r="Q23" s="170">
        <f>'Fixed charges'!Q161</f>
        <v>0</v>
      </c>
      <c r="R23" s="170">
        <f>'Fixed charges'!R161</f>
        <v>0</v>
      </c>
      <c r="S23" s="170">
        <f>'Fixed charges'!S161</f>
        <v>0</v>
      </c>
      <c r="T23" s="170">
        <f>'Fixed charges'!T161</f>
        <v>0</v>
      </c>
      <c r="U23" s="170">
        <f>'Fixed charges'!U161</f>
        <v>0</v>
      </c>
      <c r="V23" s="170">
        <f>'Fixed charges'!V161</f>
        <v>0</v>
      </c>
      <c r="W23" s="170">
        <f>'Fixed charges'!W161</f>
        <v>0</v>
      </c>
      <c r="X23" s="170">
        <f>'Fixed charges'!X161</f>
        <v>70.642345390577461</v>
      </c>
      <c r="Y23" s="170">
        <f>'Fixed charges'!Y161</f>
        <v>70.642345390577461</v>
      </c>
      <c r="Z23" s="260"/>
      <c r="AA23" s="260"/>
      <c r="AB23" s="260"/>
      <c r="AC23" s="260"/>
      <c r="AD23" s="260"/>
      <c r="AE23" s="260"/>
      <c r="AF23" s="260"/>
      <c r="AG23" s="260"/>
      <c r="AH23" s="260"/>
      <c r="AI23" s="260"/>
      <c r="AJ23" s="260"/>
      <c r="AK23" s="260"/>
      <c r="AL23" s="260"/>
      <c r="AM23" s="260"/>
      <c r="AN23" s="260"/>
      <c r="AO23" s="260"/>
    </row>
    <row r="24" spans="3:43" x14ac:dyDescent="0.25">
      <c r="D24"/>
      <c r="E24" s="105"/>
      <c r="F24" t="s">
        <v>158</v>
      </c>
      <c r="G24" t="s">
        <v>269</v>
      </c>
      <c r="J24" s="170">
        <f>'Capacity charges'!J256</f>
        <v>0</v>
      </c>
      <c r="K24" s="170">
        <f>'Capacity charges'!K256</f>
        <v>0</v>
      </c>
      <c r="L24" s="170">
        <f>'Capacity charges'!L256</f>
        <v>0</v>
      </c>
      <c r="M24" s="170">
        <f>'Capacity charges'!M256</f>
        <v>0</v>
      </c>
      <c r="N24" s="170">
        <f>'Capacity charges'!N256</f>
        <v>5.4829568334079246</v>
      </c>
      <c r="O24" s="170">
        <f>'Capacity charges'!O256</f>
        <v>5.1462397254002887</v>
      </c>
      <c r="P24" s="170">
        <f>'Capacity charges'!P256</f>
        <v>5.6015504360226798</v>
      </c>
      <c r="Q24" s="170">
        <f>'Capacity charges'!Q256</f>
        <v>0</v>
      </c>
      <c r="R24" s="170">
        <f>'Capacity charges'!R256</f>
        <v>0</v>
      </c>
      <c r="S24" s="170">
        <f>'Capacity charges'!S256</f>
        <v>0</v>
      </c>
      <c r="T24" s="170">
        <f>'Capacity charges'!T256</f>
        <v>0</v>
      </c>
      <c r="U24" s="170">
        <f>'Capacity charges'!U256</f>
        <v>0</v>
      </c>
      <c r="V24" s="170">
        <f>'Capacity charges'!V256</f>
        <v>0</v>
      </c>
      <c r="W24" s="170">
        <f>'Capacity charges'!W256</f>
        <v>0</v>
      </c>
      <c r="X24" s="170">
        <f>'Capacity charges'!X256</f>
        <v>0</v>
      </c>
      <c r="Y24" s="170">
        <f>'Capacity charges'!Y256</f>
        <v>0</v>
      </c>
      <c r="Z24" s="260"/>
      <c r="AA24" s="260"/>
      <c r="AB24" s="260"/>
      <c r="AC24" s="260"/>
      <c r="AD24" s="260"/>
      <c r="AE24" s="260"/>
      <c r="AF24" s="260"/>
      <c r="AG24" s="260"/>
      <c r="AH24" s="260"/>
      <c r="AI24" s="260"/>
      <c r="AJ24" s="260"/>
      <c r="AK24" s="260"/>
      <c r="AL24" s="260"/>
      <c r="AM24" s="260"/>
      <c r="AN24" s="260"/>
      <c r="AO24" s="260"/>
    </row>
    <row r="25" spans="3:43" x14ac:dyDescent="0.25">
      <c r="D25"/>
      <c r="E25" s="105"/>
      <c r="F25" t="s">
        <v>159</v>
      </c>
      <c r="G25" t="s">
        <v>269</v>
      </c>
      <c r="J25" s="171">
        <f>'Capacity charges'!J257</f>
        <v>0</v>
      </c>
      <c r="K25" s="171">
        <f>'Capacity charges'!K257</f>
        <v>0</v>
      </c>
      <c r="L25" s="171">
        <f>'Capacity charges'!L257</f>
        <v>0</v>
      </c>
      <c r="M25" s="171">
        <f>'Capacity charges'!M257</f>
        <v>0</v>
      </c>
      <c r="N25" s="171">
        <f>'Capacity charges'!N257</f>
        <v>5.4829568334079246</v>
      </c>
      <c r="O25" s="171">
        <f>'Capacity charges'!O257</f>
        <v>5.1462397254002887</v>
      </c>
      <c r="P25" s="171">
        <f>'Capacity charges'!P257</f>
        <v>5.6015504360226798</v>
      </c>
      <c r="Q25" s="171">
        <f>'Capacity charges'!Q257</f>
        <v>0</v>
      </c>
      <c r="R25" s="171">
        <f>'Capacity charges'!R257</f>
        <v>0</v>
      </c>
      <c r="S25" s="171">
        <f>'Capacity charges'!S257</f>
        <v>0</v>
      </c>
      <c r="T25" s="171">
        <f>'Capacity charges'!T257</f>
        <v>0</v>
      </c>
      <c r="U25" s="171">
        <f>'Capacity charges'!U257</f>
        <v>0</v>
      </c>
      <c r="V25" s="171">
        <f>'Capacity charges'!V257</f>
        <v>0</v>
      </c>
      <c r="W25" s="171">
        <f>'Capacity charges'!W257</f>
        <v>0</v>
      </c>
      <c r="X25" s="171">
        <f>'Capacity charges'!X257</f>
        <v>0</v>
      </c>
      <c r="Y25" s="171">
        <f>'Capacity charges'!Y257</f>
        <v>0</v>
      </c>
      <c r="Z25" s="260"/>
      <c r="AA25" s="260"/>
      <c r="AB25" s="260"/>
      <c r="AC25" s="260"/>
      <c r="AD25" s="260"/>
      <c r="AE25" s="260"/>
      <c r="AF25" s="260"/>
      <c r="AG25" s="260"/>
      <c r="AH25" s="260"/>
      <c r="AI25" s="260"/>
      <c r="AJ25" s="260"/>
      <c r="AK25" s="260"/>
      <c r="AL25" s="260"/>
      <c r="AM25" s="260"/>
      <c r="AN25" s="260"/>
      <c r="AO25" s="260"/>
    </row>
    <row r="26" spans="3:43" x14ac:dyDescent="0.25">
      <c r="D26"/>
      <c r="E26" s="105"/>
      <c r="F26" s="96" t="s">
        <v>160</v>
      </c>
      <c r="G26" s="96" t="s">
        <v>270</v>
      </c>
      <c r="H26" s="269"/>
      <c r="I26" s="269"/>
      <c r="J26" s="310">
        <f>'Reactive power charges'!J250</f>
        <v>0</v>
      </c>
      <c r="K26" s="310">
        <f>'Reactive power charges'!K250</f>
        <v>0</v>
      </c>
      <c r="L26" s="310">
        <f>'Reactive power charges'!L250</f>
        <v>0</v>
      </c>
      <c r="M26" s="310">
        <f>'Reactive power charges'!M250</f>
        <v>0</v>
      </c>
      <c r="N26" s="310">
        <f>'Reactive power charges'!N250</f>
        <v>0.16262775407449134</v>
      </c>
      <c r="O26" s="310">
        <f>'Reactive power charges'!O250</f>
        <v>8.7332745999980935E-2</v>
      </c>
      <c r="P26" s="310">
        <f>'Reactive power charges'!P250</f>
        <v>6.3104669794093876E-2</v>
      </c>
      <c r="Q26" s="310">
        <f>'Reactive power charges'!Q250</f>
        <v>0</v>
      </c>
      <c r="R26" s="310">
        <f>'Reactive power charges'!R250</f>
        <v>0</v>
      </c>
      <c r="S26" s="310">
        <f>'Reactive power charges'!S250</f>
        <v>0</v>
      </c>
      <c r="T26" s="310">
        <f>'Reactive power charges'!T250</f>
        <v>0.1295170343436588</v>
      </c>
      <c r="U26" s="310">
        <f>'Reactive power charges'!U250</f>
        <v>0</v>
      </c>
      <c r="V26" s="310">
        <f>'Reactive power charges'!V250</f>
        <v>0.12223023204846202</v>
      </c>
      <c r="W26" s="310">
        <f>'Reactive power charges'!W250</f>
        <v>0</v>
      </c>
      <c r="X26" s="310">
        <f>'Reactive power charges'!X250</f>
        <v>0.10789719559042603</v>
      </c>
      <c r="Y26" s="310">
        <f>'Reactive power charges'!Y250</f>
        <v>0</v>
      </c>
      <c r="Z26" s="260"/>
      <c r="AA26" s="260"/>
      <c r="AB26" s="260"/>
      <c r="AC26" s="260"/>
      <c r="AD26" s="260"/>
      <c r="AE26" s="260"/>
      <c r="AF26" s="260"/>
      <c r="AG26" s="260"/>
      <c r="AH26" s="260"/>
      <c r="AI26" s="260"/>
      <c r="AJ26" s="260"/>
      <c r="AK26" s="260"/>
      <c r="AL26" s="260"/>
      <c r="AM26" s="260"/>
      <c r="AN26" s="260"/>
      <c r="AO26" s="260"/>
      <c r="AP26" s="267"/>
      <c r="AQ26" s="267"/>
    </row>
    <row r="27" spans="3:43" x14ac:dyDescent="0.25">
      <c r="D27"/>
      <c r="E27" s="105"/>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row>
    <row r="28" spans="3:43" ht="60" x14ac:dyDescent="0.25">
      <c r="D28"/>
      <c r="E28" s="105"/>
      <c r="J28" s="308" t="s">
        <v>1112</v>
      </c>
      <c r="K28" s="308" t="s">
        <v>783</v>
      </c>
      <c r="L28" s="308" t="s">
        <v>1113</v>
      </c>
      <c r="M28" s="308" t="s">
        <v>784</v>
      </c>
      <c r="N28" s="308" t="s">
        <v>790</v>
      </c>
      <c r="O28" s="308" t="s">
        <v>791</v>
      </c>
      <c r="P28" s="308" t="s">
        <v>792</v>
      </c>
      <c r="Q28" s="308" t="s">
        <v>793</v>
      </c>
      <c r="R28" s="308" t="s">
        <v>785</v>
      </c>
      <c r="S28" s="308" t="s">
        <v>786</v>
      </c>
      <c r="T28" s="308" t="s">
        <v>787</v>
      </c>
      <c r="U28" s="308" t="s">
        <v>796</v>
      </c>
      <c r="V28" s="308" t="s">
        <v>788</v>
      </c>
      <c r="W28" s="308" t="s">
        <v>795</v>
      </c>
      <c r="X28" s="308" t="s">
        <v>789</v>
      </c>
      <c r="Y28" s="308" t="s">
        <v>794</v>
      </c>
      <c r="Z28" s="260"/>
      <c r="AA28" s="260"/>
      <c r="AB28" s="260"/>
      <c r="AC28" s="260"/>
      <c r="AD28" s="260"/>
      <c r="AE28" s="260"/>
      <c r="AF28" s="260"/>
      <c r="AG28" s="260"/>
      <c r="AH28" s="260"/>
      <c r="AI28" s="260"/>
      <c r="AJ28" s="260"/>
      <c r="AK28" s="260"/>
      <c r="AL28" s="260"/>
      <c r="AM28" s="260"/>
      <c r="AN28" s="260"/>
      <c r="AO28" s="260"/>
    </row>
    <row r="29" spans="3:43" x14ac:dyDescent="0.25">
      <c r="D29"/>
      <c r="E29" s="94" t="s">
        <v>827</v>
      </c>
      <c r="F29" s="192"/>
      <c r="G29" t="s">
        <v>268</v>
      </c>
      <c r="J29" s="311">
        <f>'SoLR &amp; bad debt adders'!J46</f>
        <v>0</v>
      </c>
      <c r="K29" s="311">
        <f>'SoLR &amp; bad debt adders'!K46</f>
        <v>0</v>
      </c>
      <c r="L29" s="311">
        <f>'SoLR &amp; bad debt adders'!L46</f>
        <v>0</v>
      </c>
      <c r="M29" s="311">
        <f>'SoLR &amp; bad debt adders'!M46</f>
        <v>0</v>
      </c>
      <c r="N29" s="311">
        <f>'SoLR &amp; bad debt adders'!N46</f>
        <v>0</v>
      </c>
      <c r="O29" s="311">
        <f>'SoLR &amp; bad debt adders'!O46</f>
        <v>0</v>
      </c>
      <c r="P29" s="311">
        <f>'SoLR &amp; bad debt adders'!P46</f>
        <v>0</v>
      </c>
      <c r="Q29" s="311">
        <f>'SoLR &amp; bad debt adders'!Q46</f>
        <v>0</v>
      </c>
      <c r="R29" s="311">
        <f>'SoLR &amp; bad debt adders'!R46</f>
        <v>0</v>
      </c>
      <c r="S29" s="311">
        <f>'SoLR &amp; bad debt adders'!S46</f>
        <v>0</v>
      </c>
      <c r="T29" s="311">
        <f>'SoLR &amp; bad debt adders'!T46</f>
        <v>0</v>
      </c>
      <c r="U29" s="311">
        <f>'SoLR &amp; bad debt adders'!U46</f>
        <v>0</v>
      </c>
      <c r="V29" s="311">
        <f>'SoLR &amp; bad debt adders'!V46</f>
        <v>0</v>
      </c>
      <c r="W29" s="311">
        <f>'SoLR &amp; bad debt adders'!W46</f>
        <v>0</v>
      </c>
      <c r="X29" s="311">
        <f>'SoLR &amp; bad debt adders'!X46</f>
        <v>0</v>
      </c>
      <c r="Y29" s="311">
        <f>'SoLR &amp; bad debt adders'!Y46</f>
        <v>0</v>
      </c>
      <c r="Z29" s="260"/>
      <c r="AA29" s="260"/>
      <c r="AB29" s="260"/>
      <c r="AC29" s="260"/>
      <c r="AD29" s="260"/>
      <c r="AE29" s="260"/>
      <c r="AF29" s="260"/>
      <c r="AG29" s="260"/>
      <c r="AH29" s="260"/>
      <c r="AI29" s="260"/>
      <c r="AJ29" s="260"/>
      <c r="AK29" s="260"/>
      <c r="AL29" s="260"/>
      <c r="AM29" s="260"/>
      <c r="AN29" s="260"/>
      <c r="AO29" s="260"/>
    </row>
    <row r="30" spans="3:43" x14ac:dyDescent="0.25">
      <c r="D30"/>
      <c r="E30" s="105"/>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row>
    <row r="31" spans="3:43" x14ac:dyDescent="0.25">
      <c r="D31"/>
      <c r="E31" s="312" t="str">
        <f>'Fixed inputs'!E164</f>
        <v>Flags for calculation of revenue matching</v>
      </c>
    </row>
    <row r="32" spans="3:43" x14ac:dyDescent="0.25">
      <c r="C32" s="86"/>
      <c r="F32" s="95" t="s">
        <v>876</v>
      </c>
      <c r="G32" s="95" t="s">
        <v>859</v>
      </c>
      <c r="H32" s="95"/>
      <c r="I32" s="95"/>
      <c r="J32" s="289" t="b">
        <f>'Fixed inputs'!J165</f>
        <v>1</v>
      </c>
      <c r="K32" s="289" t="b">
        <f>'Fixed inputs'!K165</f>
        <v>0</v>
      </c>
      <c r="L32" s="289" t="b">
        <f>'Fixed inputs'!L165</f>
        <v>0</v>
      </c>
      <c r="M32" s="289" t="b">
        <f>'Fixed inputs'!M165</f>
        <v>1</v>
      </c>
      <c r="N32" s="289" t="b">
        <f>'Fixed inputs'!N165</f>
        <v>1</v>
      </c>
      <c r="O32" s="289" t="b">
        <f>'Fixed inputs'!O165</f>
        <v>1</v>
      </c>
      <c r="P32" s="289" t="b">
        <f>'Fixed inputs'!P165</f>
        <v>1</v>
      </c>
      <c r="Q32" s="289" t="b">
        <f>'Fixed inputs'!Q165</f>
        <v>0</v>
      </c>
      <c r="R32" s="289" t="b">
        <f>'Fixed inputs'!R165</f>
        <v>0</v>
      </c>
      <c r="S32" s="289" t="b">
        <f>'Fixed inputs'!S165</f>
        <v>1</v>
      </c>
      <c r="T32" s="289" t="b">
        <f>'Fixed inputs'!T165</f>
        <v>1</v>
      </c>
      <c r="U32" s="289" t="b">
        <f>'Fixed inputs'!U165</f>
        <v>1</v>
      </c>
      <c r="V32" s="289" t="b">
        <f>'Fixed inputs'!V165</f>
        <v>1</v>
      </c>
      <c r="W32" s="289" t="b">
        <f>'Fixed inputs'!W165</f>
        <v>0</v>
      </c>
      <c r="X32" s="289" t="b">
        <f>'Fixed inputs'!X165</f>
        <v>1</v>
      </c>
      <c r="Y32" s="289" t="b">
        <f>'Fixed inputs'!Y165</f>
        <v>1</v>
      </c>
      <c r="Z32" s="289" t="b">
        <f>'Fixed inputs'!Z165</f>
        <v>1</v>
      </c>
      <c r="AA32" s="289" t="b">
        <f>'Fixed inputs'!AA165</f>
        <v>1</v>
      </c>
      <c r="AB32" s="289" t="b">
        <f>'Fixed inputs'!AB165</f>
        <v>0</v>
      </c>
      <c r="AC32" s="289" t="b">
        <f>'Fixed inputs'!AC165</f>
        <v>1</v>
      </c>
      <c r="AD32" s="289" t="b">
        <f>'Fixed inputs'!AD165</f>
        <v>1</v>
      </c>
      <c r="AE32" s="289" t="b">
        <f>'Fixed inputs'!AE165</f>
        <v>1</v>
      </c>
      <c r="AF32" s="289" t="b">
        <f>'Fixed inputs'!AF165</f>
        <v>1</v>
      </c>
      <c r="AG32" s="289" t="b">
        <f>'Fixed inputs'!AG165</f>
        <v>1</v>
      </c>
      <c r="AH32" s="289" t="b">
        <f>'Fixed inputs'!AH165</f>
        <v>0</v>
      </c>
      <c r="AI32" s="289" t="b">
        <f>'Fixed inputs'!AI165</f>
        <v>0</v>
      </c>
      <c r="AJ32" s="289" t="b">
        <f>'Fixed inputs'!AJ165</f>
        <v>0</v>
      </c>
      <c r="AK32" s="289" t="b">
        <f>'Fixed inputs'!AK165</f>
        <v>0</v>
      </c>
      <c r="AL32" s="289" t="b">
        <f>'Fixed inputs'!AL165</f>
        <v>0</v>
      </c>
      <c r="AM32" s="289" t="b">
        <f>'Fixed inputs'!AM165</f>
        <v>0</v>
      </c>
      <c r="AN32" s="289" t="b">
        <f>'Fixed inputs'!AN165</f>
        <v>0</v>
      </c>
      <c r="AO32" s="289" t="b">
        <f>'Fixed inputs'!AO165</f>
        <v>0</v>
      </c>
    </row>
    <row r="33" spans="3:43" x14ac:dyDescent="0.25">
      <c r="C33" s="86"/>
      <c r="D33"/>
      <c r="F33" t="s">
        <v>888</v>
      </c>
      <c r="G33" t="s">
        <v>859</v>
      </c>
      <c r="J33" s="212" t="b">
        <f>'Fixed inputs'!J166</f>
        <v>1</v>
      </c>
      <c r="K33" s="108"/>
      <c r="L33" s="108"/>
      <c r="M33" s="212" t="b">
        <f>'Fixed inputs'!M166</f>
        <v>1</v>
      </c>
      <c r="N33" s="212" t="b">
        <f>'Fixed inputs'!N166</f>
        <v>1</v>
      </c>
      <c r="O33" s="212" t="b">
        <f>'Fixed inputs'!O166</f>
        <v>1</v>
      </c>
      <c r="P33" s="212" t="b">
        <f>'Fixed inputs'!P166</f>
        <v>1</v>
      </c>
      <c r="Q33" s="108"/>
      <c r="R33" s="108"/>
      <c r="S33" s="212" t="b">
        <f>'Fixed inputs'!S166</f>
        <v>1</v>
      </c>
      <c r="T33" s="212" t="b">
        <f>'Fixed inputs'!T166</f>
        <v>1</v>
      </c>
      <c r="U33" s="212" t="b">
        <f>'Fixed inputs'!U166</f>
        <v>1</v>
      </c>
      <c r="V33" s="212" t="b">
        <f>'Fixed inputs'!V166</f>
        <v>1</v>
      </c>
      <c r="W33" s="108"/>
      <c r="X33" s="212" t="b">
        <f>'Fixed inputs'!X166</f>
        <v>1</v>
      </c>
      <c r="Y33" s="212" t="b">
        <f>'Fixed inputs'!Y166</f>
        <v>1</v>
      </c>
      <c r="Z33" s="212" t="b">
        <f>'Fixed inputs'!Z166</f>
        <v>1</v>
      </c>
      <c r="AA33" s="212" t="b">
        <f>'Fixed inputs'!AA166</f>
        <v>1</v>
      </c>
      <c r="AB33" s="108"/>
      <c r="AC33" s="212" t="b">
        <f>'Fixed inputs'!AC166</f>
        <v>1</v>
      </c>
      <c r="AD33" s="212" t="b">
        <f>'Fixed inputs'!AD166</f>
        <v>1</v>
      </c>
      <c r="AE33" s="212" t="b">
        <f>'Fixed inputs'!AE166</f>
        <v>1</v>
      </c>
      <c r="AF33" s="212" t="b">
        <f>'Fixed inputs'!AF166</f>
        <v>1</v>
      </c>
      <c r="AG33" s="212" t="b">
        <f>'Fixed inputs'!AG166</f>
        <v>0</v>
      </c>
      <c r="AH33" s="108"/>
      <c r="AI33" s="108"/>
      <c r="AJ33" s="108"/>
      <c r="AK33" s="108"/>
      <c r="AL33" s="108"/>
      <c r="AM33" s="108"/>
      <c r="AN33" s="108"/>
      <c r="AO33" s="108"/>
    </row>
    <row r="34" spans="3:43" x14ac:dyDescent="0.25">
      <c r="C34" s="86"/>
      <c r="D34"/>
      <c r="F34" t="s">
        <v>889</v>
      </c>
      <c r="G34" t="s">
        <v>859</v>
      </c>
      <c r="J34" s="212" t="b">
        <f>'Fixed inputs'!J167</f>
        <v>0</v>
      </c>
      <c r="K34" s="108"/>
      <c r="L34" s="108"/>
      <c r="M34" s="212" t="b">
        <f>'Fixed inputs'!M167</f>
        <v>0</v>
      </c>
      <c r="N34" s="212" t="b">
        <f>'Fixed inputs'!N167</f>
        <v>0</v>
      </c>
      <c r="O34" s="212" t="b">
        <f>'Fixed inputs'!O167</f>
        <v>0</v>
      </c>
      <c r="P34" s="212" t="b">
        <f>'Fixed inputs'!P167</f>
        <v>0</v>
      </c>
      <c r="Q34" s="108"/>
      <c r="R34" s="108"/>
      <c r="S34" s="212" t="b">
        <f>'Fixed inputs'!S167</f>
        <v>0</v>
      </c>
      <c r="T34" s="212" t="b">
        <f>'Fixed inputs'!T167</f>
        <v>0</v>
      </c>
      <c r="U34" s="212" t="b">
        <f>'Fixed inputs'!U167</f>
        <v>0</v>
      </c>
      <c r="V34" s="212" t="b">
        <f>'Fixed inputs'!V167</f>
        <v>0</v>
      </c>
      <c r="W34" s="108"/>
      <c r="X34" s="212" t="b">
        <f>'Fixed inputs'!X167</f>
        <v>0</v>
      </c>
      <c r="Y34" s="212" t="b">
        <f>'Fixed inputs'!Y167</f>
        <v>0</v>
      </c>
      <c r="Z34" s="212" t="b">
        <f>'Fixed inputs'!Z167</f>
        <v>0</v>
      </c>
      <c r="AA34" s="212" t="b">
        <f>'Fixed inputs'!AA167</f>
        <v>0</v>
      </c>
      <c r="AB34" s="108"/>
      <c r="AC34" s="212" t="b">
        <f>'Fixed inputs'!AC167</f>
        <v>0</v>
      </c>
      <c r="AD34" s="212" t="b">
        <f>'Fixed inputs'!AD167</f>
        <v>0</v>
      </c>
      <c r="AE34" s="212" t="b">
        <f>'Fixed inputs'!AE167</f>
        <v>0</v>
      </c>
      <c r="AF34" s="212" t="b">
        <f>'Fixed inputs'!AF167</f>
        <v>0</v>
      </c>
      <c r="AG34" s="212" t="b">
        <f>'Fixed inputs'!AG167</f>
        <v>1</v>
      </c>
      <c r="AH34" s="108"/>
      <c r="AI34" s="108"/>
      <c r="AJ34" s="108"/>
      <c r="AK34" s="108"/>
      <c r="AL34" s="108"/>
      <c r="AM34" s="108"/>
      <c r="AN34" s="108"/>
      <c r="AO34" s="108"/>
    </row>
    <row r="35" spans="3:43" x14ac:dyDescent="0.25">
      <c r="F35" t="s">
        <v>886</v>
      </c>
      <c r="G35" t="s">
        <v>147</v>
      </c>
      <c r="J35" s="212">
        <f>'Fixed inputs'!J168</f>
        <v>1</v>
      </c>
      <c r="K35" s="108"/>
      <c r="L35" s="108"/>
      <c r="M35" s="212">
        <f>'Fixed inputs'!M168</f>
        <v>2</v>
      </c>
      <c r="N35" s="212">
        <f>'Fixed inputs'!N168</f>
        <v>2</v>
      </c>
      <c r="O35" s="212">
        <f>'Fixed inputs'!O168</f>
        <v>2</v>
      </c>
      <c r="P35" s="212">
        <f>'Fixed inputs'!P168</f>
        <v>2</v>
      </c>
      <c r="Q35" s="108"/>
      <c r="R35" s="108"/>
      <c r="S35" s="212">
        <f>'Fixed inputs'!S168</f>
        <v>3</v>
      </c>
      <c r="T35" s="212">
        <f>'Fixed inputs'!T168</f>
        <v>3</v>
      </c>
      <c r="U35" s="212">
        <f>'Fixed inputs'!U168</f>
        <v>3</v>
      </c>
      <c r="V35" s="212">
        <f>'Fixed inputs'!V168</f>
        <v>3</v>
      </c>
      <c r="W35" s="108"/>
      <c r="X35" s="212">
        <f>'Fixed inputs'!X168</f>
        <v>3</v>
      </c>
      <c r="Y35" s="212">
        <f>'Fixed inputs'!Y168</f>
        <v>3</v>
      </c>
      <c r="Z35" s="212">
        <f>'Fixed inputs'!Z168</f>
        <v>3</v>
      </c>
      <c r="AA35" s="212">
        <f>'Fixed inputs'!AA168</f>
        <v>3</v>
      </c>
      <c r="AB35" s="108"/>
      <c r="AC35" s="212">
        <f>'Fixed inputs'!AC168</f>
        <v>4</v>
      </c>
      <c r="AD35" s="212">
        <f>'Fixed inputs'!AD168</f>
        <v>4</v>
      </c>
      <c r="AE35" s="212">
        <f>'Fixed inputs'!AE168</f>
        <v>4</v>
      </c>
      <c r="AF35" s="212">
        <f>'Fixed inputs'!AF168</f>
        <v>4</v>
      </c>
      <c r="AG35" s="212">
        <f>'Fixed inputs'!AG168</f>
        <v>5</v>
      </c>
      <c r="AH35" s="108"/>
      <c r="AI35" s="108"/>
      <c r="AJ35" s="108"/>
      <c r="AK35" s="108"/>
      <c r="AL35" s="108"/>
      <c r="AM35" s="108"/>
      <c r="AN35" s="108"/>
      <c r="AO35" s="108"/>
    </row>
    <row r="36" spans="3:43" x14ac:dyDescent="0.25">
      <c r="C36" s="86"/>
      <c r="F36" t="s">
        <v>885</v>
      </c>
      <c r="G36" t="s">
        <v>147</v>
      </c>
      <c r="J36" s="212">
        <f>'Fixed inputs'!J169</f>
        <v>1</v>
      </c>
      <c r="K36" s="108"/>
      <c r="L36" s="108"/>
      <c r="M36" s="212">
        <f>'Fixed inputs'!M169</f>
        <v>1</v>
      </c>
      <c r="N36" s="212">
        <f>'Fixed inputs'!N169</f>
        <v>2</v>
      </c>
      <c r="O36" s="212">
        <f>'Fixed inputs'!O169</f>
        <v>3</v>
      </c>
      <c r="P36" s="212">
        <f>'Fixed inputs'!P169</f>
        <v>4</v>
      </c>
      <c r="Q36" s="108"/>
      <c r="R36" s="108"/>
      <c r="S36" s="212">
        <f>'Fixed inputs'!S169</f>
        <v>1</v>
      </c>
      <c r="T36" s="212">
        <f>'Fixed inputs'!T169</f>
        <v>2</v>
      </c>
      <c r="U36" s="212">
        <f>'Fixed inputs'!U169</f>
        <v>3</v>
      </c>
      <c r="V36" s="212">
        <f>'Fixed inputs'!V169</f>
        <v>4</v>
      </c>
      <c r="W36" s="108"/>
      <c r="X36" s="212">
        <f>'Fixed inputs'!X169</f>
        <v>1</v>
      </c>
      <c r="Y36" s="212">
        <f>'Fixed inputs'!Y169</f>
        <v>2</v>
      </c>
      <c r="Z36" s="212">
        <f>'Fixed inputs'!Z169</f>
        <v>3</v>
      </c>
      <c r="AA36" s="212">
        <f>'Fixed inputs'!AA169</f>
        <v>4</v>
      </c>
      <c r="AB36" s="108"/>
      <c r="AC36" s="212">
        <f>'Fixed inputs'!AC169</f>
        <v>1</v>
      </c>
      <c r="AD36" s="212">
        <f>'Fixed inputs'!AD169</f>
        <v>2</v>
      </c>
      <c r="AE36" s="212">
        <f>'Fixed inputs'!AE169</f>
        <v>3</v>
      </c>
      <c r="AF36" s="212">
        <f>'Fixed inputs'!AF169</f>
        <v>4</v>
      </c>
      <c r="AG36" s="212">
        <f>'Fixed inputs'!AG169</f>
        <v>1</v>
      </c>
      <c r="AH36" s="108"/>
      <c r="AI36" s="108"/>
      <c r="AJ36" s="108"/>
      <c r="AK36" s="108"/>
      <c r="AL36" s="108"/>
      <c r="AM36" s="108"/>
      <c r="AN36" s="108"/>
      <c r="AO36" s="108"/>
    </row>
    <row r="37" spans="3:43" x14ac:dyDescent="0.25">
      <c r="D37" s="105"/>
      <c r="F37" s="101" t="s">
        <v>887</v>
      </c>
      <c r="G37" s="96" t="s">
        <v>147</v>
      </c>
      <c r="H37" s="96"/>
      <c r="I37" s="96"/>
      <c r="J37" s="297">
        <f>'Fixed inputs'!J170</f>
        <v>1</v>
      </c>
      <c r="K37" s="297">
        <f>'Fixed inputs'!K170</f>
        <v>2</v>
      </c>
      <c r="L37" s="297">
        <f>'Fixed inputs'!L170</f>
        <v>3</v>
      </c>
      <c r="M37" s="297">
        <f>'Fixed inputs'!M170</f>
        <v>3</v>
      </c>
      <c r="N37" s="297">
        <f>'Fixed inputs'!N170</f>
        <v>3</v>
      </c>
      <c r="O37" s="297">
        <f>'Fixed inputs'!O170</f>
        <v>3</v>
      </c>
      <c r="P37" s="297">
        <f>'Fixed inputs'!P170</f>
        <v>3</v>
      </c>
      <c r="Q37" s="297">
        <f>'Fixed inputs'!Q170</f>
        <v>4</v>
      </c>
      <c r="R37" s="297">
        <f>'Fixed inputs'!R170</f>
        <v>5</v>
      </c>
      <c r="S37" s="297">
        <f>'Fixed inputs'!S170</f>
        <v>5</v>
      </c>
      <c r="T37" s="297">
        <f>'Fixed inputs'!T170</f>
        <v>5</v>
      </c>
      <c r="U37" s="297">
        <f>'Fixed inputs'!U170</f>
        <v>5</v>
      </c>
      <c r="V37" s="297">
        <f>'Fixed inputs'!V170</f>
        <v>5</v>
      </c>
      <c r="W37" s="297">
        <f>'Fixed inputs'!W170</f>
        <v>6</v>
      </c>
      <c r="X37" s="297">
        <f>'Fixed inputs'!X170</f>
        <v>6</v>
      </c>
      <c r="Y37" s="297">
        <f>'Fixed inputs'!Y170</f>
        <v>6</v>
      </c>
      <c r="Z37" s="297">
        <f>'Fixed inputs'!Z170</f>
        <v>6</v>
      </c>
      <c r="AA37" s="297">
        <f>'Fixed inputs'!AA170</f>
        <v>6</v>
      </c>
      <c r="AB37" s="297">
        <f>'Fixed inputs'!AB170</f>
        <v>7</v>
      </c>
      <c r="AC37" s="297">
        <f>'Fixed inputs'!AC170</f>
        <v>7</v>
      </c>
      <c r="AD37" s="297">
        <f>'Fixed inputs'!AD170</f>
        <v>7</v>
      </c>
      <c r="AE37" s="297">
        <f>'Fixed inputs'!AE170</f>
        <v>7</v>
      </c>
      <c r="AF37" s="297">
        <f>'Fixed inputs'!AF170</f>
        <v>7</v>
      </c>
      <c r="AG37" s="297">
        <f>'Fixed inputs'!AG170</f>
        <v>8</v>
      </c>
      <c r="AH37" s="297">
        <f>'Fixed inputs'!AH170</f>
        <v>9</v>
      </c>
      <c r="AI37" s="297">
        <f>'Fixed inputs'!AI170</f>
        <v>10</v>
      </c>
      <c r="AJ37" s="297">
        <f>'Fixed inputs'!AJ170</f>
        <v>11</v>
      </c>
      <c r="AK37" s="297">
        <f>'Fixed inputs'!AK170</f>
        <v>12</v>
      </c>
      <c r="AL37" s="297">
        <f>'Fixed inputs'!AL170</f>
        <v>13</v>
      </c>
      <c r="AM37" s="297">
        <f>'Fixed inputs'!AM170</f>
        <v>14</v>
      </c>
      <c r="AN37" s="297">
        <f>'Fixed inputs'!AN170</f>
        <v>15</v>
      </c>
      <c r="AO37" s="297">
        <f>'Fixed inputs'!AO170</f>
        <v>16</v>
      </c>
    </row>
    <row r="38" spans="3:43" x14ac:dyDescent="0.25">
      <c r="C38" s="86"/>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75" t="s">
        <v>689</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25">
      <c r="D40"/>
      <c r="E40" s="105"/>
      <c r="F40" s="95" t="s">
        <v>154</v>
      </c>
      <c r="G40" s="95" t="s">
        <v>267</v>
      </c>
      <c r="H40" s="265"/>
      <c r="I40" s="265"/>
      <c r="J40" s="266">
        <f t="shared" ref="J40:AO40" si="0">INDEX($J20:$Y20,J$37)</f>
        <v>11.239126343152897</v>
      </c>
      <c r="K40" s="266">
        <f t="shared" si="0"/>
        <v>11.239126343152897</v>
      </c>
      <c r="L40" s="266">
        <f t="shared" si="0"/>
        <v>12.822603869331022</v>
      </c>
      <c r="M40" s="266">
        <f t="shared" si="0"/>
        <v>12.822603869331022</v>
      </c>
      <c r="N40" s="266">
        <f t="shared" si="0"/>
        <v>12.822603869331022</v>
      </c>
      <c r="O40" s="266">
        <f t="shared" si="0"/>
        <v>12.822603869331022</v>
      </c>
      <c r="P40" s="266">
        <f t="shared" si="0"/>
        <v>12.822603869331022</v>
      </c>
      <c r="Q40" s="266">
        <f t="shared" si="0"/>
        <v>12.822603869331022</v>
      </c>
      <c r="R40" s="266">
        <f t="shared" si="0"/>
        <v>8.5220918944034256</v>
      </c>
      <c r="S40" s="266">
        <f t="shared" si="0"/>
        <v>8.5220918944034256</v>
      </c>
      <c r="T40" s="266">
        <f t="shared" si="0"/>
        <v>8.5220918944034256</v>
      </c>
      <c r="U40" s="266">
        <f t="shared" si="0"/>
        <v>8.5220918944034256</v>
      </c>
      <c r="V40" s="266">
        <f t="shared" si="0"/>
        <v>8.5220918944034256</v>
      </c>
      <c r="W40" s="266">
        <f t="shared" si="0"/>
        <v>4.63380659366329</v>
      </c>
      <c r="X40" s="266">
        <f t="shared" si="0"/>
        <v>4.63380659366329</v>
      </c>
      <c r="Y40" s="266">
        <f t="shared" si="0"/>
        <v>4.63380659366329</v>
      </c>
      <c r="Z40" s="266">
        <f t="shared" si="0"/>
        <v>4.63380659366329</v>
      </c>
      <c r="AA40" s="266">
        <f t="shared" si="0"/>
        <v>4.63380659366329</v>
      </c>
      <c r="AB40" s="266">
        <f t="shared" si="0"/>
        <v>3.403264536607697</v>
      </c>
      <c r="AC40" s="266">
        <f t="shared" si="0"/>
        <v>3.403264536607697</v>
      </c>
      <c r="AD40" s="266">
        <f t="shared" si="0"/>
        <v>3.403264536607697</v>
      </c>
      <c r="AE40" s="266">
        <f t="shared" si="0"/>
        <v>3.403264536607697</v>
      </c>
      <c r="AF40" s="266">
        <f t="shared" si="0"/>
        <v>3.403264536607697</v>
      </c>
      <c r="AG40" s="266">
        <f t="shared" si="0"/>
        <v>33.229532805108299</v>
      </c>
      <c r="AH40" s="266">
        <f t="shared" si="0"/>
        <v>-7.7355062211753616</v>
      </c>
      <c r="AI40" s="266">
        <f t="shared" si="0"/>
        <v>-6.5177917537082717</v>
      </c>
      <c r="AJ40" s="266">
        <f t="shared" si="0"/>
        <v>-7.7355062211753616</v>
      </c>
      <c r="AK40" s="266">
        <f t="shared" si="0"/>
        <v>-7.7355062211753616</v>
      </c>
      <c r="AL40" s="266">
        <f t="shared" si="0"/>
        <v>-6.5177917537082717</v>
      </c>
      <c r="AM40" s="266">
        <f t="shared" si="0"/>
        <v>-6.5177917537082717</v>
      </c>
      <c r="AN40" s="266">
        <f t="shared" si="0"/>
        <v>-3.8842640314732568</v>
      </c>
      <c r="AO40" s="266">
        <f t="shared" si="0"/>
        <v>-3.8842640314732568</v>
      </c>
      <c r="AP40" s="267"/>
      <c r="AQ40" s="267"/>
    </row>
    <row r="41" spans="3:43" x14ac:dyDescent="0.25">
      <c r="D41"/>
      <c r="E41" s="105"/>
      <c r="F41" t="s">
        <v>155</v>
      </c>
      <c r="G41" t="s">
        <v>267</v>
      </c>
      <c r="H41" s="267"/>
      <c r="I41" s="267"/>
      <c r="J41" s="268">
        <f t="shared" ref="J41:AO41" si="1">INDEX($J21:$Y21,J$37)</f>
        <v>1.7019365165233478</v>
      </c>
      <c r="K41" s="268">
        <f t="shared" si="1"/>
        <v>1.7019365165233478</v>
      </c>
      <c r="L41" s="268">
        <f t="shared" si="1"/>
        <v>1.9417219004236221</v>
      </c>
      <c r="M41" s="268">
        <f t="shared" si="1"/>
        <v>1.9417219004236221</v>
      </c>
      <c r="N41" s="268">
        <f t="shared" si="1"/>
        <v>1.9417219004236221</v>
      </c>
      <c r="O41" s="268">
        <f t="shared" si="1"/>
        <v>1.9417219004236221</v>
      </c>
      <c r="P41" s="268">
        <f t="shared" si="1"/>
        <v>1.9417219004236221</v>
      </c>
      <c r="Q41" s="268">
        <f t="shared" si="1"/>
        <v>1.9417219004236221</v>
      </c>
      <c r="R41" s="268">
        <f t="shared" si="1"/>
        <v>1.2552732468687873</v>
      </c>
      <c r="S41" s="268">
        <f t="shared" si="1"/>
        <v>1.2552732468687873</v>
      </c>
      <c r="T41" s="268">
        <f t="shared" si="1"/>
        <v>1.2552732468687873</v>
      </c>
      <c r="U41" s="268">
        <f t="shared" si="1"/>
        <v>1.2552732468687873</v>
      </c>
      <c r="V41" s="268">
        <f t="shared" si="1"/>
        <v>1.2552732468687873</v>
      </c>
      <c r="W41" s="268">
        <f t="shared" si="1"/>
        <v>0.62630044190997236</v>
      </c>
      <c r="X41" s="268">
        <f t="shared" si="1"/>
        <v>0.62630044190997236</v>
      </c>
      <c r="Y41" s="268">
        <f t="shared" si="1"/>
        <v>0.62630044190997236</v>
      </c>
      <c r="Z41" s="268">
        <f t="shared" si="1"/>
        <v>0.62630044190997236</v>
      </c>
      <c r="AA41" s="268">
        <f t="shared" si="1"/>
        <v>0.62630044190997236</v>
      </c>
      <c r="AB41" s="268">
        <f t="shared" si="1"/>
        <v>0.426988795557245</v>
      </c>
      <c r="AC41" s="268">
        <f t="shared" si="1"/>
        <v>0.426988795557245</v>
      </c>
      <c r="AD41" s="268">
        <f t="shared" si="1"/>
        <v>0.426988795557245</v>
      </c>
      <c r="AE41" s="268">
        <f t="shared" si="1"/>
        <v>0.426988795557245</v>
      </c>
      <c r="AF41" s="268">
        <f t="shared" si="1"/>
        <v>0.426988795557245</v>
      </c>
      <c r="AG41" s="268">
        <f t="shared" si="1"/>
        <v>1.5590045687056049</v>
      </c>
      <c r="AH41" s="268">
        <f t="shared" si="1"/>
        <v>-1.1713846886001484</v>
      </c>
      <c r="AI41" s="268">
        <f t="shared" si="1"/>
        <v>-0.97201750043234769</v>
      </c>
      <c r="AJ41" s="268">
        <f t="shared" si="1"/>
        <v>-1.1713846886001484</v>
      </c>
      <c r="AK41" s="268">
        <f t="shared" si="1"/>
        <v>-1.1713846886001484</v>
      </c>
      <c r="AL41" s="268">
        <f t="shared" si="1"/>
        <v>-0.97201750043234769</v>
      </c>
      <c r="AM41" s="268">
        <f t="shared" si="1"/>
        <v>-0.97201750043234769</v>
      </c>
      <c r="AN41" s="268">
        <f t="shared" si="1"/>
        <v>-0.5249930548964733</v>
      </c>
      <c r="AO41" s="268">
        <f t="shared" si="1"/>
        <v>-0.5249930548964733</v>
      </c>
      <c r="AP41" s="267"/>
      <c r="AQ41" s="267"/>
    </row>
    <row r="42" spans="3:43" x14ac:dyDescent="0.25">
      <c r="D42"/>
      <c r="E42" s="105"/>
      <c r="F42" t="s">
        <v>156</v>
      </c>
      <c r="G42" t="s">
        <v>267</v>
      </c>
      <c r="H42" s="267"/>
      <c r="I42" s="267"/>
      <c r="J42" s="268">
        <f t="shared" ref="J42:AO42" si="2">INDEX($J22:$Y22,J$37)</f>
        <v>0.23964140375829796</v>
      </c>
      <c r="K42" s="268">
        <f t="shared" si="2"/>
        <v>0.23964140375829796</v>
      </c>
      <c r="L42" s="268">
        <f t="shared" si="2"/>
        <v>0.27340441750217515</v>
      </c>
      <c r="M42" s="268">
        <f t="shared" si="2"/>
        <v>0.27340441750217515</v>
      </c>
      <c r="N42" s="268">
        <f t="shared" si="2"/>
        <v>0.27340441750217515</v>
      </c>
      <c r="O42" s="268">
        <f t="shared" si="2"/>
        <v>0.27340441750217515</v>
      </c>
      <c r="P42" s="268">
        <f t="shared" si="2"/>
        <v>0.27340441750217515</v>
      </c>
      <c r="Q42" s="268">
        <f t="shared" si="2"/>
        <v>0.27340441750217515</v>
      </c>
      <c r="R42" s="268">
        <f t="shared" si="2"/>
        <v>0.17893320502249527</v>
      </c>
      <c r="S42" s="268">
        <f t="shared" si="2"/>
        <v>0.17893320502249527</v>
      </c>
      <c r="T42" s="268">
        <f t="shared" si="2"/>
        <v>0.17893320502249527</v>
      </c>
      <c r="U42" s="268">
        <f t="shared" si="2"/>
        <v>0.17893320502249527</v>
      </c>
      <c r="V42" s="268">
        <f t="shared" si="2"/>
        <v>0.17893320502249527</v>
      </c>
      <c r="W42" s="268">
        <f t="shared" si="2"/>
        <v>9.2861688090222647E-2</v>
      </c>
      <c r="X42" s="268">
        <f t="shared" si="2"/>
        <v>9.2861688090222647E-2</v>
      </c>
      <c r="Y42" s="268">
        <f t="shared" si="2"/>
        <v>9.2861688090222647E-2</v>
      </c>
      <c r="Z42" s="268">
        <f t="shared" si="2"/>
        <v>9.2861688090222647E-2</v>
      </c>
      <c r="AA42" s="268">
        <f t="shared" si="2"/>
        <v>9.2861688090222647E-2</v>
      </c>
      <c r="AB42" s="268">
        <f t="shared" si="2"/>
        <v>6.5601945657101715E-2</v>
      </c>
      <c r="AC42" s="268">
        <f t="shared" si="2"/>
        <v>6.5601945657101715E-2</v>
      </c>
      <c r="AD42" s="268">
        <f t="shared" si="2"/>
        <v>6.5601945657101715E-2</v>
      </c>
      <c r="AE42" s="268">
        <f t="shared" si="2"/>
        <v>6.5601945657101715E-2</v>
      </c>
      <c r="AF42" s="268">
        <f t="shared" si="2"/>
        <v>6.5601945657101715E-2</v>
      </c>
      <c r="AG42" s="268">
        <f t="shared" si="2"/>
        <v>0.24390708535521802</v>
      </c>
      <c r="AH42" s="268">
        <f t="shared" si="2"/>
        <v>-0.16493698113402308</v>
      </c>
      <c r="AI42" s="268">
        <f t="shared" si="2"/>
        <v>-0.13779331844062356</v>
      </c>
      <c r="AJ42" s="268">
        <f t="shared" si="2"/>
        <v>-0.16493698113402308</v>
      </c>
      <c r="AK42" s="268">
        <f t="shared" si="2"/>
        <v>-0.16493698113402308</v>
      </c>
      <c r="AL42" s="268">
        <f t="shared" si="2"/>
        <v>-0.13779331844062356</v>
      </c>
      <c r="AM42" s="268">
        <f t="shared" si="2"/>
        <v>-0.13779331844062356</v>
      </c>
      <c r="AN42" s="268">
        <f t="shared" si="2"/>
        <v>-7.784082215343105E-2</v>
      </c>
      <c r="AO42" s="268">
        <f t="shared" si="2"/>
        <v>-7.784082215343105E-2</v>
      </c>
      <c r="AP42" s="267"/>
      <c r="AQ42" s="267"/>
    </row>
    <row r="43" spans="3:43" x14ac:dyDescent="0.25">
      <c r="D43"/>
      <c r="E43" s="105"/>
      <c r="F43" t="s">
        <v>157</v>
      </c>
      <c r="G43" t="s">
        <v>268</v>
      </c>
      <c r="J43" s="306">
        <f t="shared" ref="J43:AO43" si="3">INDEX($J23:$Y23,J$37)</f>
        <v>16.017618925955261</v>
      </c>
      <c r="K43" s="306">
        <f t="shared" si="3"/>
        <v>0</v>
      </c>
      <c r="L43" s="306">
        <f t="shared" si="3"/>
        <v>14.711610424126482</v>
      </c>
      <c r="M43" s="306">
        <f t="shared" si="3"/>
        <v>14.711610424126482</v>
      </c>
      <c r="N43" s="306">
        <f t="shared" si="3"/>
        <v>14.711610424126482</v>
      </c>
      <c r="O43" s="306">
        <f t="shared" si="3"/>
        <v>14.711610424126482</v>
      </c>
      <c r="P43" s="306">
        <f t="shared" si="3"/>
        <v>14.711610424126482</v>
      </c>
      <c r="Q43" s="306">
        <f t="shared" si="3"/>
        <v>0</v>
      </c>
      <c r="R43" s="306">
        <f t="shared" si="3"/>
        <v>15.245335464261153</v>
      </c>
      <c r="S43" s="306">
        <f t="shared" si="3"/>
        <v>15.245335464261153</v>
      </c>
      <c r="T43" s="306">
        <f t="shared" si="3"/>
        <v>15.245335464261153</v>
      </c>
      <c r="U43" s="306">
        <f t="shared" si="3"/>
        <v>15.245335464261153</v>
      </c>
      <c r="V43" s="306">
        <f t="shared" si="3"/>
        <v>15.245335464261153</v>
      </c>
      <c r="W43" s="306">
        <f t="shared" si="3"/>
        <v>15.245335464261153</v>
      </c>
      <c r="X43" s="306">
        <f t="shared" si="3"/>
        <v>15.245335464261153</v>
      </c>
      <c r="Y43" s="306">
        <f t="shared" si="3"/>
        <v>15.245335464261153</v>
      </c>
      <c r="Z43" s="306">
        <f t="shared" si="3"/>
        <v>15.245335464261153</v>
      </c>
      <c r="AA43" s="306">
        <f t="shared" si="3"/>
        <v>15.245335464261153</v>
      </c>
      <c r="AB43" s="306">
        <f t="shared" si="3"/>
        <v>316.6556440359268</v>
      </c>
      <c r="AC43" s="306">
        <f t="shared" si="3"/>
        <v>316.6556440359268</v>
      </c>
      <c r="AD43" s="306">
        <f t="shared" si="3"/>
        <v>316.6556440359268</v>
      </c>
      <c r="AE43" s="306">
        <f t="shared" si="3"/>
        <v>316.6556440359268</v>
      </c>
      <c r="AF43" s="306">
        <f t="shared" si="3"/>
        <v>316.6556440359268</v>
      </c>
      <c r="AG43" s="306">
        <f t="shared" si="3"/>
        <v>0</v>
      </c>
      <c r="AH43" s="306">
        <f t="shared" si="3"/>
        <v>0</v>
      </c>
      <c r="AI43" s="306">
        <f t="shared" si="3"/>
        <v>0</v>
      </c>
      <c r="AJ43" s="306">
        <f t="shared" si="3"/>
        <v>0</v>
      </c>
      <c r="AK43" s="306">
        <f t="shared" si="3"/>
        <v>0</v>
      </c>
      <c r="AL43" s="306">
        <f t="shared" si="3"/>
        <v>0</v>
      </c>
      <c r="AM43" s="306">
        <f t="shared" si="3"/>
        <v>0</v>
      </c>
      <c r="AN43" s="306">
        <f t="shared" si="3"/>
        <v>70.642345390577461</v>
      </c>
      <c r="AO43" s="306">
        <f t="shared" si="3"/>
        <v>70.642345390577461</v>
      </c>
    </row>
    <row r="44" spans="3:43" x14ac:dyDescent="0.25">
      <c r="D44"/>
      <c r="E44" s="105"/>
      <c r="F44" t="s">
        <v>158</v>
      </c>
      <c r="G44" t="s">
        <v>269</v>
      </c>
      <c r="J44" s="306">
        <f t="shared" ref="J44:AO44" si="4">INDEX($J24:$Y24,J$37)</f>
        <v>0</v>
      </c>
      <c r="K44" s="306">
        <f t="shared" si="4"/>
        <v>0</v>
      </c>
      <c r="L44" s="306">
        <f t="shared" si="4"/>
        <v>0</v>
      </c>
      <c r="M44" s="306">
        <f t="shared" si="4"/>
        <v>0</v>
      </c>
      <c r="N44" s="306">
        <f t="shared" si="4"/>
        <v>0</v>
      </c>
      <c r="O44" s="306">
        <f t="shared" si="4"/>
        <v>0</v>
      </c>
      <c r="P44" s="306">
        <f t="shared" si="4"/>
        <v>0</v>
      </c>
      <c r="Q44" s="306">
        <f t="shared" si="4"/>
        <v>0</v>
      </c>
      <c r="R44" s="306">
        <f t="shared" si="4"/>
        <v>5.4829568334079246</v>
      </c>
      <c r="S44" s="306">
        <f t="shared" si="4"/>
        <v>5.4829568334079246</v>
      </c>
      <c r="T44" s="306">
        <f t="shared" si="4"/>
        <v>5.4829568334079246</v>
      </c>
      <c r="U44" s="306">
        <f t="shared" si="4"/>
        <v>5.4829568334079246</v>
      </c>
      <c r="V44" s="306">
        <f t="shared" si="4"/>
        <v>5.4829568334079246</v>
      </c>
      <c r="W44" s="306">
        <f t="shared" si="4"/>
        <v>5.1462397254002887</v>
      </c>
      <c r="X44" s="306">
        <f t="shared" si="4"/>
        <v>5.1462397254002887</v>
      </c>
      <c r="Y44" s="306">
        <f t="shared" si="4"/>
        <v>5.1462397254002887</v>
      </c>
      <c r="Z44" s="306">
        <f t="shared" si="4"/>
        <v>5.1462397254002887</v>
      </c>
      <c r="AA44" s="306">
        <f t="shared" si="4"/>
        <v>5.1462397254002887</v>
      </c>
      <c r="AB44" s="306">
        <f t="shared" si="4"/>
        <v>5.6015504360226798</v>
      </c>
      <c r="AC44" s="306">
        <f t="shared" si="4"/>
        <v>5.6015504360226798</v>
      </c>
      <c r="AD44" s="306">
        <f t="shared" si="4"/>
        <v>5.6015504360226798</v>
      </c>
      <c r="AE44" s="306">
        <f t="shared" si="4"/>
        <v>5.6015504360226798</v>
      </c>
      <c r="AF44" s="306">
        <f t="shared" si="4"/>
        <v>5.6015504360226798</v>
      </c>
      <c r="AG44" s="306">
        <f t="shared" si="4"/>
        <v>0</v>
      </c>
      <c r="AH44" s="306">
        <f t="shared" si="4"/>
        <v>0</v>
      </c>
      <c r="AI44" s="306">
        <f t="shared" si="4"/>
        <v>0</v>
      </c>
      <c r="AJ44" s="306">
        <f t="shared" si="4"/>
        <v>0</v>
      </c>
      <c r="AK44" s="306">
        <f t="shared" si="4"/>
        <v>0</v>
      </c>
      <c r="AL44" s="306">
        <f t="shared" si="4"/>
        <v>0</v>
      </c>
      <c r="AM44" s="306">
        <f t="shared" si="4"/>
        <v>0</v>
      </c>
      <c r="AN44" s="306">
        <f t="shared" si="4"/>
        <v>0</v>
      </c>
      <c r="AO44" s="306">
        <f t="shared" si="4"/>
        <v>0</v>
      </c>
    </row>
    <row r="45" spans="3:43" x14ac:dyDescent="0.25">
      <c r="D45"/>
      <c r="E45" s="105"/>
      <c r="F45" t="s">
        <v>159</v>
      </c>
      <c r="G45" t="s">
        <v>269</v>
      </c>
      <c r="J45" s="306">
        <f t="shared" ref="J45:AO45" si="5">INDEX($J25:$Y25,J$37)</f>
        <v>0</v>
      </c>
      <c r="K45" s="306">
        <f t="shared" si="5"/>
        <v>0</v>
      </c>
      <c r="L45" s="306">
        <f t="shared" si="5"/>
        <v>0</v>
      </c>
      <c r="M45" s="306">
        <f t="shared" si="5"/>
        <v>0</v>
      </c>
      <c r="N45" s="306">
        <f t="shared" si="5"/>
        <v>0</v>
      </c>
      <c r="O45" s="306">
        <f t="shared" si="5"/>
        <v>0</v>
      </c>
      <c r="P45" s="306">
        <f t="shared" si="5"/>
        <v>0</v>
      </c>
      <c r="Q45" s="306">
        <f t="shared" si="5"/>
        <v>0</v>
      </c>
      <c r="R45" s="306">
        <f t="shared" si="5"/>
        <v>5.4829568334079246</v>
      </c>
      <c r="S45" s="306">
        <f t="shared" si="5"/>
        <v>5.4829568334079246</v>
      </c>
      <c r="T45" s="306">
        <f t="shared" si="5"/>
        <v>5.4829568334079246</v>
      </c>
      <c r="U45" s="306">
        <f t="shared" si="5"/>
        <v>5.4829568334079246</v>
      </c>
      <c r="V45" s="306">
        <f t="shared" si="5"/>
        <v>5.4829568334079246</v>
      </c>
      <c r="W45" s="306">
        <f t="shared" si="5"/>
        <v>5.1462397254002887</v>
      </c>
      <c r="X45" s="306">
        <f t="shared" si="5"/>
        <v>5.1462397254002887</v>
      </c>
      <c r="Y45" s="306">
        <f t="shared" si="5"/>
        <v>5.1462397254002887</v>
      </c>
      <c r="Z45" s="306">
        <f t="shared" si="5"/>
        <v>5.1462397254002887</v>
      </c>
      <c r="AA45" s="306">
        <f t="shared" si="5"/>
        <v>5.1462397254002887</v>
      </c>
      <c r="AB45" s="306">
        <f t="shared" si="5"/>
        <v>5.6015504360226798</v>
      </c>
      <c r="AC45" s="306">
        <f t="shared" si="5"/>
        <v>5.6015504360226798</v>
      </c>
      <c r="AD45" s="306">
        <f t="shared" si="5"/>
        <v>5.6015504360226798</v>
      </c>
      <c r="AE45" s="306">
        <f t="shared" si="5"/>
        <v>5.6015504360226798</v>
      </c>
      <c r="AF45" s="306">
        <f t="shared" si="5"/>
        <v>5.6015504360226798</v>
      </c>
      <c r="AG45" s="306">
        <f t="shared" si="5"/>
        <v>0</v>
      </c>
      <c r="AH45" s="306">
        <f t="shared" si="5"/>
        <v>0</v>
      </c>
      <c r="AI45" s="306">
        <f t="shared" si="5"/>
        <v>0</v>
      </c>
      <c r="AJ45" s="306">
        <f t="shared" si="5"/>
        <v>0</v>
      </c>
      <c r="AK45" s="306">
        <f t="shared" si="5"/>
        <v>0</v>
      </c>
      <c r="AL45" s="306">
        <f t="shared" si="5"/>
        <v>0</v>
      </c>
      <c r="AM45" s="306">
        <f t="shared" si="5"/>
        <v>0</v>
      </c>
      <c r="AN45" s="306">
        <f t="shared" si="5"/>
        <v>0</v>
      </c>
      <c r="AO45" s="306">
        <f t="shared" si="5"/>
        <v>0</v>
      </c>
    </row>
    <row r="46" spans="3:43" x14ac:dyDescent="0.25">
      <c r="D46"/>
      <c r="E46" s="105"/>
      <c r="F46" s="96" t="s">
        <v>160</v>
      </c>
      <c r="G46" s="96" t="s">
        <v>270</v>
      </c>
      <c r="H46" s="269"/>
      <c r="I46" s="269"/>
      <c r="J46" s="270">
        <f t="shared" ref="J46:AO46" si="6">INDEX($J26:$Y26,J$37)</f>
        <v>0</v>
      </c>
      <c r="K46" s="270">
        <f t="shared" si="6"/>
        <v>0</v>
      </c>
      <c r="L46" s="270">
        <f t="shared" si="6"/>
        <v>0</v>
      </c>
      <c r="M46" s="270">
        <f t="shared" si="6"/>
        <v>0</v>
      </c>
      <c r="N46" s="270">
        <f t="shared" si="6"/>
        <v>0</v>
      </c>
      <c r="O46" s="270">
        <f t="shared" si="6"/>
        <v>0</v>
      </c>
      <c r="P46" s="270">
        <f t="shared" si="6"/>
        <v>0</v>
      </c>
      <c r="Q46" s="270">
        <f t="shared" si="6"/>
        <v>0</v>
      </c>
      <c r="R46" s="270">
        <f t="shared" si="6"/>
        <v>0.16262775407449134</v>
      </c>
      <c r="S46" s="270">
        <f t="shared" si="6"/>
        <v>0.16262775407449134</v>
      </c>
      <c r="T46" s="270">
        <f t="shared" si="6"/>
        <v>0.16262775407449134</v>
      </c>
      <c r="U46" s="270">
        <f t="shared" si="6"/>
        <v>0.16262775407449134</v>
      </c>
      <c r="V46" s="270">
        <f t="shared" si="6"/>
        <v>0.16262775407449134</v>
      </c>
      <c r="W46" s="270">
        <f t="shared" si="6"/>
        <v>8.7332745999980935E-2</v>
      </c>
      <c r="X46" s="270">
        <f t="shared" si="6"/>
        <v>8.7332745999980935E-2</v>
      </c>
      <c r="Y46" s="270">
        <f t="shared" si="6"/>
        <v>8.7332745999980935E-2</v>
      </c>
      <c r="Z46" s="270">
        <f t="shared" si="6"/>
        <v>8.7332745999980935E-2</v>
      </c>
      <c r="AA46" s="270">
        <f t="shared" si="6"/>
        <v>8.7332745999980935E-2</v>
      </c>
      <c r="AB46" s="270">
        <f t="shared" si="6"/>
        <v>6.3104669794093876E-2</v>
      </c>
      <c r="AC46" s="270">
        <f t="shared" si="6"/>
        <v>6.3104669794093876E-2</v>
      </c>
      <c r="AD46" s="270">
        <f t="shared" si="6"/>
        <v>6.3104669794093876E-2</v>
      </c>
      <c r="AE46" s="270">
        <f t="shared" si="6"/>
        <v>6.3104669794093876E-2</v>
      </c>
      <c r="AF46" s="270">
        <f t="shared" si="6"/>
        <v>6.3104669794093876E-2</v>
      </c>
      <c r="AG46" s="270">
        <f t="shared" si="6"/>
        <v>0</v>
      </c>
      <c r="AH46" s="270">
        <f t="shared" si="6"/>
        <v>0</v>
      </c>
      <c r="AI46" s="270">
        <f t="shared" si="6"/>
        <v>0</v>
      </c>
      <c r="AJ46" s="270">
        <f t="shared" si="6"/>
        <v>0.1295170343436588</v>
      </c>
      <c r="AK46" s="270">
        <f t="shared" si="6"/>
        <v>0</v>
      </c>
      <c r="AL46" s="270">
        <f t="shared" si="6"/>
        <v>0.12223023204846202</v>
      </c>
      <c r="AM46" s="270">
        <f t="shared" si="6"/>
        <v>0</v>
      </c>
      <c r="AN46" s="270">
        <f t="shared" si="6"/>
        <v>0.10789719559042603</v>
      </c>
      <c r="AO46" s="270">
        <f t="shared" si="6"/>
        <v>0</v>
      </c>
      <c r="AP46" s="267"/>
      <c r="AQ46" s="267"/>
    </row>
    <row r="47" spans="3:43" x14ac:dyDescent="0.25">
      <c r="D47"/>
      <c r="E47" s="105"/>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row>
    <row r="48" spans="3:43" x14ac:dyDescent="0.25">
      <c r="D48"/>
      <c r="E48" s="94" t="s">
        <v>827</v>
      </c>
      <c r="F48" s="192"/>
      <c r="G48" t="s">
        <v>268</v>
      </c>
      <c r="J48" s="306">
        <f>INDEX($J29:$Y29,J$37)</f>
        <v>0</v>
      </c>
      <c r="K48" s="306">
        <f t="shared" ref="K48:AO48" si="7">INDEX($J29:$Y29,K$37)</f>
        <v>0</v>
      </c>
      <c r="L48" s="306">
        <f t="shared" si="7"/>
        <v>0</v>
      </c>
      <c r="M48" s="306">
        <f t="shared" si="7"/>
        <v>0</v>
      </c>
      <c r="N48" s="306">
        <f t="shared" si="7"/>
        <v>0</v>
      </c>
      <c r="O48" s="306">
        <f t="shared" si="7"/>
        <v>0</v>
      </c>
      <c r="P48" s="306">
        <f t="shared" si="7"/>
        <v>0</v>
      </c>
      <c r="Q48" s="306">
        <f t="shared" si="7"/>
        <v>0</v>
      </c>
      <c r="R48" s="306">
        <f t="shared" si="7"/>
        <v>0</v>
      </c>
      <c r="S48" s="306">
        <f t="shared" si="7"/>
        <v>0</v>
      </c>
      <c r="T48" s="306">
        <f t="shared" si="7"/>
        <v>0</v>
      </c>
      <c r="U48" s="306">
        <f t="shared" si="7"/>
        <v>0</v>
      </c>
      <c r="V48" s="306">
        <f t="shared" si="7"/>
        <v>0</v>
      </c>
      <c r="W48" s="306">
        <f t="shared" si="7"/>
        <v>0</v>
      </c>
      <c r="X48" s="306">
        <f t="shared" si="7"/>
        <v>0</v>
      </c>
      <c r="Y48" s="306">
        <f t="shared" si="7"/>
        <v>0</v>
      </c>
      <c r="Z48" s="306">
        <f t="shared" si="7"/>
        <v>0</v>
      </c>
      <c r="AA48" s="306">
        <f t="shared" si="7"/>
        <v>0</v>
      </c>
      <c r="AB48" s="306">
        <f t="shared" si="7"/>
        <v>0</v>
      </c>
      <c r="AC48" s="306">
        <f t="shared" si="7"/>
        <v>0</v>
      </c>
      <c r="AD48" s="306">
        <f t="shared" si="7"/>
        <v>0</v>
      </c>
      <c r="AE48" s="306">
        <f t="shared" si="7"/>
        <v>0</v>
      </c>
      <c r="AF48" s="306">
        <f t="shared" si="7"/>
        <v>0</v>
      </c>
      <c r="AG48" s="306">
        <f t="shared" si="7"/>
        <v>0</v>
      </c>
      <c r="AH48" s="306">
        <f t="shared" si="7"/>
        <v>0</v>
      </c>
      <c r="AI48" s="306">
        <f t="shared" si="7"/>
        <v>0</v>
      </c>
      <c r="AJ48" s="306">
        <f t="shared" si="7"/>
        <v>0</v>
      </c>
      <c r="AK48" s="306">
        <f t="shared" si="7"/>
        <v>0</v>
      </c>
      <c r="AL48" s="306">
        <f t="shared" si="7"/>
        <v>0</v>
      </c>
      <c r="AM48" s="306">
        <f t="shared" si="7"/>
        <v>0</v>
      </c>
      <c r="AN48" s="306">
        <f t="shared" si="7"/>
        <v>0</v>
      </c>
      <c r="AO48" s="306">
        <f t="shared" si="7"/>
        <v>0</v>
      </c>
    </row>
    <row r="49" spans="1:41" x14ac:dyDescent="0.25">
      <c r="D49"/>
      <c r="E49" s="105"/>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row>
    <row r="50" spans="1:41" x14ac:dyDescent="0.25">
      <c r="D50"/>
      <c r="E50" s="75" t="s">
        <v>690</v>
      </c>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row>
    <row r="51" spans="1:41" x14ac:dyDescent="0.25">
      <c r="D51"/>
      <c r="E51" s="75"/>
      <c r="F51" s="86" t="s">
        <v>980</v>
      </c>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row>
    <row r="52" spans="1:41" x14ac:dyDescent="0.25">
      <c r="D52"/>
      <c r="E52" s="75"/>
      <c r="F52" s="86" t="s">
        <v>976</v>
      </c>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row>
    <row r="53" spans="1:41" x14ac:dyDescent="0.25">
      <c r="D53" s="105"/>
      <c r="F53" s="95" t="s">
        <v>154</v>
      </c>
      <c r="G53" s="95" t="s">
        <v>205</v>
      </c>
      <c r="H53" s="8">
        <v>0</v>
      </c>
      <c r="I53" s="95"/>
      <c r="J53" s="259">
        <f>INDEX('Volume adjustments'!$J$481:$Y$521, J$36 + 1 + $H53*$H$59, J$37)</f>
        <v>602010.79580819397</v>
      </c>
      <c r="K53" s="259">
        <f>INDEX('Volume adjustments'!$J$481:$Y$521, K$36 + 1 + $H53*$H$59, K$37)</f>
        <v>715.06892412151399</v>
      </c>
      <c r="L53" s="259">
        <f>INDEX('Volume adjustments'!$J$481:$Y$521, L$36 + 1 + $H53*$H$59, L$37)</f>
        <v>7.696930981475953</v>
      </c>
      <c r="M53" s="259">
        <f>INDEX('Volume adjustments'!$J$481:$Y$521, M$36 + 1 + $H53*$H$59, M$37)</f>
        <v>12707.339973037098</v>
      </c>
      <c r="N53" s="259">
        <f>INDEX('Volume adjustments'!$J$481:$Y$521, N$36 + 1 + $H53*$H$59, N$37)</f>
        <v>29239.036394881394</v>
      </c>
      <c r="O53" s="259">
        <f>INDEX('Volume adjustments'!$J$481:$Y$521, O$36 + 1 + $H53*$H$59, O$37)</f>
        <v>28605.852349137229</v>
      </c>
      <c r="P53" s="259">
        <f>INDEX('Volume adjustments'!$J$481:$Y$521, P$36 + 1 + $H53*$H$59, P$37)</f>
        <v>88522.583875664699</v>
      </c>
      <c r="Q53" s="259">
        <f>INDEX('Volume adjustments'!$J$481:$Y$521, Q$36 + 1 + $H53*$H$59, Q$37)</f>
        <v>198.0273246193633</v>
      </c>
      <c r="R53" s="259">
        <f>INDEX('Volume adjustments'!$J$481:$Y$521, R$36 + 1 + $H53*$H$59, R$37)</f>
        <v>13.447644288179097</v>
      </c>
      <c r="S53" s="259">
        <f>INDEX('Volume adjustments'!$J$481:$Y$521, S$36 + 1 + $H53*$H$59, S$37)</f>
        <v>52316.889447630383</v>
      </c>
      <c r="T53" s="259">
        <f>INDEX('Volume adjustments'!$J$481:$Y$521, T$36 + 1 + $H53*$H$59, T$37)</f>
        <v>61314.012209823435</v>
      </c>
      <c r="U53" s="259">
        <f>INDEX('Volume adjustments'!$J$481:$Y$521, U$36 + 1 + $H53*$H$59, U$37)</f>
        <v>38510.93599480675</v>
      </c>
      <c r="V53" s="259">
        <f>INDEX('Volume adjustments'!$J$481:$Y$521, V$36 + 1 + $H53*$H$59, V$37)</f>
        <v>65803.196551790345</v>
      </c>
      <c r="W53" s="259">
        <f>INDEX('Volume adjustments'!$J$481:$Y$521, W$36 + 1 + $H53*$H$59, W$37)</f>
        <v>2.5664192228811378</v>
      </c>
      <c r="X53" s="259">
        <f>INDEX('Volume adjustments'!$J$481:$Y$521, X$36 + 1 + $H53*$H$59, X$37)</f>
        <v>217.79555482583385</v>
      </c>
      <c r="Y53" s="259">
        <f>INDEX('Volume adjustments'!$J$481:$Y$521, Y$36 + 1 + $H53*$H$59, Y$37)</f>
        <v>1251.9314886475556</v>
      </c>
      <c r="Z53" s="259">
        <f>INDEX('Volume adjustments'!$J$481:$Y$521, Z$36 + 1 + $H53*$H$59, Z$37)</f>
        <v>4053.6480152288427</v>
      </c>
      <c r="AA53" s="259">
        <f>INDEX('Volume adjustments'!$J$481:$Y$521, AA$36 + 1 + $H53*$H$59, AA$37)</f>
        <v>70225.945620110346</v>
      </c>
      <c r="AB53" s="259">
        <f>INDEX('Volume adjustments'!$J$481:$Y$521, AB$36 + 1 + $H53*$H$59, AB$37)</f>
        <v>242.40888698105309</v>
      </c>
      <c r="AC53" s="259">
        <f>INDEX('Volume adjustments'!$J$481:$Y$521, AC$36 + 1 + $H53*$H$59, AC$37)</f>
        <v>12835.630644695153</v>
      </c>
      <c r="AD53" s="259">
        <f>INDEX('Volume adjustments'!$J$481:$Y$521, AD$36 + 1 + $H53*$H$59, AD$37)</f>
        <v>46630.95866177616</v>
      </c>
      <c r="AE53" s="259">
        <f>INDEX('Volume adjustments'!$J$481:$Y$521, AE$36 + 1 + $H53*$H$59, AE$37)</f>
        <v>41853.039640886098</v>
      </c>
      <c r="AF53" s="259">
        <f>INDEX('Volume adjustments'!$J$481:$Y$521, AF$36 + 1 + $H53*$H$59, AF$37)</f>
        <v>158773.74585845624</v>
      </c>
      <c r="AG53" s="259">
        <f>INDEX('Volume adjustments'!$J$481:$Y$521, AG$36 + 1 + $H53*$H$59, AG$37)</f>
        <v>5961.8800051746312</v>
      </c>
      <c r="AH53" s="259">
        <f>INDEX('Volume adjustments'!$J$481:$Y$521, AH$36 + 1 + $H53*$H$59, AH$37)</f>
        <v>6989.1164284156448</v>
      </c>
      <c r="AI53" s="259">
        <f>INDEX('Volume adjustments'!$J$481:$Y$521, AI$36 + 1 + $H53*$H$59, AI$37)</f>
        <v>0</v>
      </c>
      <c r="AJ53" s="259">
        <f>INDEX('Volume adjustments'!$J$481:$Y$521, AJ$36 + 1 + $H53*$H$59, AJ$37)</f>
        <v>4310.0455999999986</v>
      </c>
      <c r="AK53" s="259">
        <f>INDEX('Volume adjustments'!$J$481:$Y$521, AK$36 + 1 + $H53*$H$59, AK$37)</f>
        <v>0</v>
      </c>
      <c r="AL53" s="259">
        <f>INDEX('Volume adjustments'!$J$481:$Y$521, AL$36 + 1 + $H53*$H$59, AL$37)</f>
        <v>235.52749999999995</v>
      </c>
      <c r="AM53" s="259">
        <f>INDEX('Volume adjustments'!$J$481:$Y$521, AM$36 + 1 + $H53*$H$59, AM$37)</f>
        <v>0</v>
      </c>
      <c r="AN53" s="259">
        <f>INDEX('Volume adjustments'!$J$481:$Y$521, AN$36 + 1 + $H53*$H$59, AN$37)</f>
        <v>112429.61859999999</v>
      </c>
      <c r="AO53" s="259">
        <f>INDEX('Volume adjustments'!$J$481:$Y$521, AO$36 + 1 + $H53*$H$59, AO$37)</f>
        <v>0</v>
      </c>
    </row>
    <row r="54" spans="1:41" x14ac:dyDescent="0.25">
      <c r="D54" s="105"/>
      <c r="F54" t="s">
        <v>155</v>
      </c>
      <c r="G54" t="s">
        <v>205</v>
      </c>
      <c r="H54" s="7">
        <v>1</v>
      </c>
      <c r="J54" s="311">
        <f>INDEX('Volume adjustments'!$J$481:$Y$521, J$36 + 1 + $H54*$H$59, J$37)</f>
        <v>1485357.3777113075</v>
      </c>
      <c r="K54" s="311">
        <f>INDEX('Volume adjustments'!$J$481:$Y$521, K$36 + 1 + $H54*$H$59, K$37)</f>
        <v>4081.6408178065876</v>
      </c>
      <c r="L54" s="311">
        <f>INDEX('Volume adjustments'!$J$481:$Y$521, L$36 + 1 + $H54*$H$59, L$37)</f>
        <v>25.332240503208126</v>
      </c>
      <c r="M54" s="311">
        <f>INDEX('Volume adjustments'!$J$481:$Y$521, M$36 + 1 + $H54*$H$59, M$37)</f>
        <v>47217.024014175433</v>
      </c>
      <c r="N54" s="311">
        <f>INDEX('Volume adjustments'!$J$481:$Y$521, N$36 + 1 + $H54*$H$59, N$37)</f>
        <v>109112.81907394057</v>
      </c>
      <c r="O54" s="311">
        <f>INDEX('Volume adjustments'!$J$481:$Y$521, O$36 + 1 + $H54*$H$59, O$37)</f>
        <v>105822.07175925876</v>
      </c>
      <c r="P54" s="311">
        <f>INDEX('Volume adjustments'!$J$481:$Y$521, P$36 + 1 + $H54*$H$59, P$37)</f>
        <v>313160.90630431421</v>
      </c>
      <c r="Q54" s="311">
        <f>INDEX('Volume adjustments'!$J$481:$Y$521, Q$36 + 1 + $H54*$H$59, Q$37)</f>
        <v>646.70434049451774</v>
      </c>
      <c r="R54" s="311">
        <f>INDEX('Volume adjustments'!$J$481:$Y$521, R$36 + 1 + $H54*$H$59, R$37)</f>
        <v>40.520219497595626</v>
      </c>
      <c r="S54" s="311">
        <f>INDEX('Volume adjustments'!$J$481:$Y$521, S$36 + 1 + $H54*$H$59, S$37)</f>
        <v>184596.24993942573</v>
      </c>
      <c r="T54" s="311">
        <f>INDEX('Volume adjustments'!$J$481:$Y$521, T$36 + 1 + $H54*$H$59, T$37)</f>
        <v>203749.23801086581</v>
      </c>
      <c r="U54" s="311">
        <f>INDEX('Volume adjustments'!$J$481:$Y$521, U$36 + 1 + $H54*$H$59, U$37)</f>
        <v>132064.12884288066</v>
      </c>
      <c r="V54" s="311">
        <f>INDEX('Volume adjustments'!$J$481:$Y$521, V$36 + 1 + $H54*$H$59, V$37)</f>
        <v>236043.88158161152</v>
      </c>
      <c r="W54" s="311">
        <f>INDEX('Volume adjustments'!$J$481:$Y$521, W$36 + 1 + $H54*$H$59, W$37)</f>
        <v>11.002529471759216</v>
      </c>
      <c r="X54" s="311">
        <f>INDEX('Volume adjustments'!$J$481:$Y$521, X$36 + 1 + $H54*$H$59, X$37)</f>
        <v>704.53490666034918</v>
      </c>
      <c r="Y54" s="311">
        <f>INDEX('Volume adjustments'!$J$481:$Y$521, Y$36 + 1 + $H54*$H$59, Y$37)</f>
        <v>3999.9312058479591</v>
      </c>
      <c r="Z54" s="311">
        <f>INDEX('Volume adjustments'!$J$481:$Y$521, Z$36 + 1 + $H54*$H$59, Z$37)</f>
        <v>12907.668532934176</v>
      </c>
      <c r="AA54" s="311">
        <f>INDEX('Volume adjustments'!$J$481:$Y$521, AA$36 + 1 + $H54*$H$59, AA$37)</f>
        <v>231352.27727013108</v>
      </c>
      <c r="AB54" s="311">
        <f>INDEX('Volume adjustments'!$J$481:$Y$521, AB$36 + 1 + $H54*$H$59, AB$37)</f>
        <v>1161.2830145445171</v>
      </c>
      <c r="AC54" s="311">
        <f>INDEX('Volume adjustments'!$J$481:$Y$521, AC$36 + 1 + $H54*$H$59, AC$37)</f>
        <v>45372.127970731373</v>
      </c>
      <c r="AD54" s="311">
        <f>INDEX('Volume adjustments'!$J$481:$Y$521, AD$36 + 1 + $H54*$H$59, AD$37)</f>
        <v>154419.18043087015</v>
      </c>
      <c r="AE54" s="311">
        <f>INDEX('Volume adjustments'!$J$481:$Y$521, AE$36 + 1 + $H54*$H$59, AE$37)</f>
        <v>137028.98154531448</v>
      </c>
      <c r="AF54" s="311">
        <f>INDEX('Volume adjustments'!$J$481:$Y$521, AF$36 + 1 + $H54*$H$59, AF$37)</f>
        <v>502287.34974950884</v>
      </c>
      <c r="AG54" s="311">
        <f>INDEX('Volume adjustments'!$J$481:$Y$521, AG$36 + 1 + $H54*$H$59, AG$37)</f>
        <v>24728.581351992561</v>
      </c>
      <c r="AH54" s="311">
        <f>INDEX('Volume adjustments'!$J$481:$Y$521, AH$36 + 1 + $H54*$H$59, AH$37)</f>
        <v>30411.928111830457</v>
      </c>
      <c r="AI54" s="311">
        <f>INDEX('Volume adjustments'!$J$481:$Y$521, AI$36 + 1 + $H54*$H$59, AI$37)</f>
        <v>0</v>
      </c>
      <c r="AJ54" s="311">
        <f>INDEX('Volume adjustments'!$J$481:$Y$521, AJ$36 + 1 + $H54*$H$59, AJ$37)</f>
        <v>14714.395000000002</v>
      </c>
      <c r="AK54" s="311">
        <f>INDEX('Volume adjustments'!$J$481:$Y$521, AK$36 + 1 + $H54*$H$59, AK$37)</f>
        <v>0</v>
      </c>
      <c r="AL54" s="311">
        <f>INDEX('Volume adjustments'!$J$481:$Y$521, AL$36 + 1 + $H54*$H$59, AL$37)</f>
        <v>949.01109999999994</v>
      </c>
      <c r="AM54" s="311">
        <f>INDEX('Volume adjustments'!$J$481:$Y$521, AM$36 + 1 + $H54*$H$59, AM$37)</f>
        <v>0</v>
      </c>
      <c r="AN54" s="311">
        <f>INDEX('Volume adjustments'!$J$481:$Y$521, AN$36 + 1 + $H54*$H$59, AN$37)</f>
        <v>305558.88569999998</v>
      </c>
      <c r="AO54" s="311">
        <f>INDEX('Volume adjustments'!$J$481:$Y$521, AO$36 + 1 + $H54*$H$59, AO$37)</f>
        <v>0</v>
      </c>
    </row>
    <row r="55" spans="1:41" x14ac:dyDescent="0.25">
      <c r="D55" s="105"/>
      <c r="F55" t="s">
        <v>156</v>
      </c>
      <c r="G55" t="s">
        <v>205</v>
      </c>
      <c r="H55" s="7">
        <v>2</v>
      </c>
      <c r="J55" s="311">
        <f>INDEX('Volume adjustments'!$J$481:$Y$521, J$36 + 1 + $H55*$H$59, J$37)</f>
        <v>2224654.7633966957</v>
      </c>
      <c r="K55" s="311">
        <f>INDEX('Volume adjustments'!$J$481:$Y$521, K$36 + 1 + $H55*$H$59, K$37)</f>
        <v>17683.252822043934</v>
      </c>
      <c r="L55" s="311">
        <f>INDEX('Volume adjustments'!$J$481:$Y$521, L$36 + 1 + $H55*$H$59, L$37)</f>
        <v>39.923331593029232</v>
      </c>
      <c r="M55" s="311">
        <f>INDEX('Volume adjustments'!$J$481:$Y$521, M$36 + 1 + $H55*$H$59, M$37)</f>
        <v>48972.297940638353</v>
      </c>
      <c r="N55" s="311">
        <f>INDEX('Volume adjustments'!$J$481:$Y$521, N$36 + 1 + $H55*$H$59, N$37)</f>
        <v>112908.00413609308</v>
      </c>
      <c r="O55" s="311">
        <f>INDEX('Volume adjustments'!$J$481:$Y$521, O$36 + 1 + $H55*$H$59, O$37)</f>
        <v>114497.07361719586</v>
      </c>
      <c r="P55" s="311">
        <f>INDEX('Volume adjustments'!$J$481:$Y$521, P$36 + 1 + $H55*$H$59, P$37)</f>
        <v>357018.86205892108</v>
      </c>
      <c r="Q55" s="311">
        <f>INDEX('Volume adjustments'!$J$481:$Y$521, Q$36 + 1 + $H55*$H$59, Q$37)</f>
        <v>3204.1147499679787</v>
      </c>
      <c r="R55" s="311">
        <f>INDEX('Volume adjustments'!$J$481:$Y$521, R$36 + 1 + $H55*$H$59, R$37)</f>
        <v>70.471131041730487</v>
      </c>
      <c r="S55" s="311">
        <f>INDEX('Volume adjustments'!$J$481:$Y$521, S$36 + 1 + $H55*$H$59, S$37)</f>
        <v>208340.13991075184</v>
      </c>
      <c r="T55" s="311">
        <f>INDEX('Volume adjustments'!$J$481:$Y$521, T$36 + 1 + $H55*$H$59, T$37)</f>
        <v>238232.71538326287</v>
      </c>
      <c r="U55" s="311">
        <f>INDEX('Volume adjustments'!$J$481:$Y$521, U$36 + 1 + $H55*$H$59, U$37)</f>
        <v>155389.03384342484</v>
      </c>
      <c r="V55" s="311">
        <f>INDEX('Volume adjustments'!$J$481:$Y$521, V$36 + 1 + $H55*$H$59, V$37)</f>
        <v>271089.34187011985</v>
      </c>
      <c r="W55" s="311">
        <f>INDEX('Volume adjustments'!$J$481:$Y$521, W$36 + 1 + $H55*$H$59, W$37)</f>
        <v>11.361295850310261</v>
      </c>
      <c r="X55" s="311">
        <f>INDEX('Volume adjustments'!$J$481:$Y$521, X$36 + 1 + $H55*$H$59, X$37)</f>
        <v>1024.0707684571598</v>
      </c>
      <c r="Y55" s="311">
        <f>INDEX('Volume adjustments'!$J$481:$Y$521, Y$36 + 1 + $H55*$H$59, Y$37)</f>
        <v>5606.1926268730349</v>
      </c>
      <c r="Z55" s="311">
        <f>INDEX('Volume adjustments'!$J$481:$Y$521, Z$36 + 1 + $H55*$H$59, Z$37)</f>
        <v>18498.087356707507</v>
      </c>
      <c r="AA55" s="311">
        <f>INDEX('Volume adjustments'!$J$481:$Y$521, AA$36 + 1 + $H55*$H$59, AA$37)</f>
        <v>314512.15231592895</v>
      </c>
      <c r="AB55" s="311">
        <f>INDEX('Volume adjustments'!$J$481:$Y$521, AB$36 + 1 + $H55*$H$59, AB$37)</f>
        <v>2208.6032563465164</v>
      </c>
      <c r="AC55" s="311">
        <f>INDEX('Volume adjustments'!$J$481:$Y$521, AC$36 + 1 + $H55*$H$59, AC$37)</f>
        <v>59645.352949352302</v>
      </c>
      <c r="AD55" s="311">
        <f>INDEX('Volume adjustments'!$J$481:$Y$521, AD$36 + 1 + $H55*$H$59, AD$37)</f>
        <v>212103.76671936832</v>
      </c>
      <c r="AE55" s="311">
        <f>INDEX('Volume adjustments'!$J$481:$Y$521, AE$36 + 1 + $H55*$H$59, AE$37)</f>
        <v>181361.67806814201</v>
      </c>
      <c r="AF55" s="311">
        <f>INDEX('Volume adjustments'!$J$481:$Y$521, AF$36 + 1 + $H55*$H$59, AF$37)</f>
        <v>746829.47003421444</v>
      </c>
      <c r="AG55" s="311">
        <f>INDEX('Volume adjustments'!$J$481:$Y$521, AG$36 + 1 + $H55*$H$59, AG$37)</f>
        <v>74346.95288920337</v>
      </c>
      <c r="AH55" s="311">
        <f>INDEX('Volume adjustments'!$J$481:$Y$521, AH$36 + 1 + $H55*$H$59, AH$37)</f>
        <v>18030.478238646261</v>
      </c>
      <c r="AI55" s="311">
        <f>INDEX('Volume adjustments'!$J$481:$Y$521, AI$36 + 1 + $H55*$H$59, AI$37)</f>
        <v>0</v>
      </c>
      <c r="AJ55" s="311">
        <f>INDEX('Volume adjustments'!$J$481:$Y$521, AJ$36 + 1 + $H55*$H$59, AJ$37)</f>
        <v>22467.003499999995</v>
      </c>
      <c r="AK55" s="311">
        <f>INDEX('Volume adjustments'!$J$481:$Y$521, AK$36 + 1 + $H55*$H$59, AK$37)</f>
        <v>0</v>
      </c>
      <c r="AL55" s="311">
        <f>INDEX('Volume adjustments'!$J$481:$Y$521, AL$36 + 1 + $H55*$H$59, AL$37)</f>
        <v>1267.7273</v>
      </c>
      <c r="AM55" s="311">
        <f>INDEX('Volume adjustments'!$J$481:$Y$521, AM$36 + 1 + $H55*$H$59, AM$37)</f>
        <v>0</v>
      </c>
      <c r="AN55" s="311">
        <f>INDEX('Volume adjustments'!$J$481:$Y$521, AN$36 + 1 + $H55*$H$59, AN$37)</f>
        <v>457934.66330000001</v>
      </c>
      <c r="AO55" s="311">
        <f>INDEX('Volume adjustments'!$J$481:$Y$521, AO$36 + 1 + $H55*$H$59, AO$37)</f>
        <v>0</v>
      </c>
    </row>
    <row r="56" spans="1:41" x14ac:dyDescent="0.25">
      <c r="D56" s="105"/>
      <c r="F56" t="s">
        <v>210</v>
      </c>
      <c r="G56" t="s">
        <v>210</v>
      </c>
      <c r="H56" s="7">
        <v>3</v>
      </c>
      <c r="J56" s="311">
        <f>INDEX('Volume adjustments'!$J$481:$Y$521, J$36 + 1 + $H56*$H$59, J$37)</f>
        <v>1547748.3978608586</v>
      </c>
      <c r="K56" s="311">
        <f>INDEX('Volume adjustments'!$J$481:$Y$521, K$36 + 1 + $H56*$H$59, K$37)</f>
        <v>7577.1293347193641</v>
      </c>
      <c r="L56" s="311">
        <f>INDEX('Volume adjustments'!$J$481:$Y$521, L$36 + 1 + $H56*$H$59, L$37)</f>
        <v>9.9596740630511906</v>
      </c>
      <c r="M56" s="311">
        <f>INDEX('Volume adjustments'!$J$481:$Y$521, M$36 + 1 + $H56*$H$59, M$37)</f>
        <v>37579.546715428587</v>
      </c>
      <c r="N56" s="311">
        <f>INDEX('Volume adjustments'!$J$481:$Y$521, N$36 + 1 + $H56*$H$59, N$37)</f>
        <v>31884.297465325126</v>
      </c>
      <c r="O56" s="311">
        <f>INDEX('Volume adjustments'!$J$481:$Y$521, O$36 + 1 + $H56*$H$59, O$37)</f>
        <v>14685.790975562491</v>
      </c>
      <c r="P56" s="311">
        <f>INDEX('Volume adjustments'!$J$481:$Y$521, P$36 + 1 + $H56*$H$59, P$37)</f>
        <v>16616.104286500897</v>
      </c>
      <c r="Q56" s="311">
        <f>INDEX('Volume adjustments'!$J$481:$Y$521, Q$36 + 1 + $H56*$H$59, Q$37)</f>
        <v>589.96666666666681</v>
      </c>
      <c r="R56" s="311">
        <f>INDEX('Volume adjustments'!$J$481:$Y$521, R$36 + 1 + $H56*$H$59, R$37)</f>
        <v>14.217631648321902</v>
      </c>
      <c r="S56" s="311">
        <f>INDEX('Volume adjustments'!$J$481:$Y$521, S$36 + 1 + $H56*$H$59, S$37)</f>
        <v>5844.503271673907</v>
      </c>
      <c r="T56" s="311">
        <f>INDEX('Volume adjustments'!$J$481:$Y$521, T$36 + 1 + $H56*$H$59, T$37)</f>
        <v>3086.0681502696375</v>
      </c>
      <c r="U56" s="311">
        <f>INDEX('Volume adjustments'!$J$481:$Y$521, U$36 + 1 + $H56*$H$59, U$37)</f>
        <v>1330.8012755012887</v>
      </c>
      <c r="V56" s="311">
        <f>INDEX('Volume adjustments'!$J$481:$Y$521, V$36 + 1 + $H56*$H$59, V$37)</f>
        <v>1117.2001150458193</v>
      </c>
      <c r="W56" s="311">
        <f>INDEX('Volume adjustments'!$J$481:$Y$521, W$36 + 1 + $H56*$H$59, W$37)</f>
        <v>1.1300558635282172</v>
      </c>
      <c r="X56" s="311">
        <f>INDEX('Volume adjustments'!$J$481:$Y$521, X$36 + 1 + $H56*$H$59, X$37)</f>
        <v>10.845822578113598</v>
      </c>
      <c r="Y56" s="311">
        <f>INDEX('Volume adjustments'!$J$481:$Y$521, Y$36 + 1 + $H56*$H$59, Y$37)</f>
        <v>34.763377239548305</v>
      </c>
      <c r="Z56" s="311">
        <f>INDEX('Volume adjustments'!$J$481:$Y$521, Z$36 + 1 + $H56*$H$59, Z$37)</f>
        <v>70.44509355702094</v>
      </c>
      <c r="AA56" s="311">
        <f>INDEX('Volume adjustments'!$J$481:$Y$521, AA$36 + 1 + $H56*$H$59, AA$37)</f>
        <v>652.28361842395736</v>
      </c>
      <c r="AB56" s="311">
        <f>INDEX('Volume adjustments'!$J$481:$Y$521, AB$36 + 1 + $H56*$H$59, AB$37)</f>
        <v>79.202625039218034</v>
      </c>
      <c r="AC56" s="311">
        <f>INDEX('Volume adjustments'!$J$481:$Y$521, AC$36 + 1 + $H56*$H$59, AC$37)</f>
        <v>224.67233104076109</v>
      </c>
      <c r="AD56" s="311">
        <f>INDEX('Volume adjustments'!$J$481:$Y$521, AD$36 + 1 + $H56*$H$59, AD$37)</f>
        <v>287.58411485930162</v>
      </c>
      <c r="AE56" s="311">
        <f>INDEX('Volume adjustments'!$J$481:$Y$521, AE$36 + 1 + $H56*$H$59, AE$37)</f>
        <v>140.30431684299413</v>
      </c>
      <c r="AF56" s="311">
        <f>INDEX('Volume adjustments'!$J$481:$Y$521, AF$36 + 1 + $H56*$H$59, AF$37)</f>
        <v>201.36185974182959</v>
      </c>
      <c r="AG56" s="311">
        <f>INDEX('Volume adjustments'!$J$481:$Y$521, AG$36 + 1 + $H56*$H$59, AG$37)</f>
        <v>1129.7489873710761</v>
      </c>
      <c r="AH56" s="311">
        <f>INDEX('Volume adjustments'!$J$481:$Y$521, AH$36 + 1 + $H56*$H$59, AH$37)</f>
        <v>24062.24357489097</v>
      </c>
      <c r="AI56" s="311">
        <f>INDEX('Volume adjustments'!$J$481:$Y$521, AI$36 + 1 + $H56*$H$59, AI$37)</f>
        <v>0</v>
      </c>
      <c r="AJ56" s="311">
        <f>INDEX('Volume adjustments'!$J$481:$Y$521, AJ$36 + 1 + $H56*$H$59, AJ$37)</f>
        <v>372</v>
      </c>
      <c r="AK56" s="311">
        <f>INDEX('Volume adjustments'!$J$481:$Y$521, AK$36 + 1 + $H56*$H$59, AK$37)</f>
        <v>0</v>
      </c>
      <c r="AL56" s="311">
        <f>INDEX('Volume adjustments'!$J$481:$Y$521, AL$36 + 1 + $H56*$H$59, AL$37)</f>
        <v>36</v>
      </c>
      <c r="AM56" s="311">
        <f>INDEX('Volume adjustments'!$J$481:$Y$521, AM$36 + 1 + $H56*$H$59, AM$37)</f>
        <v>0</v>
      </c>
      <c r="AN56" s="311">
        <f>INDEX('Volume adjustments'!$J$481:$Y$521, AN$36 + 1 + $H56*$H$59, AN$37)</f>
        <v>176</v>
      </c>
      <c r="AO56" s="311">
        <f>INDEX('Volume adjustments'!$J$481:$Y$521, AO$36 + 1 + $H56*$H$59, AO$37)</f>
        <v>0</v>
      </c>
    </row>
    <row r="57" spans="1:41" x14ac:dyDescent="0.25">
      <c r="D57" s="105"/>
      <c r="F57" t="s">
        <v>691</v>
      </c>
      <c r="G57" t="s">
        <v>249</v>
      </c>
      <c r="H57" s="7">
        <v>4</v>
      </c>
      <c r="J57" s="311">
        <f>INDEX('Volume adjustments'!$J$481:$Y$521, J$36 + 1 + $H57*$H$59, J$37)</f>
        <v>0</v>
      </c>
      <c r="K57" s="311">
        <f>INDEX('Volume adjustments'!$J$481:$Y$521, K$36 + 1 + $H57*$H$59, K$37)</f>
        <v>0</v>
      </c>
      <c r="L57" s="311">
        <f>INDEX('Volume adjustments'!$J$481:$Y$521, L$36 + 1 + $H57*$H$59, L$37)</f>
        <v>0</v>
      </c>
      <c r="M57" s="311">
        <f>INDEX('Volume adjustments'!$J$481:$Y$521, M$36 + 1 + $H57*$H$59, M$37)</f>
        <v>0</v>
      </c>
      <c r="N57" s="311">
        <f>INDEX('Volume adjustments'!$J$481:$Y$521, N$36 + 1 + $H57*$H$59, N$37)</f>
        <v>0</v>
      </c>
      <c r="O57" s="311">
        <f>INDEX('Volume adjustments'!$J$481:$Y$521, O$36 + 1 + $H57*$H$59, O$37)</f>
        <v>0</v>
      </c>
      <c r="P57" s="311">
        <f>INDEX('Volume adjustments'!$J$481:$Y$521, P$36 + 1 + $H57*$H$59, P$37)</f>
        <v>0</v>
      </c>
      <c r="Q57" s="311">
        <f>INDEX('Volume adjustments'!$J$481:$Y$521, Q$36 + 1 + $H57*$H$59, Q$37)</f>
        <v>0</v>
      </c>
      <c r="R57" s="311">
        <f>INDEX('Volume adjustments'!$J$481:$Y$521, R$36 + 1 + $H57*$H$59, R$37)</f>
        <v>843</v>
      </c>
      <c r="S57" s="311">
        <f>INDEX('Volume adjustments'!$J$481:$Y$521, S$36 + 1 + $H57*$H$59, S$37)</f>
        <v>256944.42099968946</v>
      </c>
      <c r="T57" s="311">
        <f>INDEX('Volume adjustments'!$J$481:$Y$521, T$36 + 1 + $H57*$H$59, T$37)</f>
        <v>346800.0971172406</v>
      </c>
      <c r="U57" s="311">
        <f>INDEX('Volume adjustments'!$J$481:$Y$521, U$36 + 1 + $H57*$H$59, U$37)</f>
        <v>241073.88707748026</v>
      </c>
      <c r="V57" s="311">
        <f>INDEX('Volume adjustments'!$J$481:$Y$521, V$36 + 1 + $H57*$H$59, V$37)</f>
        <v>425318.56967277528</v>
      </c>
      <c r="W57" s="311">
        <f>INDEX('Volume adjustments'!$J$481:$Y$521, W$36 + 1 + $H57*$H$59, W$37)</f>
        <v>40</v>
      </c>
      <c r="X57" s="311">
        <f>INDEX('Volume adjustments'!$J$481:$Y$521, X$36 + 1 + $H57*$H$59, X$37)</f>
        <v>465</v>
      </c>
      <c r="Y57" s="311">
        <f>INDEX('Volume adjustments'!$J$481:$Y$521, Y$36 + 1 + $H57*$H$59, Y$37)</f>
        <v>4621.2979709539459</v>
      </c>
      <c r="Z57" s="311">
        <f>INDEX('Volume adjustments'!$J$481:$Y$521, Z$36 + 1 + $H57*$H$59, Z$37)</f>
        <v>12846.901831282226</v>
      </c>
      <c r="AA57" s="311">
        <f>INDEX('Volume adjustments'!$J$481:$Y$521, AA$36 + 1 + $H57*$H$59, AA$37)</f>
        <v>325093.3604654097</v>
      </c>
      <c r="AB57" s="311">
        <f>INDEX('Volume adjustments'!$J$481:$Y$521, AB$36 + 1 + $H57*$H$59, AB$37)</f>
        <v>18295</v>
      </c>
      <c r="AC57" s="311">
        <f>INDEX('Volume adjustments'!$J$481:$Y$521, AC$36 + 1 + $H57*$H$59, AC$37)</f>
        <v>59240.038263292845</v>
      </c>
      <c r="AD57" s="311">
        <f>INDEX('Volume adjustments'!$J$481:$Y$521, AD$36 + 1 + $H57*$H$59, AD$37)</f>
        <v>200017.45784164526</v>
      </c>
      <c r="AE57" s="311">
        <f>INDEX('Volume adjustments'!$J$481:$Y$521, AE$36 + 1 + $H57*$H$59, AE$37)</f>
        <v>192533.49970690307</v>
      </c>
      <c r="AF57" s="311">
        <f>INDEX('Volume adjustments'!$J$481:$Y$521, AF$36 + 1 + $H57*$H$59, AF$37)</f>
        <v>747537.00386063964</v>
      </c>
      <c r="AG57" s="311">
        <f>INDEX('Volume adjustments'!$J$481:$Y$521, AG$36 + 1 + $H57*$H$59, AG$37)</f>
        <v>0</v>
      </c>
      <c r="AH57" s="311">
        <f>INDEX('Volume adjustments'!$J$481:$Y$521, AH$36 + 1 + $H57*$H$59, AH$37)</f>
        <v>0</v>
      </c>
      <c r="AI57" s="311">
        <f>INDEX('Volume adjustments'!$J$481:$Y$521, AI$36 + 1 + $H57*$H$59, AI$37)</f>
        <v>0</v>
      </c>
      <c r="AJ57" s="311">
        <f>INDEX('Volume adjustments'!$J$481:$Y$521, AJ$36 + 1 + $H57*$H$59, AJ$37)</f>
        <v>0</v>
      </c>
      <c r="AK57" s="311">
        <f>INDEX('Volume adjustments'!$J$481:$Y$521, AK$36 + 1 + $H57*$H$59, AK$37)</f>
        <v>0</v>
      </c>
      <c r="AL57" s="311">
        <f>INDEX('Volume adjustments'!$J$481:$Y$521, AL$36 + 1 + $H57*$H$59, AL$37)</f>
        <v>0</v>
      </c>
      <c r="AM57" s="311">
        <f>INDEX('Volume adjustments'!$J$481:$Y$521, AM$36 + 1 + $H57*$H$59, AM$37)</f>
        <v>0</v>
      </c>
      <c r="AN57" s="311">
        <f>INDEX('Volume adjustments'!$J$481:$Y$521, AN$36 + 1 + $H57*$H$59, AN$37)</f>
        <v>0</v>
      </c>
      <c r="AO57" s="311">
        <f>INDEX('Volume adjustments'!$J$481:$Y$521, AO$36 + 1 + $H57*$H$59, AO$37)</f>
        <v>0</v>
      </c>
    </row>
    <row r="58" spans="1:41" x14ac:dyDescent="0.25">
      <c r="D58" s="105"/>
      <c r="F58" t="s">
        <v>250</v>
      </c>
      <c r="G58" t="s">
        <v>249</v>
      </c>
      <c r="H58" s="7">
        <v>5</v>
      </c>
      <c r="J58" s="311">
        <f>INDEX('Volume adjustments'!$J$481:$Y$521, J$36 + 1 + $H58*$H$59, J$37)</f>
        <v>0</v>
      </c>
      <c r="K58" s="311">
        <f>INDEX('Volume adjustments'!$J$481:$Y$521, K$36 + 1 + $H58*$H$59, K$37)</f>
        <v>0</v>
      </c>
      <c r="L58" s="311">
        <f>INDEX('Volume adjustments'!$J$481:$Y$521, L$36 + 1 + $H58*$H$59, L$37)</f>
        <v>0</v>
      </c>
      <c r="M58" s="311">
        <f>INDEX('Volume adjustments'!$J$481:$Y$521, M$36 + 1 + $H58*$H$59, M$37)</f>
        <v>0</v>
      </c>
      <c r="N58" s="311">
        <f>INDEX('Volume adjustments'!$J$481:$Y$521, N$36 + 1 + $H58*$H$59, N$37)</f>
        <v>0</v>
      </c>
      <c r="O58" s="311">
        <f>INDEX('Volume adjustments'!$J$481:$Y$521, O$36 + 1 + $H58*$H$59, O$37)</f>
        <v>0</v>
      </c>
      <c r="P58" s="311">
        <f>INDEX('Volume adjustments'!$J$481:$Y$521, P$36 + 1 + $H58*$H$59, P$37)</f>
        <v>0</v>
      </c>
      <c r="Q58" s="311">
        <f>INDEX('Volume adjustments'!$J$481:$Y$521, Q$36 + 1 + $H58*$H$59, Q$37)</f>
        <v>0</v>
      </c>
      <c r="R58" s="311">
        <f>INDEX('Volume adjustments'!$J$481:$Y$521, R$36 + 1 + $H58*$H$59, R$37)</f>
        <v>94.747945205479454</v>
      </c>
      <c r="S58" s="311">
        <f>INDEX('Volume adjustments'!$J$481:$Y$521, S$36 + 1 + $H58*$H$59, S$37)</f>
        <v>15283.993541109261</v>
      </c>
      <c r="T58" s="311">
        <f>INDEX('Volume adjustments'!$J$481:$Y$521, T$36 + 1 + $H58*$H$59, T$37)</f>
        <v>3904.4962553669961</v>
      </c>
      <c r="U58" s="311">
        <f>INDEX('Volume adjustments'!$J$481:$Y$521, U$36 + 1 + $H58*$H$59, U$37)</f>
        <v>1583.7018741339436</v>
      </c>
      <c r="V58" s="311">
        <f>INDEX('Volume adjustments'!$J$481:$Y$521, V$36 + 1 + $H58*$H$59, V$37)</f>
        <v>1918.6273972602739</v>
      </c>
      <c r="W58" s="311">
        <f>INDEX('Volume adjustments'!$J$481:$Y$521, W$36 + 1 + $H58*$H$59, W$37)</f>
        <v>0</v>
      </c>
      <c r="X58" s="311">
        <f>INDEX('Volume adjustments'!$J$481:$Y$521, X$36 + 1 + $H58*$H$59, X$37)</f>
        <v>104.53150684931506</v>
      </c>
      <c r="Y58" s="311">
        <f>INDEX('Volume adjustments'!$J$481:$Y$521, Y$36 + 1 + $H58*$H$59, Y$37)</f>
        <v>66.739726027397253</v>
      </c>
      <c r="Z58" s="311">
        <f>INDEX('Volume adjustments'!$J$481:$Y$521, Z$36 + 1 + $H58*$H$59, Z$37)</f>
        <v>129.77534246575343</v>
      </c>
      <c r="AA58" s="311">
        <f>INDEX('Volume adjustments'!$J$481:$Y$521, AA$36 + 1 + $H58*$H$59, AA$37)</f>
        <v>1249.5106971666507</v>
      </c>
      <c r="AB58" s="311">
        <f>INDEX('Volume adjustments'!$J$481:$Y$521, AB$36 + 1 + $H58*$H$59, AB$37)</f>
        <v>1900.6575342465753</v>
      </c>
      <c r="AC58" s="311">
        <f>INDEX('Volume adjustments'!$J$481:$Y$521, AC$36 + 1 + $H58*$H$59, AC$37)</f>
        <v>2483.0904109589042</v>
      </c>
      <c r="AD58" s="311">
        <f>INDEX('Volume adjustments'!$J$481:$Y$521, AD$36 + 1 + $H58*$H$59, AD$37)</f>
        <v>2999.0904109589042</v>
      </c>
      <c r="AE58" s="311">
        <f>INDEX('Volume adjustments'!$J$481:$Y$521, AE$36 + 1 + $H58*$H$59, AE$37)</f>
        <v>1930.1698630136987</v>
      </c>
      <c r="AF58" s="311">
        <f>INDEX('Volume adjustments'!$J$481:$Y$521, AF$36 + 1 + $H58*$H$59, AF$37)</f>
        <v>4044.7218251214931</v>
      </c>
      <c r="AG58" s="311">
        <f>INDEX('Volume adjustments'!$J$481:$Y$521, AG$36 + 1 + $H58*$H$59, AG$37)</f>
        <v>0</v>
      </c>
      <c r="AH58" s="311">
        <f>INDEX('Volume adjustments'!$J$481:$Y$521, AH$36 + 1 + $H58*$H$59, AH$37)</f>
        <v>0</v>
      </c>
      <c r="AI58" s="311">
        <f>INDEX('Volume adjustments'!$J$481:$Y$521, AI$36 + 1 + $H58*$H$59, AI$37)</f>
        <v>0</v>
      </c>
      <c r="AJ58" s="311">
        <f>INDEX('Volume adjustments'!$J$481:$Y$521, AJ$36 + 1 + $H58*$H$59, AJ$37)</f>
        <v>0</v>
      </c>
      <c r="AK58" s="311">
        <f>INDEX('Volume adjustments'!$J$481:$Y$521, AK$36 + 1 + $H58*$H$59, AK$37)</f>
        <v>0</v>
      </c>
      <c r="AL58" s="311">
        <f>INDEX('Volume adjustments'!$J$481:$Y$521, AL$36 + 1 + $H58*$H$59, AL$37)</f>
        <v>0</v>
      </c>
      <c r="AM58" s="311">
        <f>INDEX('Volume adjustments'!$J$481:$Y$521, AM$36 + 1 + $H58*$H$59, AM$37)</f>
        <v>0</v>
      </c>
      <c r="AN58" s="311">
        <f>INDEX('Volume adjustments'!$J$481:$Y$521, AN$36 + 1 + $H58*$H$59, AN$37)</f>
        <v>0</v>
      </c>
      <c r="AO58" s="311">
        <f>INDEX('Volume adjustments'!$J$481:$Y$521, AO$36 + 1 + $H58*$H$59, AO$37)</f>
        <v>0</v>
      </c>
    </row>
    <row r="59" spans="1:41" x14ac:dyDescent="0.25">
      <c r="D59" s="105"/>
      <c r="F59" s="96" t="s">
        <v>213</v>
      </c>
      <c r="G59" s="101" t="s">
        <v>252</v>
      </c>
      <c r="H59" s="9">
        <v>6</v>
      </c>
      <c r="I59" s="96"/>
      <c r="J59" s="258">
        <f>INDEX('Volume adjustments'!$J$481:$Y$521, J$36 + 1 + $H59*$H$59, J$37)</f>
        <v>0</v>
      </c>
      <c r="K59" s="258">
        <f>INDEX('Volume adjustments'!$J$481:$Y$521, K$36 + 1 + $H59*$H$59, K$37)</f>
        <v>0</v>
      </c>
      <c r="L59" s="258">
        <f>INDEX('Volume adjustments'!$J$481:$Y$521, L$36 + 1 + $H59*$H$59, L$37)</f>
        <v>0</v>
      </c>
      <c r="M59" s="258">
        <f>INDEX('Volume adjustments'!$J$481:$Y$521, M$36 + 1 + $H59*$H$59, M$37)</f>
        <v>0</v>
      </c>
      <c r="N59" s="258">
        <f>INDEX('Volume adjustments'!$J$481:$Y$521, N$36 + 1 + $H59*$H$59, N$37)</f>
        <v>0</v>
      </c>
      <c r="O59" s="258">
        <f>INDEX('Volume adjustments'!$J$481:$Y$521, O$36 + 1 + $H59*$H$59, O$37)</f>
        <v>0</v>
      </c>
      <c r="P59" s="258">
        <f>INDEX('Volume adjustments'!$J$481:$Y$521, P$36 + 1 + $H59*$H$59, P$37)</f>
        <v>0</v>
      </c>
      <c r="Q59" s="258">
        <f>INDEX('Volume adjustments'!$J$481:$Y$521, Q$36 + 1 + $H59*$H$59, Q$37)</f>
        <v>0</v>
      </c>
      <c r="R59" s="258">
        <f>INDEX('Volume adjustments'!$J$481:$Y$521, R$36 + 1 + $H59*$H$59, R$37)</f>
        <v>81.983999999999995</v>
      </c>
      <c r="S59" s="258">
        <f>INDEX('Volume adjustments'!$J$481:$Y$521, S$36 + 1 + $H59*$H$59, S$37)</f>
        <v>30951.974855610108</v>
      </c>
      <c r="T59" s="258">
        <f>INDEX('Volume adjustments'!$J$481:$Y$521, T$36 + 1 + $H59*$H$59, T$37)</f>
        <v>37909.002014712671</v>
      </c>
      <c r="U59" s="258">
        <f>INDEX('Volume adjustments'!$J$481:$Y$521, U$36 + 1 + $H59*$H$59, U$37)</f>
        <v>22382.273252368192</v>
      </c>
      <c r="V59" s="258">
        <f>INDEX('Volume adjustments'!$J$481:$Y$521, V$36 + 1 + $H59*$H$59, V$37)</f>
        <v>50996.895033483765</v>
      </c>
      <c r="W59" s="258">
        <f>INDEX('Volume adjustments'!$J$481:$Y$521, W$36 + 1 + $H59*$H$59, W$37)</f>
        <v>0.121</v>
      </c>
      <c r="X59" s="258">
        <f>INDEX('Volume adjustments'!$J$481:$Y$521, X$36 + 1 + $H59*$H$59, X$37)</f>
        <v>129.57873476967572</v>
      </c>
      <c r="Y59" s="258">
        <f>INDEX('Volume adjustments'!$J$481:$Y$521, Y$36 + 1 + $H59*$H$59, Y$37)</f>
        <v>859.70410617774598</v>
      </c>
      <c r="Z59" s="258">
        <f>INDEX('Volume adjustments'!$J$481:$Y$521, Z$36 + 1 + $H59*$H$59, Z$37)</f>
        <v>2257.8437945163264</v>
      </c>
      <c r="AA59" s="258">
        <f>INDEX('Volume adjustments'!$J$481:$Y$521, AA$36 + 1 + $H59*$H$59, AA$37)</f>
        <v>41615.626149593008</v>
      </c>
      <c r="AB59" s="258">
        <f>INDEX('Volume adjustments'!$J$481:$Y$521, AB$36 + 1 + $H59*$H$59, AB$37)</f>
        <v>2734.0590000000002</v>
      </c>
      <c r="AC59" s="258">
        <f>INDEX('Volume adjustments'!$J$481:$Y$521, AC$36 + 1 + $H59*$H$59, AC$37)</f>
        <v>10429.701125142999</v>
      </c>
      <c r="AD59" s="258">
        <f>INDEX('Volume adjustments'!$J$481:$Y$521, AD$36 + 1 + $H59*$H$59, AD$37)</f>
        <v>29986.734712501737</v>
      </c>
      <c r="AE59" s="258">
        <f>INDEX('Volume adjustments'!$J$481:$Y$521, AE$36 + 1 + $H59*$H$59, AE$37)</f>
        <v>24491.119763154144</v>
      </c>
      <c r="AF59" s="258">
        <f>INDEX('Volume adjustments'!$J$481:$Y$521, AF$36 + 1 + $H59*$H$59, AF$37)</f>
        <v>167805.01624299653</v>
      </c>
      <c r="AG59" s="258">
        <f>INDEX('Volume adjustments'!$J$481:$Y$521, AG$36 + 1 + $H59*$H$59, AG$37)</f>
        <v>0</v>
      </c>
      <c r="AH59" s="258">
        <f>INDEX('Volume adjustments'!$J$481:$Y$521, AH$36 + 1 + $H59*$H$59, AH$37)</f>
        <v>0</v>
      </c>
      <c r="AI59" s="258">
        <f>INDEX('Volume adjustments'!$J$481:$Y$521, AI$36 + 1 + $H59*$H$59, AI$37)</f>
        <v>0</v>
      </c>
      <c r="AJ59" s="258">
        <f>INDEX('Volume adjustments'!$J$481:$Y$521, AJ$36 + 1 + $H59*$H$59, AJ$37)</f>
        <v>3123.047</v>
      </c>
      <c r="AK59" s="258">
        <f>INDEX('Volume adjustments'!$J$481:$Y$521, AK$36 + 1 + $H59*$H$59, AK$37)</f>
        <v>0</v>
      </c>
      <c r="AL59" s="258">
        <f>INDEX('Volume adjustments'!$J$481:$Y$521, AL$36 + 1 + $H59*$H$59, AL$37)</f>
        <v>450.37600000000003</v>
      </c>
      <c r="AM59" s="258">
        <f>INDEX('Volume adjustments'!$J$481:$Y$521, AM$36 + 1 + $H59*$H$59, AM$37)</f>
        <v>0</v>
      </c>
      <c r="AN59" s="258">
        <f>INDEX('Volume adjustments'!$J$481:$Y$521, AN$36 + 1 + $H59*$H$59, AN$37)</f>
        <v>19742.777000000002</v>
      </c>
      <c r="AO59" s="258">
        <f>INDEX('Volume adjustments'!$J$481:$Y$521, AO$36 + 1 + $H59*$H$59, AO$37)</f>
        <v>0</v>
      </c>
    </row>
    <row r="60" spans="1:41" x14ac:dyDescent="0.25">
      <c r="D60" s="105"/>
      <c r="F60" s="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row>
    <row r="61" spans="1:41" x14ac:dyDescent="0.25">
      <c r="D61" s="105"/>
      <c r="E61" t="s">
        <v>692</v>
      </c>
      <c r="G61" t="s">
        <v>275</v>
      </c>
      <c r="H61" s="167">
        <f>'General inputs'!H86</f>
        <v>357450594.21760702</v>
      </c>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row>
    <row r="62" spans="1:41" x14ac:dyDescent="0.25">
      <c r="D62" s="105"/>
      <c r="E62"/>
      <c r="H62" s="167"/>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row>
    <row r="63" spans="1:41" x14ac:dyDescent="0.25">
      <c r="D63" s="105"/>
      <c r="E63" s="75" t="s">
        <v>825</v>
      </c>
      <c r="H63" s="167"/>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row>
    <row r="64" spans="1:41" x14ac:dyDescent="0.25">
      <c r="A64" s="2"/>
      <c r="D64" s="105"/>
      <c r="F64" s="95" t="s">
        <v>1148</v>
      </c>
      <c r="G64" s="95" t="s">
        <v>275</v>
      </c>
      <c r="H64" s="170">
        <f>'General inputs'!H89</f>
        <v>0</v>
      </c>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row>
    <row r="65" spans="1:43" x14ac:dyDescent="0.25">
      <c r="A65" s="2"/>
      <c r="C65" s="105"/>
      <c r="F65" s="96" t="s">
        <v>1149</v>
      </c>
      <c r="G65" s="96" t="s">
        <v>275</v>
      </c>
      <c r="H65" s="171">
        <f>'General inputs'!H90</f>
        <v>0</v>
      </c>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row>
    <row r="66" spans="1:43" x14ac:dyDescent="0.25">
      <c r="A66" s="15"/>
      <c r="C66" s="105"/>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row>
    <row r="67" spans="1:43" s="15" customFormat="1" x14ac:dyDescent="0.25">
      <c r="C67" s="300"/>
      <c r="D67" s="301"/>
      <c r="E67" s="15" t="s">
        <v>838</v>
      </c>
      <c r="F67"/>
      <c r="G67" s="15" t="s">
        <v>275</v>
      </c>
      <c r="H67" s="313">
        <f>H61 - H64 - H65</f>
        <v>357450594.21760702</v>
      </c>
      <c r="I67" s="15" t="s">
        <v>152</v>
      </c>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Q67" s="15" t="s">
        <v>1102</v>
      </c>
    </row>
    <row r="68" spans="1:43" x14ac:dyDescent="0.25">
      <c r="C68" s="105"/>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row>
    <row r="69" spans="1:43" x14ac:dyDescent="0.25">
      <c r="C69" s="93" t="str">
        <f ca="1">INDEX('Version control'!$H$41:$H$64,MATCH($A$1,'Version control'!$F$41:$F$64,0),1)&amp;"-B: Net revenue before matching"</f>
        <v>Section 116-B: Net revenue before matching</v>
      </c>
      <c r="D69" s="93"/>
      <c r="E69" s="93"/>
      <c r="F69" s="93"/>
      <c r="G69" s="93"/>
      <c r="H69" s="93"/>
      <c r="I69" s="9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93"/>
      <c r="AQ69" s="93"/>
    </row>
    <row r="70" spans="1:43" x14ac:dyDescent="0.25">
      <c r="C70" s="86"/>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row>
    <row r="71" spans="1:43" x14ac:dyDescent="0.25">
      <c r="B71" s="86"/>
      <c r="D71" s="86" t="s">
        <v>693</v>
      </c>
      <c r="F71" s="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row>
    <row r="72" spans="1:43" x14ac:dyDescent="0.25">
      <c r="D72" s="86" t="s">
        <v>694</v>
      </c>
      <c r="F72" s="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row>
    <row r="73" spans="1:43" x14ac:dyDescent="0.25">
      <c r="D73" s="86"/>
      <c r="F73" s="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row>
    <row r="74" spans="1:43" x14ac:dyDescent="0.25">
      <c r="D74"/>
      <c r="E74" s="75" t="s">
        <v>695</v>
      </c>
      <c r="F74" s="75"/>
      <c r="H74" s="174" t="s">
        <v>500</v>
      </c>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row>
    <row r="75" spans="1:43" x14ac:dyDescent="0.25">
      <c r="D75" s="105"/>
      <c r="F75" s="95" t="s">
        <v>154</v>
      </c>
      <c r="G75" s="95" t="s">
        <v>275</v>
      </c>
      <c r="H75" s="222">
        <f t="shared" ref="H75:H82" si="8">SUM(J75:AO75)</f>
        <v>115834410.24007846</v>
      </c>
      <c r="I75" s="175"/>
      <c r="J75" s="298">
        <f t="shared" ref="J75:AO75" si="9">J53 * thousand * J40 / hundred</f>
        <v>67660753.940303117</v>
      </c>
      <c r="K75" s="298">
        <f t="shared" si="9"/>
        <v>80367.499822641083</v>
      </c>
      <c r="L75" s="298">
        <f t="shared" si="9"/>
        <v>986.94696985047369</v>
      </c>
      <c r="M75" s="298">
        <f t="shared" si="9"/>
        <v>1629411.8670717024</v>
      </c>
      <c r="N75" s="298">
        <f t="shared" si="9"/>
        <v>3749205.8121251673</v>
      </c>
      <c r="O75" s="298">
        <f t="shared" si="9"/>
        <v>3668015.1301755891</v>
      </c>
      <c r="P75" s="298">
        <f t="shared" si="9"/>
        <v>11350900.265272781</v>
      </c>
      <c r="Q75" s="298">
        <f t="shared" si="9"/>
        <v>25392.259388975181</v>
      </c>
      <c r="R75" s="298">
        <f t="shared" si="9"/>
        <v>1146.020603871116</v>
      </c>
      <c r="S75" s="298">
        <f t="shared" si="9"/>
        <v>4458493.3950205101</v>
      </c>
      <c r="T75" s="298">
        <f t="shared" si="9"/>
        <v>5225236.46466689</v>
      </c>
      <c r="U75" s="298">
        <f t="shared" si="9"/>
        <v>3281937.3548723175</v>
      </c>
      <c r="V75" s="298">
        <f t="shared" si="9"/>
        <v>5607808.8795984797</v>
      </c>
      <c r="W75" s="298">
        <f t="shared" si="9"/>
        <v>118.92290317090833</v>
      </c>
      <c r="X75" s="298">
        <f t="shared" si="9"/>
        <v>10092.224780225035</v>
      </c>
      <c r="Y75" s="298">
        <f t="shared" si="9"/>
        <v>58012.08386909742</v>
      </c>
      <c r="Z75" s="298">
        <f t="shared" si="9"/>
        <v>187838.20901357519</v>
      </c>
      <c r="AA75" s="298">
        <f t="shared" si="9"/>
        <v>3254134.4986070697</v>
      </c>
      <c r="AB75" s="298">
        <f t="shared" si="9"/>
        <v>8249.8156842116114</v>
      </c>
      <c r="AC75" s="298">
        <f t="shared" si="9"/>
        <v>436830.46578086005</v>
      </c>
      <c r="AD75" s="298">
        <f t="shared" si="9"/>
        <v>1586974.8792164233</v>
      </c>
      <c r="AE75" s="298">
        <f t="shared" si="9"/>
        <v>1424369.6555906378</v>
      </c>
      <c r="AF75" s="298">
        <f t="shared" si="9"/>
        <v>5403490.5862444732</v>
      </c>
      <c r="AG75" s="298">
        <f t="shared" si="9"/>
        <v>1981104.8721206964</v>
      </c>
      <c r="AH75" s="298">
        <f t="shared" si="9"/>
        <v>-540643.53612528148</v>
      </c>
      <c r="AI75" s="298">
        <f t="shared" si="9"/>
        <v>0</v>
      </c>
      <c r="AJ75" s="298">
        <f t="shared" si="9"/>
        <v>-333403.84552349488</v>
      </c>
      <c r="AK75" s="298">
        <f t="shared" si="9"/>
        <v>0</v>
      </c>
      <c r="AL75" s="298">
        <f t="shared" si="9"/>
        <v>-15351.191972715247</v>
      </c>
      <c r="AM75" s="298">
        <f t="shared" si="9"/>
        <v>0</v>
      </c>
      <c r="AN75" s="298">
        <f t="shared" si="9"/>
        <v>-4367063.236002367</v>
      </c>
      <c r="AO75" s="298">
        <f t="shared" si="9"/>
        <v>0</v>
      </c>
    </row>
    <row r="76" spans="1:43" x14ac:dyDescent="0.25">
      <c r="D76" s="105"/>
      <c r="F76" t="s">
        <v>155</v>
      </c>
      <c r="G76" t="s">
        <v>275</v>
      </c>
      <c r="H76" s="106">
        <f t="shared" si="8"/>
        <v>49420115.367508225</v>
      </c>
      <c r="I76" s="97"/>
      <c r="J76" s="305">
        <f t="shared" ref="J76:AO76" si="10">J54 * thousand * J41 / hundred</f>
        <v>25279839.612142373</v>
      </c>
      <c r="K76" s="305">
        <f t="shared" si="10"/>
        <v>69466.935551572518</v>
      </c>
      <c r="L76" s="305">
        <f t="shared" si="10"/>
        <v>491.88166171877538</v>
      </c>
      <c r="M76" s="305">
        <f t="shared" si="10"/>
        <v>916823.29601152521</v>
      </c>
      <c r="N76" s="305">
        <f t="shared" si="10"/>
        <v>2118667.5041283076</v>
      </c>
      <c r="O76" s="305">
        <f t="shared" si="10"/>
        <v>2054770.3428315285</v>
      </c>
      <c r="P76" s="305">
        <f t="shared" si="10"/>
        <v>6080713.9012759682</v>
      </c>
      <c r="Q76" s="305">
        <f t="shared" si="10"/>
        <v>12557.199810372202</v>
      </c>
      <c r="R76" s="305">
        <f t="shared" si="10"/>
        <v>508.63947492582798</v>
      </c>
      <c r="S76" s="305">
        <f t="shared" si="10"/>
        <v>2317187.3402126511</v>
      </c>
      <c r="T76" s="305">
        <f t="shared" si="10"/>
        <v>2557609.6754494086</v>
      </c>
      <c r="U76" s="305">
        <f t="shared" si="10"/>
        <v>1657765.6780750067</v>
      </c>
      <c r="V76" s="305">
        <f t="shared" si="10"/>
        <v>2962995.69636461</v>
      </c>
      <c r="W76" s="305">
        <f t="shared" si="10"/>
        <v>68.908890702902909</v>
      </c>
      <c r="X76" s="305">
        <f t="shared" si="10"/>
        <v>4412.5052338237783</v>
      </c>
      <c r="Y76" s="305">
        <f t="shared" si="10"/>
        <v>25051.586818320655</v>
      </c>
      <c r="Z76" s="305">
        <f t="shared" si="10"/>
        <v>80840.785062041192</v>
      </c>
      <c r="AA76" s="305">
        <f t="shared" si="10"/>
        <v>1448960.3349116156</v>
      </c>
      <c r="AB76" s="305">
        <f t="shared" si="10"/>
        <v>4958.5483568145</v>
      </c>
      <c r="AC76" s="305">
        <f t="shared" si="10"/>
        <v>193733.90274091775</v>
      </c>
      <c r="AD76" s="305">
        <f t="shared" si="10"/>
        <v>659352.59863114136</v>
      </c>
      <c r="AE76" s="305">
        <f t="shared" si="10"/>
        <v>585098.39786469785</v>
      </c>
      <c r="AF76" s="305">
        <f t="shared" si="10"/>
        <v>2144710.7049318347</v>
      </c>
      <c r="AG76" s="305">
        <f t="shared" si="10"/>
        <v>385519.71305364632</v>
      </c>
      <c r="AH76" s="305">
        <f t="shared" si="10"/>
        <v>-356240.66941006621</v>
      </c>
      <c r="AI76" s="305">
        <f t="shared" si="10"/>
        <v>0</v>
      </c>
      <c r="AJ76" s="305">
        <f t="shared" si="10"/>
        <v>-172362.17005014583</v>
      </c>
      <c r="AK76" s="305">
        <f t="shared" si="10"/>
        <v>0</v>
      </c>
      <c r="AL76" s="305">
        <f t="shared" si="10"/>
        <v>-9224.5539730455275</v>
      </c>
      <c r="AM76" s="305">
        <f t="shared" si="10"/>
        <v>0</v>
      </c>
      <c r="AN76" s="305">
        <f t="shared" si="10"/>
        <v>-1604162.9285440531</v>
      </c>
      <c r="AO76" s="305">
        <f t="shared" si="10"/>
        <v>0</v>
      </c>
    </row>
    <row r="77" spans="1:43" x14ac:dyDescent="0.25">
      <c r="D77" s="105"/>
      <c r="F77" t="s">
        <v>156</v>
      </c>
      <c r="G77" t="s">
        <v>275</v>
      </c>
      <c r="H77" s="106">
        <f t="shared" si="8"/>
        <v>9536852.2978261895</v>
      </c>
      <c r="I77" s="97"/>
      <c r="J77" s="305">
        <f t="shared" ref="J77:AO77" si="11">J55 * thousand * J42 / hundred</f>
        <v>5331193.9037796827</v>
      </c>
      <c r="K77" s="305">
        <f t="shared" si="11"/>
        <v>42376.39529287492</v>
      </c>
      <c r="L77" s="305">
        <f t="shared" si="11"/>
        <v>109.15215218938343</v>
      </c>
      <c r="M77" s="305">
        <f t="shared" si="11"/>
        <v>133892.42592203201</v>
      </c>
      <c r="N77" s="305">
        <f t="shared" si="11"/>
        <v>308695.47102161706</v>
      </c>
      <c r="O77" s="305">
        <f t="shared" si="11"/>
        <v>313040.05718013103</v>
      </c>
      <c r="P77" s="305">
        <f t="shared" si="11"/>
        <v>976105.34018508752</v>
      </c>
      <c r="Q77" s="305">
        <f t="shared" si="11"/>
        <v>8760.1912682512284</v>
      </c>
      <c r="R77" s="305">
        <f t="shared" si="11"/>
        <v>126.09625338857093</v>
      </c>
      <c r="S77" s="305">
        <f t="shared" si="11"/>
        <v>372789.68969065911</v>
      </c>
      <c r="T77" s="305">
        <f t="shared" si="11"/>
        <v>426277.43304739142</v>
      </c>
      <c r="U77" s="305">
        <f t="shared" si="11"/>
        <v>278042.57850952988</v>
      </c>
      <c r="V77" s="305">
        <f t="shared" si="11"/>
        <v>485068.84788259468</v>
      </c>
      <c r="W77" s="305">
        <f t="shared" si="11"/>
        <v>10.550291115522525</v>
      </c>
      <c r="X77" s="305">
        <f t="shared" si="11"/>
        <v>950.96940282783396</v>
      </c>
      <c r="Y77" s="305">
        <f t="shared" si="11"/>
        <v>5206.0051109038977</v>
      </c>
      <c r="Z77" s="305">
        <f t="shared" si="11"/>
        <v>17177.636183842635</v>
      </c>
      <c r="AA77" s="305">
        <f t="shared" si="11"/>
        <v>292061.29388946388</v>
      </c>
      <c r="AB77" s="305">
        <f t="shared" si="11"/>
        <v>1448.8867080094205</v>
      </c>
      <c r="AC77" s="305">
        <f t="shared" si="11"/>
        <v>39128.512028820609</v>
      </c>
      <c r="AD77" s="305">
        <f t="shared" si="11"/>
        <v>139144.19777990581</v>
      </c>
      <c r="AE77" s="305">
        <f t="shared" si="11"/>
        <v>118976.78948907027</v>
      </c>
      <c r="AF77" s="305">
        <f t="shared" si="11"/>
        <v>489934.66308306606</v>
      </c>
      <c r="AG77" s="305">
        <f t="shared" si="11"/>
        <v>181337.48584247299</v>
      </c>
      <c r="AH77" s="305">
        <f t="shared" si="11"/>
        <v>-29738.926490850121</v>
      </c>
      <c r="AI77" s="305">
        <f t="shared" si="11"/>
        <v>0</v>
      </c>
      <c r="AJ77" s="305">
        <f t="shared" si="11"/>
        <v>-37056.397324175297</v>
      </c>
      <c r="AK77" s="305">
        <f t="shared" si="11"/>
        <v>0</v>
      </c>
      <c r="AL77" s="305">
        <f t="shared" si="11"/>
        <v>-1746.8435154477193</v>
      </c>
      <c r="AM77" s="305">
        <f t="shared" si="11"/>
        <v>0</v>
      </c>
      <c r="AN77" s="305">
        <f t="shared" si="11"/>
        <v>-356460.10683826631</v>
      </c>
      <c r="AO77" s="305">
        <f t="shared" si="11"/>
        <v>0</v>
      </c>
    </row>
    <row r="78" spans="1:43" x14ac:dyDescent="0.25">
      <c r="D78" s="105"/>
      <c r="F78" t="s">
        <v>157</v>
      </c>
      <c r="G78" t="s">
        <v>275</v>
      </c>
      <c r="H78" s="106">
        <f t="shared" si="8"/>
        <v>97700086.529268607</v>
      </c>
      <c r="I78" s="97"/>
      <c r="J78" s="298">
        <f t="shared" ref="J78:AO78" si="12">J56 * J43 * days_in_year / hundred</f>
        <v>90488040.710204542</v>
      </c>
      <c r="K78" s="298">
        <f t="shared" si="12"/>
        <v>0</v>
      </c>
      <c r="L78" s="298">
        <f t="shared" si="12"/>
        <v>534.80838339913407</v>
      </c>
      <c r="M78" s="298">
        <f t="shared" si="12"/>
        <v>2017923.1268531627</v>
      </c>
      <c r="N78" s="298">
        <f t="shared" si="12"/>
        <v>1712103.1747924173</v>
      </c>
      <c r="O78" s="298">
        <f t="shared" si="12"/>
        <v>788588.46994959132</v>
      </c>
      <c r="P78" s="298">
        <f t="shared" si="12"/>
        <v>892241.23355825653</v>
      </c>
      <c r="Q78" s="298">
        <f t="shared" si="12"/>
        <v>0</v>
      </c>
      <c r="R78" s="298">
        <f t="shared" si="12"/>
        <v>791.14685854876723</v>
      </c>
      <c r="S78" s="298">
        <f t="shared" si="12"/>
        <v>325220.15744503797</v>
      </c>
      <c r="T78" s="298">
        <f t="shared" si="12"/>
        <v>171725.72638997872</v>
      </c>
      <c r="U78" s="298">
        <f t="shared" si="12"/>
        <v>74053.06836668578</v>
      </c>
      <c r="V78" s="298">
        <f t="shared" si="12"/>
        <v>62167.13045123405</v>
      </c>
      <c r="W78" s="298">
        <f t="shared" si="12"/>
        <v>62.882494674876916</v>
      </c>
      <c r="X78" s="298">
        <f t="shared" si="12"/>
        <v>603.52094310057839</v>
      </c>
      <c r="Y78" s="298">
        <f t="shared" si="12"/>
        <v>1934.4246197896477</v>
      </c>
      <c r="Z78" s="298">
        <f t="shared" si="12"/>
        <v>3919.9506532713685</v>
      </c>
      <c r="AA78" s="298">
        <f t="shared" si="12"/>
        <v>36296.631419611018</v>
      </c>
      <c r="AB78" s="298">
        <f t="shared" si="12"/>
        <v>91541.847580123052</v>
      </c>
      <c r="AC78" s="298">
        <f t="shared" si="12"/>
        <v>259674.73014209283</v>
      </c>
      <c r="AD78" s="298">
        <f t="shared" si="12"/>
        <v>332387.73583425046</v>
      </c>
      <c r="AE78" s="298">
        <f t="shared" si="12"/>
        <v>162162.76140992751</v>
      </c>
      <c r="AF78" s="298">
        <f t="shared" si="12"/>
        <v>232732.64823999669</v>
      </c>
      <c r="AG78" s="298">
        <f t="shared" si="12"/>
        <v>0</v>
      </c>
      <c r="AH78" s="298">
        <f t="shared" si="12"/>
        <v>0</v>
      </c>
      <c r="AI78" s="298">
        <f t="shared" si="12"/>
        <v>0</v>
      </c>
      <c r="AJ78" s="298">
        <f t="shared" si="12"/>
        <v>0</v>
      </c>
      <c r="AK78" s="298">
        <f t="shared" si="12"/>
        <v>0</v>
      </c>
      <c r="AL78" s="298">
        <f t="shared" si="12"/>
        <v>0</v>
      </c>
      <c r="AM78" s="298">
        <f t="shared" si="12"/>
        <v>0</v>
      </c>
      <c r="AN78" s="298">
        <f t="shared" si="12"/>
        <v>45380.642678906966</v>
      </c>
      <c r="AO78" s="298">
        <f t="shared" si="12"/>
        <v>0</v>
      </c>
    </row>
    <row r="79" spans="1:43" x14ac:dyDescent="0.25">
      <c r="D79" s="105"/>
      <c r="F79" t="s">
        <v>691</v>
      </c>
      <c r="G79" t="s">
        <v>275</v>
      </c>
      <c r="H79" s="106">
        <f t="shared" si="8"/>
        <v>56775048.265436076</v>
      </c>
      <c r="I79" s="97"/>
      <c r="J79" s="315">
        <f t="shared" ref="J79:AO79" si="13">J57 * J44 * days_in_year / hundred</f>
        <v>0</v>
      </c>
      <c r="K79" s="315">
        <f t="shared" si="13"/>
        <v>0</v>
      </c>
      <c r="L79" s="315">
        <f t="shared" si="13"/>
        <v>0</v>
      </c>
      <c r="M79" s="315">
        <f t="shared" si="13"/>
        <v>0</v>
      </c>
      <c r="N79" s="315">
        <f t="shared" si="13"/>
        <v>0</v>
      </c>
      <c r="O79" s="315">
        <f t="shared" si="13"/>
        <v>0</v>
      </c>
      <c r="P79" s="315">
        <f t="shared" si="13"/>
        <v>0</v>
      </c>
      <c r="Q79" s="315">
        <f t="shared" si="13"/>
        <v>0</v>
      </c>
      <c r="R79" s="315">
        <f t="shared" si="13"/>
        <v>16870.784028554513</v>
      </c>
      <c r="S79" s="315">
        <f t="shared" si="13"/>
        <v>5142175.3665809585</v>
      </c>
      <c r="T79" s="315">
        <f t="shared" si="13"/>
        <v>6940438.3624515971</v>
      </c>
      <c r="U79" s="315">
        <f t="shared" si="13"/>
        <v>4824561.6652530348</v>
      </c>
      <c r="V79" s="315">
        <f t="shared" si="13"/>
        <v>8511812.2565635927</v>
      </c>
      <c r="W79" s="315">
        <f t="shared" si="13"/>
        <v>751.35099990844219</v>
      </c>
      <c r="X79" s="315">
        <f t="shared" si="13"/>
        <v>8734.4553739356397</v>
      </c>
      <c r="Y79" s="315">
        <f t="shared" si="13"/>
        <v>86805.421283777556</v>
      </c>
      <c r="Z79" s="315">
        <f t="shared" si="13"/>
        <v>241313.31341648745</v>
      </c>
      <c r="AA79" s="315">
        <f t="shared" si="13"/>
        <v>6106480.53623203</v>
      </c>
      <c r="AB79" s="315">
        <f t="shared" si="13"/>
        <v>374053.33307867753</v>
      </c>
      <c r="AC79" s="315">
        <f t="shared" si="13"/>
        <v>1211201.626897681</v>
      </c>
      <c r="AD79" s="315">
        <f t="shared" si="13"/>
        <v>4089488.755375308</v>
      </c>
      <c r="AE79" s="315">
        <f t="shared" si="13"/>
        <v>3936474.29869744</v>
      </c>
      <c r="AF79" s="315">
        <f t="shared" si="13"/>
        <v>15283886.739203086</v>
      </c>
      <c r="AG79" s="315">
        <f t="shared" si="13"/>
        <v>0</v>
      </c>
      <c r="AH79" s="315">
        <f t="shared" si="13"/>
        <v>0</v>
      </c>
      <c r="AI79" s="315">
        <f t="shared" si="13"/>
        <v>0</v>
      </c>
      <c r="AJ79" s="315">
        <f t="shared" si="13"/>
        <v>0</v>
      </c>
      <c r="AK79" s="315">
        <f t="shared" si="13"/>
        <v>0</v>
      </c>
      <c r="AL79" s="315">
        <f t="shared" si="13"/>
        <v>0</v>
      </c>
      <c r="AM79" s="315">
        <f t="shared" si="13"/>
        <v>0</v>
      </c>
      <c r="AN79" s="315">
        <f t="shared" si="13"/>
        <v>0</v>
      </c>
      <c r="AO79" s="315">
        <f t="shared" si="13"/>
        <v>0</v>
      </c>
    </row>
    <row r="80" spans="1:43" x14ac:dyDescent="0.25">
      <c r="D80" s="105"/>
      <c r="F80" t="s">
        <v>250</v>
      </c>
      <c r="G80" t="s">
        <v>275</v>
      </c>
      <c r="H80" s="106">
        <f t="shared" si="8"/>
        <v>758235.73695426155</v>
      </c>
      <c r="I80" s="97"/>
      <c r="J80" s="299">
        <f t="shared" ref="J80:AO80" si="14">J58 * J45 * days_in_year / hundred</f>
        <v>0</v>
      </c>
      <c r="K80" s="299">
        <f t="shared" si="14"/>
        <v>0</v>
      </c>
      <c r="L80" s="299">
        <f t="shared" si="14"/>
        <v>0</v>
      </c>
      <c r="M80" s="299">
        <f t="shared" si="14"/>
        <v>0</v>
      </c>
      <c r="N80" s="299">
        <f t="shared" si="14"/>
        <v>0</v>
      </c>
      <c r="O80" s="299">
        <f t="shared" si="14"/>
        <v>0</v>
      </c>
      <c r="P80" s="299">
        <f t="shared" si="14"/>
        <v>0</v>
      </c>
      <c r="Q80" s="299">
        <f t="shared" si="14"/>
        <v>0</v>
      </c>
      <c r="R80" s="299">
        <f t="shared" si="14"/>
        <v>1896.1709616974629</v>
      </c>
      <c r="S80" s="299">
        <f t="shared" si="14"/>
        <v>305875.39042215474</v>
      </c>
      <c r="T80" s="299">
        <f t="shared" si="14"/>
        <v>78139.873148987448</v>
      </c>
      <c r="U80" s="299">
        <f t="shared" si="14"/>
        <v>31694.296896952299</v>
      </c>
      <c r="V80" s="299">
        <f t="shared" si="14"/>
        <v>38397.091874787358</v>
      </c>
      <c r="W80" s="299">
        <f t="shared" si="14"/>
        <v>0</v>
      </c>
      <c r="X80" s="299">
        <f t="shared" si="14"/>
        <v>1963.4963048292259</v>
      </c>
      <c r="Y80" s="299">
        <f t="shared" si="14"/>
        <v>1253.6239971075101</v>
      </c>
      <c r="Z80" s="299">
        <f t="shared" si="14"/>
        <v>2437.6708331276086</v>
      </c>
      <c r="AA80" s="299">
        <f t="shared" si="14"/>
        <v>23470.527792811441</v>
      </c>
      <c r="AB80" s="299">
        <f t="shared" si="14"/>
        <v>38860.195994863745</v>
      </c>
      <c r="AC80" s="299">
        <f t="shared" si="14"/>
        <v>50768.420035795636</v>
      </c>
      <c r="AD80" s="299">
        <f t="shared" si="14"/>
        <v>61318.380127000753</v>
      </c>
      <c r="AE80" s="299">
        <f t="shared" si="14"/>
        <v>39463.595007832104</v>
      </c>
      <c r="AF80" s="299">
        <f t="shared" si="14"/>
        <v>82697.003556314099</v>
      </c>
      <c r="AG80" s="299">
        <f t="shared" si="14"/>
        <v>0</v>
      </c>
      <c r="AH80" s="299">
        <f t="shared" si="14"/>
        <v>0</v>
      </c>
      <c r="AI80" s="299">
        <f t="shared" si="14"/>
        <v>0</v>
      </c>
      <c r="AJ80" s="299">
        <f t="shared" si="14"/>
        <v>0</v>
      </c>
      <c r="AK80" s="299">
        <f t="shared" si="14"/>
        <v>0</v>
      </c>
      <c r="AL80" s="299">
        <f t="shared" si="14"/>
        <v>0</v>
      </c>
      <c r="AM80" s="299">
        <f t="shared" si="14"/>
        <v>0</v>
      </c>
      <c r="AN80" s="299">
        <f t="shared" si="14"/>
        <v>0</v>
      </c>
      <c r="AO80" s="299">
        <f t="shared" si="14"/>
        <v>0</v>
      </c>
    </row>
    <row r="81" spans="2:43" x14ac:dyDescent="0.25">
      <c r="D81" s="105"/>
      <c r="F81" s="96" t="s">
        <v>213</v>
      </c>
      <c r="G81" s="101" t="s">
        <v>275</v>
      </c>
      <c r="H81" s="195">
        <f t="shared" si="8"/>
        <v>445110.35694409651</v>
      </c>
      <c r="I81" s="176"/>
      <c r="J81" s="299">
        <f t="shared" ref="J81:AO81" si="15">J59 * thousand * J46 / hundred</f>
        <v>0</v>
      </c>
      <c r="K81" s="299">
        <f t="shared" si="15"/>
        <v>0</v>
      </c>
      <c r="L81" s="299">
        <f t="shared" si="15"/>
        <v>0</v>
      </c>
      <c r="M81" s="299">
        <f t="shared" si="15"/>
        <v>0</v>
      </c>
      <c r="N81" s="299">
        <f t="shared" si="15"/>
        <v>0</v>
      </c>
      <c r="O81" s="299">
        <f t="shared" si="15"/>
        <v>0</v>
      </c>
      <c r="P81" s="299">
        <f t="shared" si="15"/>
        <v>0</v>
      </c>
      <c r="Q81" s="299">
        <f t="shared" si="15"/>
        <v>0</v>
      </c>
      <c r="R81" s="299">
        <f t="shared" si="15"/>
        <v>133.32873790043098</v>
      </c>
      <c r="S81" s="299">
        <f t="shared" si="15"/>
        <v>50336.501549380002</v>
      </c>
      <c r="T81" s="299">
        <f t="shared" si="15"/>
        <v>61650.558568580884</v>
      </c>
      <c r="U81" s="299">
        <f t="shared" si="15"/>
        <v>36399.788301142005</v>
      </c>
      <c r="V81" s="299">
        <f t="shared" si="15"/>
        <v>82935.105040680472</v>
      </c>
      <c r="W81" s="299">
        <f t="shared" si="15"/>
        <v>0.10567262265997693</v>
      </c>
      <c r="X81" s="299">
        <f t="shared" si="15"/>
        <v>113.16466730638987</v>
      </c>
      <c r="Y81" s="299">
        <f t="shared" si="15"/>
        <v>750.80320339961736</v>
      </c>
      <c r="Z81" s="299">
        <f t="shared" si="15"/>
        <v>1971.8369861412748</v>
      </c>
      <c r="AA81" s="299">
        <f t="shared" si="15"/>
        <v>36344.069081525711</v>
      </c>
      <c r="AB81" s="299">
        <f t="shared" si="15"/>
        <v>1725.3189039257049</v>
      </c>
      <c r="AC81" s="299">
        <f t="shared" si="15"/>
        <v>6581.6284555323828</v>
      </c>
      <c r="AD81" s="299">
        <f t="shared" si="15"/>
        <v>18923.029922355148</v>
      </c>
      <c r="AE81" s="299">
        <f t="shared" si="15"/>
        <v>15455.040255414489</v>
      </c>
      <c r="AF81" s="299">
        <f t="shared" si="15"/>
        <v>105892.80139806854</v>
      </c>
      <c r="AG81" s="299">
        <f t="shared" si="15"/>
        <v>0</v>
      </c>
      <c r="AH81" s="299">
        <f t="shared" si="15"/>
        <v>0</v>
      </c>
      <c r="AI81" s="299">
        <f t="shared" si="15"/>
        <v>0</v>
      </c>
      <c r="AJ81" s="299">
        <f t="shared" si="15"/>
        <v>4044.8778555586059</v>
      </c>
      <c r="AK81" s="299">
        <f t="shared" si="15"/>
        <v>0</v>
      </c>
      <c r="AL81" s="299">
        <f t="shared" si="15"/>
        <v>550.49562989058143</v>
      </c>
      <c r="AM81" s="299">
        <f t="shared" si="15"/>
        <v>0</v>
      </c>
      <c r="AN81" s="299">
        <f t="shared" si="15"/>
        <v>21301.902714671647</v>
      </c>
      <c r="AO81" s="299">
        <f t="shared" si="15"/>
        <v>0</v>
      </c>
    </row>
    <row r="82" spans="2:43" x14ac:dyDescent="0.25">
      <c r="D82"/>
      <c r="E82" s="86"/>
      <c r="F82" s="145" t="s">
        <v>99</v>
      </c>
      <c r="G82" s="216" t="s">
        <v>275</v>
      </c>
      <c r="H82" s="227">
        <f t="shared" si="8"/>
        <v>330469858.79401577</v>
      </c>
      <c r="I82" s="228"/>
      <c r="J82" s="316">
        <f t="shared" ref="J82" si="16">SUM(J75:J81)</f>
        <v>188759828.1664297</v>
      </c>
      <c r="K82" s="316">
        <f t="shared" ref="K82:AO82" si="17">SUM(K75:K81)</f>
        <v>192210.83066708854</v>
      </c>
      <c r="L82" s="316">
        <f t="shared" si="17"/>
        <v>2122.7891671577663</v>
      </c>
      <c r="M82" s="316">
        <f t="shared" si="17"/>
        <v>4698050.7158584222</v>
      </c>
      <c r="N82" s="316">
        <f t="shared" si="17"/>
        <v>7888671.9620675091</v>
      </c>
      <c r="O82" s="316">
        <f t="shared" si="17"/>
        <v>6824414.0001368392</v>
      </c>
      <c r="P82" s="316">
        <f t="shared" si="17"/>
        <v>19299960.740292095</v>
      </c>
      <c r="Q82" s="316">
        <f t="shared" si="17"/>
        <v>46709.650467598607</v>
      </c>
      <c r="R82" s="316">
        <f t="shared" si="17"/>
        <v>21472.186918886691</v>
      </c>
      <c r="S82" s="316">
        <f t="shared" si="17"/>
        <v>12972077.840921352</v>
      </c>
      <c r="T82" s="316">
        <f t="shared" si="17"/>
        <v>15461078.093722833</v>
      </c>
      <c r="U82" s="316">
        <f t="shared" si="17"/>
        <v>10184454.430274671</v>
      </c>
      <c r="V82" s="316">
        <f t="shared" si="17"/>
        <v>17751185.007775977</v>
      </c>
      <c r="W82" s="316">
        <f t="shared" si="17"/>
        <v>1012.7212521953129</v>
      </c>
      <c r="X82" s="316">
        <f t="shared" si="17"/>
        <v>26870.336706048485</v>
      </c>
      <c r="Y82" s="316">
        <f t="shared" si="17"/>
        <v>179013.94890239628</v>
      </c>
      <c r="Z82" s="316">
        <f t="shared" si="17"/>
        <v>535499.40214848658</v>
      </c>
      <c r="AA82" s="316">
        <f t="shared" si="17"/>
        <v>11197747.891934128</v>
      </c>
      <c r="AB82" s="316">
        <f t="shared" si="17"/>
        <v>520837.94630662561</v>
      </c>
      <c r="AC82" s="316">
        <f t="shared" si="17"/>
        <v>2197919.2860817001</v>
      </c>
      <c r="AD82" s="316">
        <f t="shared" si="17"/>
        <v>6887589.5768863847</v>
      </c>
      <c r="AE82" s="316">
        <f t="shared" si="17"/>
        <v>6282000.5383150196</v>
      </c>
      <c r="AF82" s="316">
        <f t="shared" si="17"/>
        <v>23743345.146656841</v>
      </c>
      <c r="AG82" s="316">
        <f t="shared" si="17"/>
        <v>2547962.0710168155</v>
      </c>
      <c r="AH82" s="316">
        <f t="shared" si="17"/>
        <v>-926623.13202619785</v>
      </c>
      <c r="AI82" s="316">
        <f t="shared" si="17"/>
        <v>0</v>
      </c>
      <c r="AJ82" s="316">
        <f t="shared" si="17"/>
        <v>-538777.5350422574</v>
      </c>
      <c r="AK82" s="316">
        <f t="shared" si="17"/>
        <v>0</v>
      </c>
      <c r="AL82" s="316">
        <f t="shared" si="17"/>
        <v>-25772.093831317914</v>
      </c>
      <c r="AM82" s="316">
        <f t="shared" si="17"/>
        <v>0</v>
      </c>
      <c r="AN82" s="316">
        <f t="shared" si="17"/>
        <v>-6261003.7259911075</v>
      </c>
      <c r="AO82" s="316">
        <f t="shared" si="17"/>
        <v>0</v>
      </c>
      <c r="AP82" s="317"/>
      <c r="AQ82" s="317"/>
    </row>
    <row r="83" spans="2:43" x14ac:dyDescent="0.2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25">
      <c r="D84" s="105"/>
      <c r="E84" t="s">
        <v>696</v>
      </c>
      <c r="G84" t="s">
        <v>275</v>
      </c>
      <c r="H84" s="168">
        <f>H67 - H82</f>
        <v>26980735.423591256</v>
      </c>
      <c r="I84" s="317" t="s">
        <v>152</v>
      </c>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7"/>
      <c r="AQ84" s="317" t="s">
        <v>1092</v>
      </c>
    </row>
    <row r="85" spans="2:43" x14ac:dyDescent="0.25">
      <c r="C85" s="105"/>
      <c r="I85" s="317"/>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7"/>
      <c r="AQ85" s="317"/>
    </row>
    <row r="86" spans="2:43" x14ac:dyDescent="0.25">
      <c r="B86" s="85" t="s">
        <v>882</v>
      </c>
      <c r="C86" s="85"/>
      <c r="D86" s="85"/>
      <c r="E86" s="85"/>
      <c r="F86" s="85"/>
      <c r="G86" s="85"/>
      <c r="H86" s="85"/>
      <c r="I86" s="85"/>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152"/>
      <c r="AQ86" s="152"/>
    </row>
    <row r="87" spans="2:43" x14ac:dyDescent="0.2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2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row>
    <row r="89" spans="2:43" x14ac:dyDescent="0.25">
      <c r="C89" s="86"/>
      <c r="D89"/>
      <c r="E89"/>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row>
    <row r="90" spans="2:43" x14ac:dyDescent="0.25">
      <c r="C90" s="86"/>
      <c r="D90" s="86" t="s">
        <v>1088</v>
      </c>
      <c r="E90"/>
      <c r="I90" t="s">
        <v>152</v>
      </c>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Q90" t="s">
        <v>1086</v>
      </c>
    </row>
    <row r="91" spans="2:43" x14ac:dyDescent="0.25">
      <c r="C91" s="86"/>
      <c r="D91" s="86" t="s">
        <v>1064</v>
      </c>
      <c r="E91"/>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row>
    <row r="92" spans="2:43" x14ac:dyDescent="0.25">
      <c r="C92" s="86"/>
      <c r="D92"/>
      <c r="E92"/>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row>
    <row r="93" spans="2:43" x14ac:dyDescent="0.25">
      <c r="C93" s="86"/>
      <c r="D93"/>
      <c r="E93" s="75" t="s">
        <v>972</v>
      </c>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row>
    <row r="94" spans="2:43" x14ac:dyDescent="0.25">
      <c r="C94" s="86"/>
      <c r="D94"/>
      <c r="E94"/>
      <c r="F94" s="95" t="s">
        <v>939</v>
      </c>
      <c r="G94" s="95" t="s">
        <v>147</v>
      </c>
      <c r="H94" s="95"/>
      <c r="I94" s="95"/>
      <c r="J94" s="319">
        <f>'Fixed inputs'!J177</f>
        <v>1</v>
      </c>
      <c r="K94" s="320"/>
      <c r="L94" s="320"/>
      <c r="M94" s="319">
        <f>'Fixed inputs'!M177</f>
        <v>1</v>
      </c>
      <c r="N94" s="319">
        <f>'Fixed inputs'!N177</f>
        <v>2</v>
      </c>
      <c r="O94" s="319">
        <f>'Fixed inputs'!O177</f>
        <v>3</v>
      </c>
      <c r="P94" s="319">
        <f>'Fixed inputs'!P177</f>
        <v>4</v>
      </c>
      <c r="Q94" s="320"/>
      <c r="R94" s="320"/>
      <c r="S94" s="319">
        <f>'Fixed inputs'!S177</f>
        <v>1</v>
      </c>
      <c r="T94" s="319">
        <f>'Fixed inputs'!T177</f>
        <v>2</v>
      </c>
      <c r="U94" s="319">
        <f>'Fixed inputs'!U177</f>
        <v>3</v>
      </c>
      <c r="V94" s="319">
        <f>'Fixed inputs'!V177</f>
        <v>4</v>
      </c>
      <c r="W94" s="320"/>
      <c r="X94" s="319">
        <f>'Fixed inputs'!X177</f>
        <v>1</v>
      </c>
      <c r="Y94" s="319">
        <f>'Fixed inputs'!Y177</f>
        <v>2</v>
      </c>
      <c r="Z94" s="319">
        <f>'Fixed inputs'!Z177</f>
        <v>3</v>
      </c>
      <c r="AA94" s="319">
        <f>'Fixed inputs'!AA177</f>
        <v>4</v>
      </c>
      <c r="AB94" s="320"/>
      <c r="AC94" s="319">
        <f>'Fixed inputs'!AC177</f>
        <v>1</v>
      </c>
      <c r="AD94" s="319">
        <f>'Fixed inputs'!AD177</f>
        <v>2</v>
      </c>
      <c r="AE94" s="319">
        <f>'Fixed inputs'!AE177</f>
        <v>3</v>
      </c>
      <c r="AF94" s="319">
        <f>'Fixed inputs'!AF177</f>
        <v>4</v>
      </c>
      <c r="AG94" s="319">
        <f>'Fixed inputs'!AG177</f>
        <v>1</v>
      </c>
      <c r="AH94" s="320"/>
      <c r="AI94" s="320"/>
      <c r="AJ94" s="320"/>
      <c r="AK94" s="320"/>
      <c r="AL94" s="320"/>
      <c r="AM94" s="320"/>
      <c r="AN94" s="320"/>
      <c r="AO94" s="320"/>
    </row>
    <row r="95" spans="2:43" x14ac:dyDescent="0.25">
      <c r="C95" s="86"/>
      <c r="D95"/>
      <c r="E95"/>
      <c r="F95" t="s">
        <v>940</v>
      </c>
      <c r="G95" t="s">
        <v>147</v>
      </c>
      <c r="J95" s="321">
        <f>'Fixed inputs'!J178</f>
        <v>1</v>
      </c>
      <c r="K95" s="322"/>
      <c r="L95" s="322"/>
      <c r="M95" s="321">
        <f>'Fixed inputs'!M178</f>
        <v>1</v>
      </c>
      <c r="N95" s="321">
        <f>'Fixed inputs'!N178</f>
        <v>1</v>
      </c>
      <c r="O95" s="321">
        <f>'Fixed inputs'!O178</f>
        <v>2</v>
      </c>
      <c r="P95" s="321">
        <f>'Fixed inputs'!P178</f>
        <v>3</v>
      </c>
      <c r="Q95" s="322"/>
      <c r="R95" s="322"/>
      <c r="S95" s="321">
        <f>'Fixed inputs'!S178</f>
        <v>1</v>
      </c>
      <c r="T95" s="321">
        <f>'Fixed inputs'!T178</f>
        <v>1</v>
      </c>
      <c r="U95" s="321">
        <f>'Fixed inputs'!U178</f>
        <v>2</v>
      </c>
      <c r="V95" s="321">
        <f>'Fixed inputs'!V178</f>
        <v>3</v>
      </c>
      <c r="W95" s="322"/>
      <c r="X95" s="321">
        <f>'Fixed inputs'!X178</f>
        <v>1</v>
      </c>
      <c r="Y95" s="321">
        <f>'Fixed inputs'!Y178</f>
        <v>1</v>
      </c>
      <c r="Z95" s="321">
        <f>'Fixed inputs'!Z178</f>
        <v>2</v>
      </c>
      <c r="AA95" s="321">
        <f>'Fixed inputs'!AA178</f>
        <v>3</v>
      </c>
      <c r="AB95" s="322"/>
      <c r="AC95" s="321">
        <f>'Fixed inputs'!AC178</f>
        <v>1</v>
      </c>
      <c r="AD95" s="321">
        <f>'Fixed inputs'!AD178</f>
        <v>1</v>
      </c>
      <c r="AE95" s="321">
        <f>'Fixed inputs'!AE178</f>
        <v>2</v>
      </c>
      <c r="AF95" s="321">
        <f>'Fixed inputs'!AF178</f>
        <v>3</v>
      </c>
      <c r="AG95" s="321">
        <f>'Fixed inputs'!AG178</f>
        <v>1</v>
      </c>
      <c r="AH95" s="322"/>
      <c r="AI95" s="322"/>
      <c r="AJ95" s="322"/>
      <c r="AK95" s="322"/>
      <c r="AL95" s="322"/>
      <c r="AM95" s="322"/>
      <c r="AN95" s="322"/>
      <c r="AO95" s="322"/>
    </row>
    <row r="96" spans="2:43" x14ac:dyDescent="0.25">
      <c r="C96" s="86"/>
      <c r="D96"/>
      <c r="E96"/>
      <c r="F96" t="s">
        <v>941</v>
      </c>
      <c r="G96" t="s">
        <v>147</v>
      </c>
      <c r="J96" s="321">
        <f>'Fixed inputs'!J179</f>
        <v>1</v>
      </c>
      <c r="K96" s="322"/>
      <c r="L96" s="322"/>
      <c r="M96" s="321">
        <f>'Fixed inputs'!M179</f>
        <v>1</v>
      </c>
      <c r="N96" s="321">
        <f>'Fixed inputs'!N179</f>
        <v>2</v>
      </c>
      <c r="O96" s="321">
        <f>'Fixed inputs'!O179</f>
        <v>2</v>
      </c>
      <c r="P96" s="321">
        <f>'Fixed inputs'!P179</f>
        <v>3</v>
      </c>
      <c r="Q96" s="322"/>
      <c r="R96" s="322"/>
      <c r="S96" s="321">
        <f>'Fixed inputs'!S179</f>
        <v>1</v>
      </c>
      <c r="T96" s="321">
        <f>'Fixed inputs'!T179</f>
        <v>2</v>
      </c>
      <c r="U96" s="321">
        <f>'Fixed inputs'!U179</f>
        <v>2</v>
      </c>
      <c r="V96" s="321">
        <f>'Fixed inputs'!V179</f>
        <v>3</v>
      </c>
      <c r="W96" s="322"/>
      <c r="X96" s="321">
        <f>'Fixed inputs'!X179</f>
        <v>1</v>
      </c>
      <c r="Y96" s="321">
        <f>'Fixed inputs'!Y179</f>
        <v>2</v>
      </c>
      <c r="Z96" s="321">
        <f>'Fixed inputs'!Z179</f>
        <v>2</v>
      </c>
      <c r="AA96" s="321">
        <f>'Fixed inputs'!AA179</f>
        <v>3</v>
      </c>
      <c r="AB96" s="322"/>
      <c r="AC96" s="321">
        <f>'Fixed inputs'!AC179</f>
        <v>1</v>
      </c>
      <c r="AD96" s="321">
        <f>'Fixed inputs'!AD179</f>
        <v>2</v>
      </c>
      <c r="AE96" s="321">
        <f>'Fixed inputs'!AE179</f>
        <v>2</v>
      </c>
      <c r="AF96" s="321">
        <f>'Fixed inputs'!AF179</f>
        <v>3</v>
      </c>
      <c r="AG96" s="321">
        <f>'Fixed inputs'!AG179</f>
        <v>1</v>
      </c>
      <c r="AH96" s="322"/>
      <c r="AI96" s="322"/>
      <c r="AJ96" s="322"/>
      <c r="AK96" s="322"/>
      <c r="AL96" s="322"/>
      <c r="AM96" s="322"/>
      <c r="AN96" s="322"/>
      <c r="AO96" s="322"/>
    </row>
    <row r="97" spans="3:41" x14ac:dyDescent="0.25">
      <c r="C97" s="86"/>
      <c r="D97"/>
      <c r="E97"/>
      <c r="F97" t="s">
        <v>942</v>
      </c>
      <c r="G97" t="s">
        <v>147</v>
      </c>
      <c r="J97" s="321">
        <f>'Fixed inputs'!J180</f>
        <v>1</v>
      </c>
      <c r="K97" s="322"/>
      <c r="L97" s="322"/>
      <c r="M97" s="321">
        <f>'Fixed inputs'!M180</f>
        <v>1</v>
      </c>
      <c r="N97" s="321">
        <f>'Fixed inputs'!N180</f>
        <v>2</v>
      </c>
      <c r="O97" s="321">
        <f>'Fixed inputs'!O180</f>
        <v>3</v>
      </c>
      <c r="P97" s="321">
        <f>'Fixed inputs'!P180</f>
        <v>3</v>
      </c>
      <c r="Q97" s="322"/>
      <c r="R97" s="322"/>
      <c r="S97" s="321">
        <f>'Fixed inputs'!S180</f>
        <v>1</v>
      </c>
      <c r="T97" s="321">
        <f>'Fixed inputs'!T180</f>
        <v>2</v>
      </c>
      <c r="U97" s="321">
        <f>'Fixed inputs'!U180</f>
        <v>3</v>
      </c>
      <c r="V97" s="321">
        <f>'Fixed inputs'!V180</f>
        <v>3</v>
      </c>
      <c r="W97" s="322"/>
      <c r="X97" s="321">
        <f>'Fixed inputs'!X180</f>
        <v>1</v>
      </c>
      <c r="Y97" s="321">
        <f>'Fixed inputs'!Y180</f>
        <v>2</v>
      </c>
      <c r="Z97" s="321">
        <f>'Fixed inputs'!Z180</f>
        <v>3</v>
      </c>
      <c r="AA97" s="321">
        <f>'Fixed inputs'!AA180</f>
        <v>3</v>
      </c>
      <c r="AB97" s="322"/>
      <c r="AC97" s="321">
        <f>'Fixed inputs'!AC180</f>
        <v>1</v>
      </c>
      <c r="AD97" s="321">
        <f>'Fixed inputs'!AD180</f>
        <v>2</v>
      </c>
      <c r="AE97" s="321">
        <f>'Fixed inputs'!AE180</f>
        <v>3</v>
      </c>
      <c r="AF97" s="321">
        <f>'Fixed inputs'!AF180</f>
        <v>3</v>
      </c>
      <c r="AG97" s="321">
        <f>'Fixed inputs'!AG180</f>
        <v>1</v>
      </c>
      <c r="AH97" s="322"/>
      <c r="AI97" s="322"/>
      <c r="AJ97" s="322"/>
      <c r="AK97" s="322"/>
      <c r="AL97" s="322"/>
      <c r="AM97" s="322"/>
      <c r="AN97" s="322"/>
      <c r="AO97" s="322"/>
    </row>
    <row r="98" spans="3:41" x14ac:dyDescent="0.25">
      <c r="C98" s="86"/>
      <c r="D98"/>
      <c r="E98"/>
      <c r="F98" t="s">
        <v>943</v>
      </c>
      <c r="G98" t="s">
        <v>147</v>
      </c>
      <c r="J98" s="321">
        <f>'Fixed inputs'!J181</f>
        <v>1</v>
      </c>
      <c r="K98" s="322"/>
      <c r="L98" s="322"/>
      <c r="M98" s="321">
        <f>'Fixed inputs'!M181</f>
        <v>1</v>
      </c>
      <c r="N98" s="321">
        <f>'Fixed inputs'!N181</f>
        <v>1</v>
      </c>
      <c r="O98" s="321">
        <f>'Fixed inputs'!O181</f>
        <v>2</v>
      </c>
      <c r="P98" s="321">
        <f>'Fixed inputs'!P181</f>
        <v>2</v>
      </c>
      <c r="Q98" s="322"/>
      <c r="R98" s="322"/>
      <c r="S98" s="321">
        <f>'Fixed inputs'!S181</f>
        <v>1</v>
      </c>
      <c r="T98" s="321">
        <f>'Fixed inputs'!T181</f>
        <v>1</v>
      </c>
      <c r="U98" s="321">
        <f>'Fixed inputs'!U181</f>
        <v>2</v>
      </c>
      <c r="V98" s="321">
        <f>'Fixed inputs'!V181</f>
        <v>2</v>
      </c>
      <c r="W98" s="322"/>
      <c r="X98" s="321">
        <f>'Fixed inputs'!X181</f>
        <v>1</v>
      </c>
      <c r="Y98" s="321">
        <f>'Fixed inputs'!Y181</f>
        <v>1</v>
      </c>
      <c r="Z98" s="321">
        <f>'Fixed inputs'!Z181</f>
        <v>2</v>
      </c>
      <c r="AA98" s="321">
        <f>'Fixed inputs'!AA181</f>
        <v>2</v>
      </c>
      <c r="AB98" s="322"/>
      <c r="AC98" s="321">
        <f>'Fixed inputs'!AC181</f>
        <v>1</v>
      </c>
      <c r="AD98" s="321">
        <f>'Fixed inputs'!AD181</f>
        <v>1</v>
      </c>
      <c r="AE98" s="321">
        <f>'Fixed inputs'!AE181</f>
        <v>2</v>
      </c>
      <c r="AF98" s="321">
        <f>'Fixed inputs'!AF181</f>
        <v>2</v>
      </c>
      <c r="AG98" s="321">
        <f>'Fixed inputs'!AG181</f>
        <v>1</v>
      </c>
      <c r="AH98" s="322"/>
      <c r="AI98" s="322"/>
      <c r="AJ98" s="322"/>
      <c r="AK98" s="322"/>
      <c r="AL98" s="322"/>
      <c r="AM98" s="322"/>
      <c r="AN98" s="322"/>
      <c r="AO98" s="322"/>
    </row>
    <row r="99" spans="3:41" x14ac:dyDescent="0.25">
      <c r="C99" s="86"/>
      <c r="D99"/>
      <c r="E99"/>
      <c r="F99" t="s">
        <v>944</v>
      </c>
      <c r="G99" t="s">
        <v>147</v>
      </c>
      <c r="J99" s="321">
        <f>'Fixed inputs'!J182</f>
        <v>1</v>
      </c>
      <c r="K99" s="322"/>
      <c r="L99" s="322"/>
      <c r="M99" s="321">
        <f>'Fixed inputs'!M182</f>
        <v>1</v>
      </c>
      <c r="N99" s="321">
        <f>'Fixed inputs'!N182</f>
        <v>1</v>
      </c>
      <c r="O99" s="321">
        <f>'Fixed inputs'!O182</f>
        <v>1</v>
      </c>
      <c r="P99" s="321">
        <f>'Fixed inputs'!P182</f>
        <v>2</v>
      </c>
      <c r="Q99" s="322"/>
      <c r="R99" s="322"/>
      <c r="S99" s="321">
        <f>'Fixed inputs'!S182</f>
        <v>1</v>
      </c>
      <c r="T99" s="321">
        <f>'Fixed inputs'!T182</f>
        <v>1</v>
      </c>
      <c r="U99" s="321">
        <f>'Fixed inputs'!U182</f>
        <v>1</v>
      </c>
      <c r="V99" s="321">
        <f>'Fixed inputs'!V182</f>
        <v>2</v>
      </c>
      <c r="W99" s="322"/>
      <c r="X99" s="321">
        <f>'Fixed inputs'!X182</f>
        <v>1</v>
      </c>
      <c r="Y99" s="321">
        <f>'Fixed inputs'!Y182</f>
        <v>1</v>
      </c>
      <c r="Z99" s="321">
        <f>'Fixed inputs'!Z182</f>
        <v>1</v>
      </c>
      <c r="AA99" s="321">
        <f>'Fixed inputs'!AA182</f>
        <v>2</v>
      </c>
      <c r="AB99" s="322"/>
      <c r="AC99" s="321">
        <f>'Fixed inputs'!AC182</f>
        <v>1</v>
      </c>
      <c r="AD99" s="321">
        <f>'Fixed inputs'!AD182</f>
        <v>1</v>
      </c>
      <c r="AE99" s="321">
        <f>'Fixed inputs'!AE182</f>
        <v>1</v>
      </c>
      <c r="AF99" s="321">
        <f>'Fixed inputs'!AF182</f>
        <v>2</v>
      </c>
      <c r="AG99" s="321">
        <f>'Fixed inputs'!AG182</f>
        <v>1</v>
      </c>
      <c r="AH99" s="322"/>
      <c r="AI99" s="322"/>
      <c r="AJ99" s="322"/>
      <c r="AK99" s="322"/>
      <c r="AL99" s="322"/>
      <c r="AM99" s="322"/>
      <c r="AN99" s="322"/>
      <c r="AO99" s="322"/>
    </row>
    <row r="100" spans="3:41" x14ac:dyDescent="0.25">
      <c r="C100" s="86"/>
      <c r="D100"/>
      <c r="E100"/>
      <c r="F100" t="s">
        <v>945</v>
      </c>
      <c r="G100" t="s">
        <v>147</v>
      </c>
      <c r="J100" s="321">
        <f>'Fixed inputs'!J183</f>
        <v>1</v>
      </c>
      <c r="K100" s="322"/>
      <c r="L100" s="322"/>
      <c r="M100" s="321">
        <f>'Fixed inputs'!M183</f>
        <v>1</v>
      </c>
      <c r="N100" s="321">
        <f>'Fixed inputs'!N183</f>
        <v>2</v>
      </c>
      <c r="O100" s="321">
        <f>'Fixed inputs'!O183</f>
        <v>2</v>
      </c>
      <c r="P100" s="321">
        <f>'Fixed inputs'!P183</f>
        <v>2</v>
      </c>
      <c r="Q100" s="322"/>
      <c r="R100" s="322"/>
      <c r="S100" s="321">
        <f>'Fixed inputs'!S183</f>
        <v>1</v>
      </c>
      <c r="T100" s="321">
        <f>'Fixed inputs'!T183</f>
        <v>2</v>
      </c>
      <c r="U100" s="321">
        <f>'Fixed inputs'!U183</f>
        <v>2</v>
      </c>
      <c r="V100" s="321">
        <f>'Fixed inputs'!V183</f>
        <v>2</v>
      </c>
      <c r="W100" s="322"/>
      <c r="X100" s="321">
        <f>'Fixed inputs'!X183</f>
        <v>1</v>
      </c>
      <c r="Y100" s="321">
        <f>'Fixed inputs'!Y183</f>
        <v>2</v>
      </c>
      <c r="Z100" s="321">
        <f>'Fixed inputs'!Z183</f>
        <v>2</v>
      </c>
      <c r="AA100" s="321">
        <f>'Fixed inputs'!AA183</f>
        <v>2</v>
      </c>
      <c r="AB100" s="322"/>
      <c r="AC100" s="321">
        <f>'Fixed inputs'!AC183</f>
        <v>1</v>
      </c>
      <c r="AD100" s="321">
        <f>'Fixed inputs'!AD183</f>
        <v>2</v>
      </c>
      <c r="AE100" s="321">
        <f>'Fixed inputs'!AE183</f>
        <v>2</v>
      </c>
      <c r="AF100" s="321">
        <f>'Fixed inputs'!AF183</f>
        <v>2</v>
      </c>
      <c r="AG100" s="321">
        <f>'Fixed inputs'!AG183</f>
        <v>1</v>
      </c>
      <c r="AH100" s="322"/>
      <c r="AI100" s="322"/>
      <c r="AJ100" s="322"/>
      <c r="AK100" s="322"/>
      <c r="AL100" s="322"/>
      <c r="AM100" s="322"/>
      <c r="AN100" s="322"/>
      <c r="AO100" s="322"/>
    </row>
    <row r="101" spans="3:41" x14ac:dyDescent="0.25">
      <c r="C101" s="86"/>
      <c r="D101"/>
      <c r="E101"/>
      <c r="F101" s="96" t="s">
        <v>946</v>
      </c>
      <c r="G101" s="96" t="s">
        <v>147</v>
      </c>
      <c r="H101" s="96"/>
      <c r="I101" s="96"/>
      <c r="J101" s="323">
        <f>'Fixed inputs'!J184</f>
        <v>1</v>
      </c>
      <c r="K101" s="324"/>
      <c r="L101" s="324"/>
      <c r="M101" s="323">
        <f>'Fixed inputs'!M184</f>
        <v>1</v>
      </c>
      <c r="N101" s="323">
        <f>'Fixed inputs'!N184</f>
        <v>1</v>
      </c>
      <c r="O101" s="323">
        <f>'Fixed inputs'!O184</f>
        <v>1</v>
      </c>
      <c r="P101" s="323">
        <f>'Fixed inputs'!P184</f>
        <v>1</v>
      </c>
      <c r="Q101" s="324"/>
      <c r="R101" s="324"/>
      <c r="S101" s="323">
        <f>'Fixed inputs'!S184</f>
        <v>1</v>
      </c>
      <c r="T101" s="323">
        <f>'Fixed inputs'!T184</f>
        <v>1</v>
      </c>
      <c r="U101" s="323">
        <f>'Fixed inputs'!U184</f>
        <v>1</v>
      </c>
      <c r="V101" s="323">
        <f>'Fixed inputs'!V184</f>
        <v>1</v>
      </c>
      <c r="W101" s="324"/>
      <c r="X101" s="323">
        <f>'Fixed inputs'!X184</f>
        <v>1</v>
      </c>
      <c r="Y101" s="323">
        <f>'Fixed inputs'!Y184</f>
        <v>1</v>
      </c>
      <c r="Z101" s="323">
        <f>'Fixed inputs'!Z184</f>
        <v>1</v>
      </c>
      <c r="AA101" s="323">
        <f>'Fixed inputs'!AA184</f>
        <v>1</v>
      </c>
      <c r="AB101" s="324"/>
      <c r="AC101" s="323">
        <f>'Fixed inputs'!AC184</f>
        <v>1</v>
      </c>
      <c r="AD101" s="323">
        <f>'Fixed inputs'!AD184</f>
        <v>1</v>
      </c>
      <c r="AE101" s="323">
        <f>'Fixed inputs'!AE184</f>
        <v>1</v>
      </c>
      <c r="AF101" s="323">
        <f>'Fixed inputs'!AF184</f>
        <v>1</v>
      </c>
      <c r="AG101" s="323">
        <f>'Fixed inputs'!AG184</f>
        <v>1</v>
      </c>
      <c r="AH101" s="324"/>
      <c r="AI101" s="324"/>
      <c r="AJ101" s="324"/>
      <c r="AK101" s="324"/>
      <c r="AL101" s="324"/>
      <c r="AM101" s="324"/>
      <c r="AN101" s="324"/>
      <c r="AO101" s="324"/>
    </row>
    <row r="102" spans="3:41" x14ac:dyDescent="0.25">
      <c r="C102" s="86"/>
      <c r="D102"/>
      <c r="E102"/>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row>
    <row r="103" spans="3:41" x14ac:dyDescent="0.25">
      <c r="C103" s="86"/>
      <c r="D103"/>
      <c r="E103" s="75" t="s">
        <v>961</v>
      </c>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row>
    <row r="104" spans="3:41" x14ac:dyDescent="0.25">
      <c r="C104" s="86"/>
      <c r="D104"/>
      <c r="E104"/>
      <c r="F104" s="95" t="s">
        <v>939</v>
      </c>
      <c r="G104" s="95" t="s">
        <v>147</v>
      </c>
      <c r="H104" s="95"/>
      <c r="I104" s="95"/>
      <c r="J104" s="325">
        <f>MAX((J$35-1)*MAX($J$36:$AO$36)+J94,0)</f>
        <v>1</v>
      </c>
      <c r="K104" s="320"/>
      <c r="L104" s="320"/>
      <c r="M104" s="325">
        <f t="shared" ref="M104:P111" si="18">MAX((M$35-1)*MAX($J$36:$AO$36)+M94,0)</f>
        <v>5</v>
      </c>
      <c r="N104" s="325">
        <f t="shared" si="18"/>
        <v>6</v>
      </c>
      <c r="O104" s="325">
        <f t="shared" si="18"/>
        <v>7</v>
      </c>
      <c r="P104" s="325">
        <f t="shared" si="18"/>
        <v>8</v>
      </c>
      <c r="Q104" s="320"/>
      <c r="R104" s="320"/>
      <c r="S104" s="325">
        <f t="shared" ref="S104:V104" si="19">MAX((S$35-1)*MAX($J$36:$AO$36)+S94,0)</f>
        <v>9</v>
      </c>
      <c r="T104" s="325">
        <f t="shared" si="19"/>
        <v>10</v>
      </c>
      <c r="U104" s="325">
        <f t="shared" si="19"/>
        <v>11</v>
      </c>
      <c r="V104" s="325">
        <f t="shared" si="19"/>
        <v>12</v>
      </c>
      <c r="W104" s="320"/>
      <c r="X104" s="325">
        <f t="shared" ref="X104:AA104" si="20">MAX((X$35-1)*MAX($J$36:$AO$36)+X94,0)</f>
        <v>9</v>
      </c>
      <c r="Y104" s="325">
        <f t="shared" si="20"/>
        <v>10</v>
      </c>
      <c r="Z104" s="325">
        <f t="shared" si="20"/>
        <v>11</v>
      </c>
      <c r="AA104" s="325">
        <f t="shared" si="20"/>
        <v>12</v>
      </c>
      <c r="AB104" s="320"/>
      <c r="AC104" s="325">
        <f t="shared" ref="AC104:AG104" si="21">MAX((AC$35-1)*MAX($J$36:$AO$36)+AC94,0)</f>
        <v>13</v>
      </c>
      <c r="AD104" s="325">
        <f t="shared" si="21"/>
        <v>14</v>
      </c>
      <c r="AE104" s="325">
        <f t="shared" si="21"/>
        <v>15</v>
      </c>
      <c r="AF104" s="325">
        <f t="shared" si="21"/>
        <v>16</v>
      </c>
      <c r="AG104" s="325">
        <f t="shared" si="21"/>
        <v>17</v>
      </c>
      <c r="AH104" s="320"/>
      <c r="AI104" s="320"/>
      <c r="AJ104" s="320"/>
      <c r="AK104" s="320"/>
      <c r="AL104" s="320"/>
      <c r="AM104" s="320"/>
      <c r="AN104" s="320"/>
      <c r="AO104" s="320"/>
    </row>
    <row r="105" spans="3:41" x14ac:dyDescent="0.25">
      <c r="C105" s="86"/>
      <c r="D105"/>
      <c r="E105"/>
      <c r="F105" t="s">
        <v>940</v>
      </c>
      <c r="G105" t="s">
        <v>147</v>
      </c>
      <c r="J105" s="326">
        <f t="shared" ref="J105:J111" si="22">MAX((J$35-1)*MAX($J$36:$AO$36)+J95,0)</f>
        <v>1</v>
      </c>
      <c r="K105" s="322"/>
      <c r="L105" s="322"/>
      <c r="M105" s="326">
        <f t="shared" si="18"/>
        <v>5</v>
      </c>
      <c r="N105" s="326">
        <f t="shared" si="18"/>
        <v>5</v>
      </c>
      <c r="O105" s="326">
        <f t="shared" si="18"/>
        <v>6</v>
      </c>
      <c r="P105" s="326">
        <f t="shared" si="18"/>
        <v>7</v>
      </c>
      <c r="Q105" s="322"/>
      <c r="R105" s="322"/>
      <c r="S105" s="326">
        <f t="shared" ref="S105:V105" si="23">MAX((S$35-1)*MAX($J$36:$AO$36)+S95,0)</f>
        <v>9</v>
      </c>
      <c r="T105" s="326">
        <f t="shared" si="23"/>
        <v>9</v>
      </c>
      <c r="U105" s="326">
        <f t="shared" si="23"/>
        <v>10</v>
      </c>
      <c r="V105" s="326">
        <f t="shared" si="23"/>
        <v>11</v>
      </c>
      <c r="W105" s="322"/>
      <c r="X105" s="326">
        <f t="shared" ref="X105:AA105" si="24">MAX((X$35-1)*MAX($J$36:$AO$36)+X95,0)</f>
        <v>9</v>
      </c>
      <c r="Y105" s="326">
        <f t="shared" si="24"/>
        <v>9</v>
      </c>
      <c r="Z105" s="326">
        <f t="shared" si="24"/>
        <v>10</v>
      </c>
      <c r="AA105" s="326">
        <f t="shared" si="24"/>
        <v>11</v>
      </c>
      <c r="AB105" s="322"/>
      <c r="AC105" s="326">
        <f t="shared" ref="AC105:AG105" si="25">MAX((AC$35-1)*MAX($J$36:$AO$36)+AC95,0)</f>
        <v>13</v>
      </c>
      <c r="AD105" s="326">
        <f t="shared" si="25"/>
        <v>13</v>
      </c>
      <c r="AE105" s="326">
        <f t="shared" si="25"/>
        <v>14</v>
      </c>
      <c r="AF105" s="326">
        <f t="shared" si="25"/>
        <v>15</v>
      </c>
      <c r="AG105" s="326">
        <f t="shared" si="25"/>
        <v>17</v>
      </c>
      <c r="AH105" s="322"/>
      <c r="AI105" s="322"/>
      <c r="AJ105" s="322"/>
      <c r="AK105" s="322"/>
      <c r="AL105" s="322"/>
      <c r="AM105" s="322"/>
      <c r="AN105" s="322"/>
      <c r="AO105" s="322"/>
    </row>
    <row r="106" spans="3:41" x14ac:dyDescent="0.25">
      <c r="C106" s="86"/>
      <c r="D106"/>
      <c r="E106"/>
      <c r="F106" t="s">
        <v>941</v>
      </c>
      <c r="G106" t="s">
        <v>147</v>
      </c>
      <c r="J106" s="326">
        <f t="shared" si="22"/>
        <v>1</v>
      </c>
      <c r="K106" s="322"/>
      <c r="L106" s="322"/>
      <c r="M106" s="326">
        <f t="shared" si="18"/>
        <v>5</v>
      </c>
      <c r="N106" s="326">
        <f t="shared" si="18"/>
        <v>6</v>
      </c>
      <c r="O106" s="326">
        <f t="shared" si="18"/>
        <v>6</v>
      </c>
      <c r="P106" s="326">
        <f t="shared" si="18"/>
        <v>7</v>
      </c>
      <c r="Q106" s="322"/>
      <c r="R106" s="322"/>
      <c r="S106" s="326">
        <f t="shared" ref="S106:V106" si="26">MAX((S$35-1)*MAX($J$36:$AO$36)+S96,0)</f>
        <v>9</v>
      </c>
      <c r="T106" s="326">
        <f t="shared" si="26"/>
        <v>10</v>
      </c>
      <c r="U106" s="326">
        <f t="shared" si="26"/>
        <v>10</v>
      </c>
      <c r="V106" s="326">
        <f t="shared" si="26"/>
        <v>11</v>
      </c>
      <c r="W106" s="322"/>
      <c r="X106" s="326">
        <f t="shared" ref="X106:AA106" si="27">MAX((X$35-1)*MAX($J$36:$AO$36)+X96,0)</f>
        <v>9</v>
      </c>
      <c r="Y106" s="326">
        <f t="shared" si="27"/>
        <v>10</v>
      </c>
      <c r="Z106" s="326">
        <f t="shared" si="27"/>
        <v>10</v>
      </c>
      <c r="AA106" s="326">
        <f t="shared" si="27"/>
        <v>11</v>
      </c>
      <c r="AB106" s="322"/>
      <c r="AC106" s="326">
        <f t="shared" ref="AC106:AG106" si="28">MAX((AC$35-1)*MAX($J$36:$AO$36)+AC96,0)</f>
        <v>13</v>
      </c>
      <c r="AD106" s="326">
        <f t="shared" si="28"/>
        <v>14</v>
      </c>
      <c r="AE106" s="326">
        <f t="shared" si="28"/>
        <v>14</v>
      </c>
      <c r="AF106" s="326">
        <f t="shared" si="28"/>
        <v>15</v>
      </c>
      <c r="AG106" s="326">
        <f t="shared" si="28"/>
        <v>17</v>
      </c>
      <c r="AH106" s="322"/>
      <c r="AI106" s="322"/>
      <c r="AJ106" s="322"/>
      <c r="AK106" s="322"/>
      <c r="AL106" s="322"/>
      <c r="AM106" s="322"/>
      <c r="AN106" s="322"/>
      <c r="AO106" s="322"/>
    </row>
    <row r="107" spans="3:41" x14ac:dyDescent="0.25">
      <c r="C107" s="86"/>
      <c r="D107"/>
      <c r="E107"/>
      <c r="F107" t="s">
        <v>942</v>
      </c>
      <c r="G107" t="s">
        <v>147</v>
      </c>
      <c r="J107" s="326">
        <f t="shared" si="22"/>
        <v>1</v>
      </c>
      <c r="K107" s="322"/>
      <c r="L107" s="322"/>
      <c r="M107" s="326">
        <f t="shared" si="18"/>
        <v>5</v>
      </c>
      <c r="N107" s="326">
        <f t="shared" si="18"/>
        <v>6</v>
      </c>
      <c r="O107" s="326">
        <f t="shared" si="18"/>
        <v>7</v>
      </c>
      <c r="P107" s="326">
        <f t="shared" si="18"/>
        <v>7</v>
      </c>
      <c r="Q107" s="322"/>
      <c r="R107" s="322"/>
      <c r="S107" s="326">
        <f t="shared" ref="S107:V107" si="29">MAX((S$35-1)*MAX($J$36:$AO$36)+S97,0)</f>
        <v>9</v>
      </c>
      <c r="T107" s="326">
        <f t="shared" si="29"/>
        <v>10</v>
      </c>
      <c r="U107" s="326">
        <f t="shared" si="29"/>
        <v>11</v>
      </c>
      <c r="V107" s="326">
        <f t="shared" si="29"/>
        <v>11</v>
      </c>
      <c r="W107" s="322"/>
      <c r="X107" s="326">
        <f t="shared" ref="X107:AA107" si="30">MAX((X$35-1)*MAX($J$36:$AO$36)+X97,0)</f>
        <v>9</v>
      </c>
      <c r="Y107" s="326">
        <f t="shared" si="30"/>
        <v>10</v>
      </c>
      <c r="Z107" s="326">
        <f t="shared" si="30"/>
        <v>11</v>
      </c>
      <c r="AA107" s="326">
        <f t="shared" si="30"/>
        <v>11</v>
      </c>
      <c r="AB107" s="322"/>
      <c r="AC107" s="326">
        <f t="shared" ref="AC107:AG107" si="31">MAX((AC$35-1)*MAX($J$36:$AO$36)+AC97,0)</f>
        <v>13</v>
      </c>
      <c r="AD107" s="326">
        <f t="shared" si="31"/>
        <v>14</v>
      </c>
      <c r="AE107" s="326">
        <f t="shared" si="31"/>
        <v>15</v>
      </c>
      <c r="AF107" s="326">
        <f t="shared" si="31"/>
        <v>15</v>
      </c>
      <c r="AG107" s="326">
        <f t="shared" si="31"/>
        <v>17</v>
      </c>
      <c r="AH107" s="322"/>
      <c r="AI107" s="322"/>
      <c r="AJ107" s="322"/>
      <c r="AK107" s="322"/>
      <c r="AL107" s="322"/>
      <c r="AM107" s="322"/>
      <c r="AN107" s="322"/>
      <c r="AO107" s="322"/>
    </row>
    <row r="108" spans="3:41" x14ac:dyDescent="0.25">
      <c r="C108" s="86"/>
      <c r="D108"/>
      <c r="E108"/>
      <c r="F108" t="s">
        <v>943</v>
      </c>
      <c r="G108" t="s">
        <v>147</v>
      </c>
      <c r="J108" s="326">
        <f t="shared" si="22"/>
        <v>1</v>
      </c>
      <c r="K108" s="322"/>
      <c r="L108" s="322"/>
      <c r="M108" s="326">
        <f t="shared" si="18"/>
        <v>5</v>
      </c>
      <c r="N108" s="326">
        <f t="shared" si="18"/>
        <v>5</v>
      </c>
      <c r="O108" s="326">
        <f t="shared" si="18"/>
        <v>6</v>
      </c>
      <c r="P108" s="326">
        <f t="shared" si="18"/>
        <v>6</v>
      </c>
      <c r="Q108" s="322"/>
      <c r="R108" s="322"/>
      <c r="S108" s="326">
        <f t="shared" ref="S108:V108" si="32">MAX((S$35-1)*MAX($J$36:$AO$36)+S98,0)</f>
        <v>9</v>
      </c>
      <c r="T108" s="326">
        <f t="shared" si="32"/>
        <v>9</v>
      </c>
      <c r="U108" s="326">
        <f t="shared" si="32"/>
        <v>10</v>
      </c>
      <c r="V108" s="326">
        <f t="shared" si="32"/>
        <v>10</v>
      </c>
      <c r="W108" s="322"/>
      <c r="X108" s="326">
        <f t="shared" ref="X108:AA108" si="33">MAX((X$35-1)*MAX($J$36:$AO$36)+X98,0)</f>
        <v>9</v>
      </c>
      <c r="Y108" s="326">
        <f t="shared" si="33"/>
        <v>9</v>
      </c>
      <c r="Z108" s="326">
        <f t="shared" si="33"/>
        <v>10</v>
      </c>
      <c r="AA108" s="326">
        <f t="shared" si="33"/>
        <v>10</v>
      </c>
      <c r="AB108" s="322"/>
      <c r="AC108" s="326">
        <f t="shared" ref="AC108:AG108" si="34">MAX((AC$35-1)*MAX($J$36:$AO$36)+AC98,0)</f>
        <v>13</v>
      </c>
      <c r="AD108" s="326">
        <f t="shared" si="34"/>
        <v>13</v>
      </c>
      <c r="AE108" s="326">
        <f t="shared" si="34"/>
        <v>14</v>
      </c>
      <c r="AF108" s="326">
        <f t="shared" si="34"/>
        <v>14</v>
      </c>
      <c r="AG108" s="326">
        <f t="shared" si="34"/>
        <v>17</v>
      </c>
      <c r="AH108" s="322"/>
      <c r="AI108" s="322"/>
      <c r="AJ108" s="322"/>
      <c r="AK108" s="322"/>
      <c r="AL108" s="322"/>
      <c r="AM108" s="322"/>
      <c r="AN108" s="322"/>
      <c r="AO108" s="322"/>
    </row>
    <row r="109" spans="3:41" x14ac:dyDescent="0.25">
      <c r="C109" s="86"/>
      <c r="D109"/>
      <c r="E109"/>
      <c r="F109" t="s">
        <v>944</v>
      </c>
      <c r="G109" t="s">
        <v>147</v>
      </c>
      <c r="J109" s="326">
        <f t="shared" si="22"/>
        <v>1</v>
      </c>
      <c r="K109" s="322"/>
      <c r="L109" s="322"/>
      <c r="M109" s="326">
        <f t="shared" si="18"/>
        <v>5</v>
      </c>
      <c r="N109" s="326">
        <f t="shared" si="18"/>
        <v>5</v>
      </c>
      <c r="O109" s="326">
        <f t="shared" si="18"/>
        <v>5</v>
      </c>
      <c r="P109" s="326">
        <f t="shared" si="18"/>
        <v>6</v>
      </c>
      <c r="Q109" s="322"/>
      <c r="R109" s="322"/>
      <c r="S109" s="326">
        <f t="shared" ref="S109:V109" si="35">MAX((S$35-1)*MAX($J$36:$AO$36)+S99,0)</f>
        <v>9</v>
      </c>
      <c r="T109" s="326">
        <f t="shared" si="35"/>
        <v>9</v>
      </c>
      <c r="U109" s="326">
        <f t="shared" si="35"/>
        <v>9</v>
      </c>
      <c r="V109" s="326">
        <f t="shared" si="35"/>
        <v>10</v>
      </c>
      <c r="W109" s="322"/>
      <c r="X109" s="326">
        <f t="shared" ref="X109:AA109" si="36">MAX((X$35-1)*MAX($J$36:$AO$36)+X99,0)</f>
        <v>9</v>
      </c>
      <c r="Y109" s="326">
        <f t="shared" si="36"/>
        <v>9</v>
      </c>
      <c r="Z109" s="326">
        <f t="shared" si="36"/>
        <v>9</v>
      </c>
      <c r="AA109" s="326">
        <f t="shared" si="36"/>
        <v>10</v>
      </c>
      <c r="AB109" s="322"/>
      <c r="AC109" s="326">
        <f t="shared" ref="AC109:AG109" si="37">MAX((AC$35-1)*MAX($J$36:$AO$36)+AC99,0)</f>
        <v>13</v>
      </c>
      <c r="AD109" s="326">
        <f t="shared" si="37"/>
        <v>13</v>
      </c>
      <c r="AE109" s="326">
        <f t="shared" si="37"/>
        <v>13</v>
      </c>
      <c r="AF109" s="326">
        <f t="shared" si="37"/>
        <v>14</v>
      </c>
      <c r="AG109" s="326">
        <f t="shared" si="37"/>
        <v>17</v>
      </c>
      <c r="AH109" s="322"/>
      <c r="AI109" s="322"/>
      <c r="AJ109" s="322"/>
      <c r="AK109" s="322"/>
      <c r="AL109" s="322"/>
      <c r="AM109" s="322"/>
      <c r="AN109" s="322"/>
      <c r="AO109" s="322"/>
    </row>
    <row r="110" spans="3:41" x14ac:dyDescent="0.25">
      <c r="C110" s="86"/>
      <c r="D110"/>
      <c r="E110"/>
      <c r="F110" t="s">
        <v>945</v>
      </c>
      <c r="G110" t="s">
        <v>147</v>
      </c>
      <c r="J110" s="326">
        <f t="shared" si="22"/>
        <v>1</v>
      </c>
      <c r="K110" s="322"/>
      <c r="L110" s="322"/>
      <c r="M110" s="326">
        <f t="shared" si="18"/>
        <v>5</v>
      </c>
      <c r="N110" s="326">
        <f t="shared" si="18"/>
        <v>6</v>
      </c>
      <c r="O110" s="326">
        <f t="shared" si="18"/>
        <v>6</v>
      </c>
      <c r="P110" s="326">
        <f t="shared" si="18"/>
        <v>6</v>
      </c>
      <c r="Q110" s="322"/>
      <c r="R110" s="322"/>
      <c r="S110" s="326">
        <f t="shared" ref="S110:V110" si="38">MAX((S$35-1)*MAX($J$36:$AO$36)+S100,0)</f>
        <v>9</v>
      </c>
      <c r="T110" s="326">
        <f t="shared" si="38"/>
        <v>10</v>
      </c>
      <c r="U110" s="326">
        <f t="shared" si="38"/>
        <v>10</v>
      </c>
      <c r="V110" s="326">
        <f t="shared" si="38"/>
        <v>10</v>
      </c>
      <c r="W110" s="322"/>
      <c r="X110" s="326">
        <f t="shared" ref="X110:AA110" si="39">MAX((X$35-1)*MAX($J$36:$AO$36)+X100,0)</f>
        <v>9</v>
      </c>
      <c r="Y110" s="326">
        <f t="shared" si="39"/>
        <v>10</v>
      </c>
      <c r="Z110" s="326">
        <f t="shared" si="39"/>
        <v>10</v>
      </c>
      <c r="AA110" s="326">
        <f t="shared" si="39"/>
        <v>10</v>
      </c>
      <c r="AB110" s="322"/>
      <c r="AC110" s="326">
        <f t="shared" ref="AC110:AG110" si="40">MAX((AC$35-1)*MAX($J$36:$AO$36)+AC100,0)</f>
        <v>13</v>
      </c>
      <c r="AD110" s="326">
        <f t="shared" si="40"/>
        <v>14</v>
      </c>
      <c r="AE110" s="326">
        <f t="shared" si="40"/>
        <v>14</v>
      </c>
      <c r="AF110" s="326">
        <f t="shared" si="40"/>
        <v>14</v>
      </c>
      <c r="AG110" s="326">
        <f t="shared" si="40"/>
        <v>17</v>
      </c>
      <c r="AH110" s="322"/>
      <c r="AI110" s="322"/>
      <c r="AJ110" s="322"/>
      <c r="AK110" s="322"/>
      <c r="AL110" s="322"/>
      <c r="AM110" s="322"/>
      <c r="AN110" s="322"/>
      <c r="AO110" s="322"/>
    </row>
    <row r="111" spans="3:41" x14ac:dyDescent="0.25">
      <c r="C111" s="86"/>
      <c r="D111"/>
      <c r="E111"/>
      <c r="F111" s="96" t="s">
        <v>946</v>
      </c>
      <c r="G111" s="96" t="s">
        <v>147</v>
      </c>
      <c r="H111" s="96"/>
      <c r="I111" s="96"/>
      <c r="J111" s="327">
        <f t="shared" si="22"/>
        <v>1</v>
      </c>
      <c r="K111" s="324"/>
      <c r="L111" s="324"/>
      <c r="M111" s="327">
        <f t="shared" si="18"/>
        <v>5</v>
      </c>
      <c r="N111" s="327">
        <f t="shared" si="18"/>
        <v>5</v>
      </c>
      <c r="O111" s="327">
        <f t="shared" si="18"/>
        <v>5</v>
      </c>
      <c r="P111" s="327">
        <f t="shared" si="18"/>
        <v>5</v>
      </c>
      <c r="Q111" s="324"/>
      <c r="R111" s="324"/>
      <c r="S111" s="327">
        <f t="shared" ref="S111:V111" si="41">MAX((S$35-1)*MAX($J$36:$AO$36)+S101,0)</f>
        <v>9</v>
      </c>
      <c r="T111" s="327">
        <f t="shared" si="41"/>
        <v>9</v>
      </c>
      <c r="U111" s="327">
        <f t="shared" si="41"/>
        <v>9</v>
      </c>
      <c r="V111" s="327">
        <f t="shared" si="41"/>
        <v>9</v>
      </c>
      <c r="W111" s="324"/>
      <c r="X111" s="327">
        <f t="shared" ref="X111:AA111" si="42">MAX((X$35-1)*MAX($J$36:$AO$36)+X101,0)</f>
        <v>9</v>
      </c>
      <c r="Y111" s="327">
        <f t="shared" si="42"/>
        <v>9</v>
      </c>
      <c r="Z111" s="327">
        <f t="shared" si="42"/>
        <v>9</v>
      </c>
      <c r="AA111" s="327">
        <f t="shared" si="42"/>
        <v>9</v>
      </c>
      <c r="AB111" s="324"/>
      <c r="AC111" s="327">
        <f t="shared" ref="AC111:AG111" si="43">MAX((AC$35-1)*MAX($J$36:$AO$36)+AC101,0)</f>
        <v>13</v>
      </c>
      <c r="AD111" s="327">
        <f t="shared" si="43"/>
        <v>13</v>
      </c>
      <c r="AE111" s="327">
        <f t="shared" si="43"/>
        <v>13</v>
      </c>
      <c r="AF111" s="327">
        <f t="shared" si="43"/>
        <v>13</v>
      </c>
      <c r="AG111" s="327">
        <f t="shared" si="43"/>
        <v>17</v>
      </c>
      <c r="AH111" s="324"/>
      <c r="AI111" s="324"/>
      <c r="AJ111" s="324"/>
      <c r="AK111" s="324"/>
      <c r="AL111" s="324"/>
      <c r="AM111" s="324"/>
      <c r="AN111" s="324"/>
      <c r="AO111" s="324"/>
    </row>
    <row r="112" spans="3:41" x14ac:dyDescent="0.25">
      <c r="C112" s="86"/>
      <c r="D112"/>
      <c r="E112"/>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row>
    <row r="113" spans="3:41" x14ac:dyDescent="0.25">
      <c r="C113" s="86"/>
      <c r="D113"/>
      <c r="E113" s="75" t="s">
        <v>962</v>
      </c>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row>
    <row r="114" spans="3:41" x14ac:dyDescent="0.25">
      <c r="C114" s="86"/>
      <c r="D114"/>
      <c r="E114"/>
      <c r="F114" s="95" t="s">
        <v>939</v>
      </c>
      <c r="G114" s="95" t="s">
        <v>210</v>
      </c>
      <c r="H114" s="95"/>
      <c r="I114" s="95"/>
      <c r="J114" s="325">
        <f t="shared" ref="J114:J121" si="44">SUMIF($J104:$AO104, J104, $J$56:$AO$56)</f>
        <v>1547748.3978608586</v>
      </c>
      <c r="K114" s="320"/>
      <c r="L114" s="320"/>
      <c r="M114" s="325">
        <f t="shared" ref="M114:P121" si="45">SUMIF($J104:$AO104, M104, $J$56:$AO$56)</f>
        <v>37579.546715428587</v>
      </c>
      <c r="N114" s="325">
        <f t="shared" si="45"/>
        <v>31884.297465325126</v>
      </c>
      <c r="O114" s="325">
        <f t="shared" si="45"/>
        <v>14685.790975562491</v>
      </c>
      <c r="P114" s="325">
        <f t="shared" si="45"/>
        <v>16616.104286500897</v>
      </c>
      <c r="Q114" s="320"/>
      <c r="R114" s="320"/>
      <c r="S114" s="325">
        <f t="shared" ref="S114:V121" si="46">SUMIF($J104:$AO104, S104, $J$56:$AO$56)</f>
        <v>5855.3490942520202</v>
      </c>
      <c r="T114" s="325">
        <f t="shared" si="46"/>
        <v>3120.8315275091859</v>
      </c>
      <c r="U114" s="325">
        <f t="shared" si="46"/>
        <v>1401.2463690583097</v>
      </c>
      <c r="V114" s="325">
        <f t="shared" si="46"/>
        <v>1769.4837334697768</v>
      </c>
      <c r="W114" s="320"/>
      <c r="X114" s="325">
        <f t="shared" ref="X114:AA121" si="47">SUMIF($J104:$AO104, X104, $J$56:$AO$56)</f>
        <v>5855.3490942520202</v>
      </c>
      <c r="Y114" s="325">
        <f t="shared" si="47"/>
        <v>3120.8315275091859</v>
      </c>
      <c r="Z114" s="325">
        <f t="shared" si="47"/>
        <v>1401.2463690583097</v>
      </c>
      <c r="AA114" s="325">
        <f t="shared" si="47"/>
        <v>1769.4837334697768</v>
      </c>
      <c r="AB114" s="320"/>
      <c r="AC114" s="325">
        <f t="shared" ref="AC114:AG121" si="48">SUMIF($J104:$AO104, AC104, $J$56:$AO$56)</f>
        <v>224.67233104076109</v>
      </c>
      <c r="AD114" s="325">
        <f t="shared" si="48"/>
        <v>287.58411485930162</v>
      </c>
      <c r="AE114" s="325">
        <f t="shared" si="48"/>
        <v>140.30431684299413</v>
      </c>
      <c r="AF114" s="325">
        <f t="shared" si="48"/>
        <v>201.36185974182959</v>
      </c>
      <c r="AG114" s="325">
        <f t="shared" si="48"/>
        <v>1129.7489873710761</v>
      </c>
      <c r="AH114" s="320"/>
      <c r="AI114" s="320"/>
      <c r="AJ114" s="320"/>
      <c r="AK114" s="320"/>
      <c r="AL114" s="320"/>
      <c r="AM114" s="320"/>
      <c r="AN114" s="320"/>
      <c r="AO114" s="320"/>
    </row>
    <row r="115" spans="3:41" x14ac:dyDescent="0.25">
      <c r="C115" s="86"/>
      <c r="D115"/>
      <c r="E115"/>
      <c r="F115" t="s">
        <v>940</v>
      </c>
      <c r="G115" t="s">
        <v>210</v>
      </c>
      <c r="J115" s="326">
        <f t="shared" si="44"/>
        <v>1547748.3978608586</v>
      </c>
      <c r="K115" s="322"/>
      <c r="L115" s="322"/>
      <c r="M115" s="326">
        <f t="shared" si="45"/>
        <v>69463.844180753717</v>
      </c>
      <c r="N115" s="326">
        <f t="shared" si="45"/>
        <v>69463.844180753717</v>
      </c>
      <c r="O115" s="326">
        <f t="shared" si="45"/>
        <v>14685.790975562491</v>
      </c>
      <c r="P115" s="326">
        <f t="shared" si="45"/>
        <v>16616.104286500897</v>
      </c>
      <c r="Q115" s="322"/>
      <c r="R115" s="322"/>
      <c r="S115" s="326">
        <f t="shared" si="46"/>
        <v>8976.1806217612066</v>
      </c>
      <c r="T115" s="326">
        <f t="shared" si="46"/>
        <v>8976.1806217612066</v>
      </c>
      <c r="U115" s="326">
        <f t="shared" si="46"/>
        <v>1401.2463690583097</v>
      </c>
      <c r="V115" s="326">
        <f t="shared" si="46"/>
        <v>1769.4837334697768</v>
      </c>
      <c r="W115" s="322"/>
      <c r="X115" s="326">
        <f t="shared" si="47"/>
        <v>8976.1806217612066</v>
      </c>
      <c r="Y115" s="326">
        <f t="shared" si="47"/>
        <v>8976.1806217612066</v>
      </c>
      <c r="Z115" s="326">
        <f t="shared" si="47"/>
        <v>1401.2463690583097</v>
      </c>
      <c r="AA115" s="326">
        <f t="shared" si="47"/>
        <v>1769.4837334697768</v>
      </c>
      <c r="AB115" s="322"/>
      <c r="AC115" s="326">
        <f t="shared" si="48"/>
        <v>512.25644590006277</v>
      </c>
      <c r="AD115" s="326">
        <f t="shared" si="48"/>
        <v>512.25644590006277</v>
      </c>
      <c r="AE115" s="326">
        <f t="shared" si="48"/>
        <v>140.30431684299413</v>
      </c>
      <c r="AF115" s="326">
        <f t="shared" si="48"/>
        <v>201.36185974182959</v>
      </c>
      <c r="AG115" s="326">
        <f t="shared" si="48"/>
        <v>1129.7489873710761</v>
      </c>
      <c r="AH115" s="322"/>
      <c r="AI115" s="322"/>
      <c r="AJ115" s="322"/>
      <c r="AK115" s="322"/>
      <c r="AL115" s="322"/>
      <c r="AM115" s="322"/>
      <c r="AN115" s="322"/>
      <c r="AO115" s="322"/>
    </row>
    <row r="116" spans="3:41" x14ac:dyDescent="0.25">
      <c r="C116" s="86"/>
      <c r="D116"/>
      <c r="E116"/>
      <c r="F116" t="s">
        <v>941</v>
      </c>
      <c r="G116" t="s">
        <v>210</v>
      </c>
      <c r="J116" s="326">
        <f t="shared" si="44"/>
        <v>1547748.3978608586</v>
      </c>
      <c r="K116" s="322"/>
      <c r="L116" s="322"/>
      <c r="M116" s="326">
        <f t="shared" si="45"/>
        <v>37579.546715428587</v>
      </c>
      <c r="N116" s="326">
        <f t="shared" si="45"/>
        <v>46570.088440887615</v>
      </c>
      <c r="O116" s="326">
        <f t="shared" si="45"/>
        <v>46570.088440887615</v>
      </c>
      <c r="P116" s="326">
        <f t="shared" si="45"/>
        <v>16616.104286500897</v>
      </c>
      <c r="Q116" s="322"/>
      <c r="R116" s="322"/>
      <c r="S116" s="326">
        <f t="shared" si="46"/>
        <v>5855.3490942520202</v>
      </c>
      <c r="T116" s="326">
        <f t="shared" si="46"/>
        <v>4522.0778965674963</v>
      </c>
      <c r="U116" s="326">
        <f t="shared" si="46"/>
        <v>4522.0778965674963</v>
      </c>
      <c r="V116" s="326">
        <f t="shared" si="46"/>
        <v>1769.4837334697768</v>
      </c>
      <c r="W116" s="322"/>
      <c r="X116" s="326">
        <f t="shared" si="47"/>
        <v>5855.3490942520202</v>
      </c>
      <c r="Y116" s="326">
        <f t="shared" si="47"/>
        <v>4522.0778965674963</v>
      </c>
      <c r="Z116" s="326">
        <f t="shared" si="47"/>
        <v>4522.0778965674963</v>
      </c>
      <c r="AA116" s="326">
        <f t="shared" si="47"/>
        <v>1769.4837334697768</v>
      </c>
      <c r="AB116" s="322"/>
      <c r="AC116" s="326">
        <f t="shared" si="48"/>
        <v>224.67233104076109</v>
      </c>
      <c r="AD116" s="326">
        <f t="shared" si="48"/>
        <v>427.88843170229575</v>
      </c>
      <c r="AE116" s="326">
        <f t="shared" si="48"/>
        <v>427.88843170229575</v>
      </c>
      <c r="AF116" s="326">
        <f t="shared" si="48"/>
        <v>201.36185974182959</v>
      </c>
      <c r="AG116" s="326">
        <f t="shared" si="48"/>
        <v>1129.7489873710761</v>
      </c>
      <c r="AH116" s="322"/>
      <c r="AI116" s="322"/>
      <c r="AJ116" s="322"/>
      <c r="AK116" s="322"/>
      <c r="AL116" s="322"/>
      <c r="AM116" s="322"/>
      <c r="AN116" s="322"/>
      <c r="AO116" s="322"/>
    </row>
    <row r="117" spans="3:41" x14ac:dyDescent="0.25">
      <c r="C117" s="86"/>
      <c r="D117"/>
      <c r="E117"/>
      <c r="F117" t="s">
        <v>942</v>
      </c>
      <c r="G117" t="s">
        <v>210</v>
      </c>
      <c r="J117" s="326">
        <f t="shared" si="44"/>
        <v>1547748.3978608586</v>
      </c>
      <c r="K117" s="322"/>
      <c r="L117" s="322"/>
      <c r="M117" s="326">
        <f t="shared" si="45"/>
        <v>37579.546715428587</v>
      </c>
      <c r="N117" s="326">
        <f t="shared" si="45"/>
        <v>31884.297465325126</v>
      </c>
      <c r="O117" s="326">
        <f t="shared" si="45"/>
        <v>31301.895262063386</v>
      </c>
      <c r="P117" s="326">
        <f t="shared" si="45"/>
        <v>31301.895262063386</v>
      </c>
      <c r="Q117" s="322"/>
      <c r="R117" s="322"/>
      <c r="S117" s="326">
        <f t="shared" si="46"/>
        <v>5855.3490942520202</v>
      </c>
      <c r="T117" s="326">
        <f t="shared" si="46"/>
        <v>3120.8315275091859</v>
      </c>
      <c r="U117" s="326">
        <f t="shared" si="46"/>
        <v>3170.7301025280858</v>
      </c>
      <c r="V117" s="326">
        <f t="shared" si="46"/>
        <v>3170.7301025280858</v>
      </c>
      <c r="W117" s="322"/>
      <c r="X117" s="326">
        <f t="shared" si="47"/>
        <v>5855.3490942520202</v>
      </c>
      <c r="Y117" s="326">
        <f t="shared" si="47"/>
        <v>3120.8315275091859</v>
      </c>
      <c r="Z117" s="326">
        <f t="shared" si="47"/>
        <v>3170.7301025280858</v>
      </c>
      <c r="AA117" s="326">
        <f t="shared" si="47"/>
        <v>3170.7301025280858</v>
      </c>
      <c r="AB117" s="322"/>
      <c r="AC117" s="326">
        <f t="shared" si="48"/>
        <v>224.67233104076109</v>
      </c>
      <c r="AD117" s="326">
        <f t="shared" si="48"/>
        <v>287.58411485930162</v>
      </c>
      <c r="AE117" s="326">
        <f t="shared" si="48"/>
        <v>341.66617658482369</v>
      </c>
      <c r="AF117" s="326">
        <f t="shared" si="48"/>
        <v>341.66617658482369</v>
      </c>
      <c r="AG117" s="326">
        <f t="shared" si="48"/>
        <v>1129.7489873710761</v>
      </c>
      <c r="AH117" s="322"/>
      <c r="AI117" s="322"/>
      <c r="AJ117" s="322"/>
      <c r="AK117" s="322"/>
      <c r="AL117" s="322"/>
      <c r="AM117" s="322"/>
      <c r="AN117" s="322"/>
      <c r="AO117" s="322"/>
    </row>
    <row r="118" spans="3:41" x14ac:dyDescent="0.25">
      <c r="C118" s="86"/>
      <c r="D118"/>
      <c r="E118"/>
      <c r="F118" t="s">
        <v>943</v>
      </c>
      <c r="G118" t="s">
        <v>210</v>
      </c>
      <c r="J118" s="326">
        <f t="shared" si="44"/>
        <v>1547748.3978608586</v>
      </c>
      <c r="K118" s="322"/>
      <c r="L118" s="322"/>
      <c r="M118" s="326">
        <f t="shared" si="45"/>
        <v>69463.844180753717</v>
      </c>
      <c r="N118" s="326">
        <f t="shared" si="45"/>
        <v>69463.844180753717</v>
      </c>
      <c r="O118" s="326">
        <f t="shared" si="45"/>
        <v>31301.895262063386</v>
      </c>
      <c r="P118" s="326">
        <f t="shared" si="45"/>
        <v>31301.895262063386</v>
      </c>
      <c r="Q118" s="322"/>
      <c r="R118" s="322"/>
      <c r="S118" s="326">
        <f t="shared" si="46"/>
        <v>8976.1806217612066</v>
      </c>
      <c r="T118" s="326">
        <f t="shared" si="46"/>
        <v>8976.1806217612066</v>
      </c>
      <c r="U118" s="326">
        <f t="shared" si="46"/>
        <v>3170.7301025280858</v>
      </c>
      <c r="V118" s="326">
        <f t="shared" si="46"/>
        <v>3170.7301025280858</v>
      </c>
      <c r="W118" s="322"/>
      <c r="X118" s="326">
        <f t="shared" si="47"/>
        <v>8976.1806217612066</v>
      </c>
      <c r="Y118" s="326">
        <f t="shared" si="47"/>
        <v>8976.1806217612066</v>
      </c>
      <c r="Z118" s="326">
        <f t="shared" si="47"/>
        <v>3170.7301025280858</v>
      </c>
      <c r="AA118" s="326">
        <f t="shared" si="47"/>
        <v>3170.7301025280858</v>
      </c>
      <c r="AB118" s="322"/>
      <c r="AC118" s="326">
        <f t="shared" si="48"/>
        <v>512.25644590006277</v>
      </c>
      <c r="AD118" s="326">
        <f t="shared" si="48"/>
        <v>512.25644590006277</v>
      </c>
      <c r="AE118" s="326">
        <f t="shared" si="48"/>
        <v>341.66617658482369</v>
      </c>
      <c r="AF118" s="326">
        <f t="shared" si="48"/>
        <v>341.66617658482369</v>
      </c>
      <c r="AG118" s="326">
        <f t="shared" si="48"/>
        <v>1129.7489873710761</v>
      </c>
      <c r="AH118" s="322"/>
      <c r="AI118" s="322"/>
      <c r="AJ118" s="322"/>
      <c r="AK118" s="322"/>
      <c r="AL118" s="322"/>
      <c r="AM118" s="322"/>
      <c r="AN118" s="322"/>
      <c r="AO118" s="322"/>
    </row>
    <row r="119" spans="3:41" x14ac:dyDescent="0.25">
      <c r="C119" s="86"/>
      <c r="D119"/>
      <c r="E119"/>
      <c r="F119" t="s">
        <v>944</v>
      </c>
      <c r="G119" t="s">
        <v>210</v>
      </c>
      <c r="J119" s="326">
        <f t="shared" si="44"/>
        <v>1547748.3978608586</v>
      </c>
      <c r="K119" s="322"/>
      <c r="L119" s="322"/>
      <c r="M119" s="326">
        <f t="shared" si="45"/>
        <v>84149.635156316202</v>
      </c>
      <c r="N119" s="326">
        <f t="shared" si="45"/>
        <v>84149.635156316202</v>
      </c>
      <c r="O119" s="326">
        <f t="shared" si="45"/>
        <v>84149.635156316202</v>
      </c>
      <c r="P119" s="326">
        <f t="shared" si="45"/>
        <v>16616.104286500897</v>
      </c>
      <c r="Q119" s="322"/>
      <c r="R119" s="322"/>
      <c r="S119" s="326">
        <f t="shared" si="46"/>
        <v>10377.426990819515</v>
      </c>
      <c r="T119" s="326">
        <f t="shared" si="46"/>
        <v>10377.426990819515</v>
      </c>
      <c r="U119" s="326">
        <f t="shared" si="46"/>
        <v>10377.426990819515</v>
      </c>
      <c r="V119" s="326">
        <f t="shared" si="46"/>
        <v>1769.4837334697768</v>
      </c>
      <c r="W119" s="322"/>
      <c r="X119" s="326">
        <f t="shared" si="47"/>
        <v>10377.426990819515</v>
      </c>
      <c r="Y119" s="326">
        <f t="shared" si="47"/>
        <v>10377.426990819515</v>
      </c>
      <c r="Z119" s="326">
        <f t="shared" si="47"/>
        <v>10377.426990819515</v>
      </c>
      <c r="AA119" s="326">
        <f t="shared" si="47"/>
        <v>1769.4837334697768</v>
      </c>
      <c r="AB119" s="322"/>
      <c r="AC119" s="326">
        <f t="shared" si="48"/>
        <v>652.5607627430569</v>
      </c>
      <c r="AD119" s="326">
        <f t="shared" si="48"/>
        <v>652.5607627430569</v>
      </c>
      <c r="AE119" s="326">
        <f t="shared" si="48"/>
        <v>652.5607627430569</v>
      </c>
      <c r="AF119" s="326">
        <f t="shared" si="48"/>
        <v>201.36185974182959</v>
      </c>
      <c r="AG119" s="326">
        <f t="shared" si="48"/>
        <v>1129.7489873710761</v>
      </c>
      <c r="AH119" s="322"/>
      <c r="AI119" s="322"/>
      <c r="AJ119" s="322"/>
      <c r="AK119" s="322"/>
      <c r="AL119" s="322"/>
      <c r="AM119" s="322"/>
      <c r="AN119" s="322"/>
      <c r="AO119" s="322"/>
    </row>
    <row r="120" spans="3:41" x14ac:dyDescent="0.25">
      <c r="C120" s="86"/>
      <c r="D120"/>
      <c r="E120"/>
      <c r="F120" t="s">
        <v>945</v>
      </c>
      <c r="G120" t="s">
        <v>210</v>
      </c>
      <c r="J120" s="326">
        <f t="shared" si="44"/>
        <v>1547748.3978608586</v>
      </c>
      <c r="K120" s="322"/>
      <c r="L120" s="322"/>
      <c r="M120" s="326">
        <f t="shared" si="45"/>
        <v>37579.546715428587</v>
      </c>
      <c r="N120" s="326">
        <f t="shared" si="45"/>
        <v>63186.192727388509</v>
      </c>
      <c r="O120" s="326">
        <f t="shared" si="45"/>
        <v>63186.192727388509</v>
      </c>
      <c r="P120" s="326">
        <f t="shared" si="45"/>
        <v>63186.192727388509</v>
      </c>
      <c r="Q120" s="322"/>
      <c r="R120" s="322"/>
      <c r="S120" s="326">
        <f t="shared" si="46"/>
        <v>5855.3490942520202</v>
      </c>
      <c r="T120" s="326">
        <f t="shared" si="46"/>
        <v>6291.5616300372731</v>
      </c>
      <c r="U120" s="326">
        <f t="shared" si="46"/>
        <v>6291.5616300372731</v>
      </c>
      <c r="V120" s="326">
        <f t="shared" si="46"/>
        <v>6291.5616300372731</v>
      </c>
      <c r="W120" s="322"/>
      <c r="X120" s="326">
        <f t="shared" si="47"/>
        <v>5855.3490942520202</v>
      </c>
      <c r="Y120" s="326">
        <f t="shared" si="47"/>
        <v>6291.5616300372731</v>
      </c>
      <c r="Z120" s="326">
        <f t="shared" si="47"/>
        <v>6291.5616300372731</v>
      </c>
      <c r="AA120" s="326">
        <f t="shared" si="47"/>
        <v>6291.5616300372731</v>
      </c>
      <c r="AB120" s="322"/>
      <c r="AC120" s="326">
        <f t="shared" si="48"/>
        <v>224.67233104076109</v>
      </c>
      <c r="AD120" s="326">
        <f t="shared" si="48"/>
        <v>629.25029144412531</v>
      </c>
      <c r="AE120" s="326">
        <f t="shared" si="48"/>
        <v>629.25029144412531</v>
      </c>
      <c r="AF120" s="326">
        <f t="shared" si="48"/>
        <v>629.25029144412531</v>
      </c>
      <c r="AG120" s="326">
        <f t="shared" si="48"/>
        <v>1129.7489873710761</v>
      </c>
      <c r="AH120" s="322"/>
      <c r="AI120" s="322"/>
      <c r="AJ120" s="322"/>
      <c r="AK120" s="322"/>
      <c r="AL120" s="322"/>
      <c r="AM120" s="322"/>
      <c r="AN120" s="322"/>
      <c r="AO120" s="322"/>
    </row>
    <row r="121" spans="3:41" x14ac:dyDescent="0.25">
      <c r="C121" s="86"/>
      <c r="D121"/>
      <c r="E121"/>
      <c r="F121" s="96" t="s">
        <v>946</v>
      </c>
      <c r="G121" s="96" t="s">
        <v>210</v>
      </c>
      <c r="H121" s="96"/>
      <c r="I121" s="96"/>
      <c r="J121" s="327">
        <f t="shared" si="44"/>
        <v>1547748.3978608586</v>
      </c>
      <c r="K121" s="324"/>
      <c r="L121" s="324"/>
      <c r="M121" s="327">
        <f t="shared" si="45"/>
        <v>100765.7394428171</v>
      </c>
      <c r="N121" s="327">
        <f t="shared" si="45"/>
        <v>100765.7394428171</v>
      </c>
      <c r="O121" s="327">
        <f t="shared" si="45"/>
        <v>100765.7394428171</v>
      </c>
      <c r="P121" s="327">
        <f t="shared" si="45"/>
        <v>100765.7394428171</v>
      </c>
      <c r="Q121" s="324"/>
      <c r="R121" s="324"/>
      <c r="S121" s="327">
        <f t="shared" si="46"/>
        <v>12146.910724289291</v>
      </c>
      <c r="T121" s="327">
        <f t="shared" si="46"/>
        <v>12146.910724289291</v>
      </c>
      <c r="U121" s="327">
        <f t="shared" si="46"/>
        <v>12146.910724289291</v>
      </c>
      <c r="V121" s="327">
        <f t="shared" si="46"/>
        <v>12146.910724289291</v>
      </c>
      <c r="W121" s="324"/>
      <c r="X121" s="327">
        <f t="shared" si="47"/>
        <v>12146.910724289291</v>
      </c>
      <c r="Y121" s="327">
        <f t="shared" si="47"/>
        <v>12146.910724289291</v>
      </c>
      <c r="Z121" s="327">
        <f t="shared" si="47"/>
        <v>12146.910724289291</v>
      </c>
      <c r="AA121" s="327">
        <f t="shared" si="47"/>
        <v>12146.910724289291</v>
      </c>
      <c r="AB121" s="324"/>
      <c r="AC121" s="327">
        <f t="shared" si="48"/>
        <v>853.92262248488646</v>
      </c>
      <c r="AD121" s="327">
        <f t="shared" si="48"/>
        <v>853.92262248488646</v>
      </c>
      <c r="AE121" s="327">
        <f t="shared" si="48"/>
        <v>853.92262248488646</v>
      </c>
      <c r="AF121" s="327">
        <f t="shared" si="48"/>
        <v>853.92262248488646</v>
      </c>
      <c r="AG121" s="327">
        <f t="shared" si="48"/>
        <v>1129.7489873710761</v>
      </c>
      <c r="AH121" s="324"/>
      <c r="AI121" s="324"/>
      <c r="AJ121" s="324"/>
      <c r="AK121" s="324"/>
      <c r="AL121" s="324"/>
      <c r="AM121" s="324"/>
      <c r="AN121" s="324"/>
      <c r="AO121" s="324"/>
    </row>
    <row r="122" spans="3:41" x14ac:dyDescent="0.25">
      <c r="C122" s="86"/>
      <c r="D122"/>
      <c r="E122"/>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row>
    <row r="123" spans="3:41" x14ac:dyDescent="0.25">
      <c r="C123" s="86"/>
      <c r="D123"/>
      <c r="E123" t="s">
        <v>954</v>
      </c>
      <c r="G123" t="s">
        <v>147</v>
      </c>
      <c r="H123" s="78">
        <f>'Fixed inputs'!H172</f>
        <v>2</v>
      </c>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row>
    <row r="124" spans="3:41" x14ac:dyDescent="0.25">
      <c r="C124" s="86"/>
      <c r="D124"/>
      <c r="E124"/>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row>
    <row r="125" spans="3:41" x14ac:dyDescent="0.25">
      <c r="C125" s="86"/>
      <c r="D125"/>
      <c r="E125" s="75" t="s">
        <v>963</v>
      </c>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row>
    <row r="126" spans="3:41" x14ac:dyDescent="0.25">
      <c r="C126" s="86"/>
      <c r="D126"/>
      <c r="E126"/>
      <c r="F126" s="95" t="s">
        <v>939</v>
      </c>
      <c r="G126" s="95" t="s">
        <v>859</v>
      </c>
      <c r="H126" s="95"/>
      <c r="I126" s="95"/>
      <c r="J126" s="325" t="b">
        <f>J114&gt;=$H$123</f>
        <v>1</v>
      </c>
      <c r="K126" s="320"/>
      <c r="L126" s="320"/>
      <c r="M126" s="325" t="b">
        <f t="shared" ref="M126:P126" si="49">M114&gt;=$H$123</f>
        <v>1</v>
      </c>
      <c r="N126" s="325" t="b">
        <f t="shared" si="49"/>
        <v>1</v>
      </c>
      <c r="O126" s="325" t="b">
        <f t="shared" si="49"/>
        <v>1</v>
      </c>
      <c r="P126" s="325" t="b">
        <f t="shared" si="49"/>
        <v>1</v>
      </c>
      <c r="Q126" s="320"/>
      <c r="R126" s="320"/>
      <c r="S126" s="325" t="b">
        <f t="shared" ref="S126:V126" si="50">S114&gt;=$H$123</f>
        <v>1</v>
      </c>
      <c r="T126" s="325" t="b">
        <f t="shared" si="50"/>
        <v>1</v>
      </c>
      <c r="U126" s="325" t="b">
        <f t="shared" si="50"/>
        <v>1</v>
      </c>
      <c r="V126" s="325" t="b">
        <f t="shared" si="50"/>
        <v>1</v>
      </c>
      <c r="W126" s="320"/>
      <c r="X126" s="325" t="b">
        <f t="shared" ref="X126:AA126" si="51">X114&gt;=$H$123</f>
        <v>1</v>
      </c>
      <c r="Y126" s="325" t="b">
        <f t="shared" si="51"/>
        <v>1</v>
      </c>
      <c r="Z126" s="325" t="b">
        <f t="shared" si="51"/>
        <v>1</v>
      </c>
      <c r="AA126" s="325" t="b">
        <f t="shared" si="51"/>
        <v>1</v>
      </c>
      <c r="AB126" s="320"/>
      <c r="AC126" s="325" t="b">
        <f t="shared" ref="AC126:AG126" si="52">AC114&gt;=$H$123</f>
        <v>1</v>
      </c>
      <c r="AD126" s="325" t="b">
        <f t="shared" si="52"/>
        <v>1</v>
      </c>
      <c r="AE126" s="325" t="b">
        <f t="shared" si="52"/>
        <v>1</v>
      </c>
      <c r="AF126" s="325" t="b">
        <f t="shared" si="52"/>
        <v>1</v>
      </c>
      <c r="AG126" s="325" t="b">
        <f t="shared" si="52"/>
        <v>1</v>
      </c>
      <c r="AH126" s="320"/>
      <c r="AI126" s="320"/>
      <c r="AJ126" s="320"/>
      <c r="AK126" s="320"/>
      <c r="AL126" s="320"/>
      <c r="AM126" s="320"/>
      <c r="AN126" s="320"/>
      <c r="AO126" s="320"/>
    </row>
    <row r="127" spans="3:41" x14ac:dyDescent="0.25">
      <c r="C127" s="86"/>
      <c r="D127"/>
      <c r="E127"/>
      <c r="F127" t="s">
        <v>940</v>
      </c>
      <c r="G127" t="s">
        <v>859</v>
      </c>
      <c r="J127" s="326" t="b">
        <f t="shared" ref="J127:J133" si="53">J115&gt;=$H$123</f>
        <v>1</v>
      </c>
      <c r="K127" s="322"/>
      <c r="L127" s="322"/>
      <c r="M127" s="326" t="b">
        <f t="shared" ref="M127:P127" si="54">M115&gt;=$H$123</f>
        <v>1</v>
      </c>
      <c r="N127" s="326" t="b">
        <f t="shared" si="54"/>
        <v>1</v>
      </c>
      <c r="O127" s="326" t="b">
        <f t="shared" si="54"/>
        <v>1</v>
      </c>
      <c r="P127" s="326" t="b">
        <f t="shared" si="54"/>
        <v>1</v>
      </c>
      <c r="Q127" s="322"/>
      <c r="R127" s="322"/>
      <c r="S127" s="326" t="b">
        <f t="shared" ref="S127:V127" si="55">S115&gt;=$H$123</f>
        <v>1</v>
      </c>
      <c r="T127" s="326" t="b">
        <f t="shared" si="55"/>
        <v>1</v>
      </c>
      <c r="U127" s="326" t="b">
        <f t="shared" si="55"/>
        <v>1</v>
      </c>
      <c r="V127" s="326" t="b">
        <f t="shared" si="55"/>
        <v>1</v>
      </c>
      <c r="W127" s="322"/>
      <c r="X127" s="326" t="b">
        <f t="shared" ref="X127:AA127" si="56">X115&gt;=$H$123</f>
        <v>1</v>
      </c>
      <c r="Y127" s="326" t="b">
        <f t="shared" si="56"/>
        <v>1</v>
      </c>
      <c r="Z127" s="326" t="b">
        <f t="shared" si="56"/>
        <v>1</v>
      </c>
      <c r="AA127" s="326" t="b">
        <f t="shared" si="56"/>
        <v>1</v>
      </c>
      <c r="AB127" s="322"/>
      <c r="AC127" s="326" t="b">
        <f t="shared" ref="AC127:AG127" si="57">AC115&gt;=$H$123</f>
        <v>1</v>
      </c>
      <c r="AD127" s="326" t="b">
        <f t="shared" si="57"/>
        <v>1</v>
      </c>
      <c r="AE127" s="326" t="b">
        <f t="shared" si="57"/>
        <v>1</v>
      </c>
      <c r="AF127" s="326" t="b">
        <f t="shared" si="57"/>
        <v>1</v>
      </c>
      <c r="AG127" s="326" t="b">
        <f t="shared" si="57"/>
        <v>1</v>
      </c>
      <c r="AH127" s="322"/>
      <c r="AI127" s="322"/>
      <c r="AJ127" s="322"/>
      <c r="AK127" s="322"/>
      <c r="AL127" s="322"/>
      <c r="AM127" s="322"/>
      <c r="AN127" s="322"/>
      <c r="AO127" s="322"/>
    </row>
    <row r="128" spans="3:41" x14ac:dyDescent="0.25">
      <c r="C128" s="86"/>
      <c r="D128"/>
      <c r="E128"/>
      <c r="F128" t="s">
        <v>941</v>
      </c>
      <c r="G128" t="s">
        <v>859</v>
      </c>
      <c r="J128" s="326" t="b">
        <f t="shared" si="53"/>
        <v>1</v>
      </c>
      <c r="K128" s="322"/>
      <c r="L128" s="322"/>
      <c r="M128" s="326" t="b">
        <f t="shared" ref="M128:P128" si="58">M116&gt;=$H$123</f>
        <v>1</v>
      </c>
      <c r="N128" s="326" t="b">
        <f t="shared" si="58"/>
        <v>1</v>
      </c>
      <c r="O128" s="326" t="b">
        <f t="shared" si="58"/>
        <v>1</v>
      </c>
      <c r="P128" s="326" t="b">
        <f t="shared" si="58"/>
        <v>1</v>
      </c>
      <c r="Q128" s="322"/>
      <c r="R128" s="322"/>
      <c r="S128" s="326" t="b">
        <f t="shared" ref="S128:V128" si="59">S116&gt;=$H$123</f>
        <v>1</v>
      </c>
      <c r="T128" s="326" t="b">
        <f t="shared" si="59"/>
        <v>1</v>
      </c>
      <c r="U128" s="326" t="b">
        <f t="shared" si="59"/>
        <v>1</v>
      </c>
      <c r="V128" s="326" t="b">
        <f t="shared" si="59"/>
        <v>1</v>
      </c>
      <c r="W128" s="322"/>
      <c r="X128" s="326" t="b">
        <f t="shared" ref="X128:AA128" si="60">X116&gt;=$H$123</f>
        <v>1</v>
      </c>
      <c r="Y128" s="326" t="b">
        <f t="shared" si="60"/>
        <v>1</v>
      </c>
      <c r="Z128" s="326" t="b">
        <f t="shared" si="60"/>
        <v>1</v>
      </c>
      <c r="AA128" s="326" t="b">
        <f t="shared" si="60"/>
        <v>1</v>
      </c>
      <c r="AB128" s="322"/>
      <c r="AC128" s="326" t="b">
        <f t="shared" ref="AC128:AG128" si="61">AC116&gt;=$H$123</f>
        <v>1</v>
      </c>
      <c r="AD128" s="326" t="b">
        <f t="shared" si="61"/>
        <v>1</v>
      </c>
      <c r="AE128" s="326" t="b">
        <f t="shared" si="61"/>
        <v>1</v>
      </c>
      <c r="AF128" s="326" t="b">
        <f t="shared" si="61"/>
        <v>1</v>
      </c>
      <c r="AG128" s="326" t="b">
        <f t="shared" si="61"/>
        <v>1</v>
      </c>
      <c r="AH128" s="322"/>
      <c r="AI128" s="322"/>
      <c r="AJ128" s="322"/>
      <c r="AK128" s="322"/>
      <c r="AL128" s="322"/>
      <c r="AM128" s="322"/>
      <c r="AN128" s="322"/>
      <c r="AO128" s="322"/>
    </row>
    <row r="129" spans="3:41" x14ac:dyDescent="0.25">
      <c r="C129" s="86"/>
      <c r="D129"/>
      <c r="E129"/>
      <c r="F129" t="s">
        <v>942</v>
      </c>
      <c r="G129" t="s">
        <v>859</v>
      </c>
      <c r="J129" s="326" t="b">
        <f t="shared" si="53"/>
        <v>1</v>
      </c>
      <c r="K129" s="322"/>
      <c r="L129" s="322"/>
      <c r="M129" s="326" t="b">
        <f t="shared" ref="M129:P129" si="62">M117&gt;=$H$123</f>
        <v>1</v>
      </c>
      <c r="N129" s="326" t="b">
        <f t="shared" si="62"/>
        <v>1</v>
      </c>
      <c r="O129" s="326" t="b">
        <f t="shared" si="62"/>
        <v>1</v>
      </c>
      <c r="P129" s="326" t="b">
        <f t="shared" si="62"/>
        <v>1</v>
      </c>
      <c r="Q129" s="322"/>
      <c r="R129" s="322"/>
      <c r="S129" s="326" t="b">
        <f t="shared" ref="S129:V129" si="63">S117&gt;=$H$123</f>
        <v>1</v>
      </c>
      <c r="T129" s="326" t="b">
        <f t="shared" si="63"/>
        <v>1</v>
      </c>
      <c r="U129" s="326" t="b">
        <f t="shared" si="63"/>
        <v>1</v>
      </c>
      <c r="V129" s="326" t="b">
        <f t="shared" si="63"/>
        <v>1</v>
      </c>
      <c r="W129" s="322"/>
      <c r="X129" s="326" t="b">
        <f t="shared" ref="X129:AA129" si="64">X117&gt;=$H$123</f>
        <v>1</v>
      </c>
      <c r="Y129" s="326" t="b">
        <f t="shared" si="64"/>
        <v>1</v>
      </c>
      <c r="Z129" s="326" t="b">
        <f t="shared" si="64"/>
        <v>1</v>
      </c>
      <c r="AA129" s="326" t="b">
        <f t="shared" si="64"/>
        <v>1</v>
      </c>
      <c r="AB129" s="322"/>
      <c r="AC129" s="326" t="b">
        <f t="shared" ref="AC129:AG129" si="65">AC117&gt;=$H$123</f>
        <v>1</v>
      </c>
      <c r="AD129" s="326" t="b">
        <f t="shared" si="65"/>
        <v>1</v>
      </c>
      <c r="AE129" s="326" t="b">
        <f t="shared" si="65"/>
        <v>1</v>
      </c>
      <c r="AF129" s="326" t="b">
        <f t="shared" si="65"/>
        <v>1</v>
      </c>
      <c r="AG129" s="326" t="b">
        <f t="shared" si="65"/>
        <v>1</v>
      </c>
      <c r="AH129" s="322"/>
      <c r="AI129" s="322"/>
      <c r="AJ129" s="322"/>
      <c r="AK129" s="322"/>
      <c r="AL129" s="322"/>
      <c r="AM129" s="322"/>
      <c r="AN129" s="322"/>
      <c r="AO129" s="322"/>
    </row>
    <row r="130" spans="3:41" x14ac:dyDescent="0.25">
      <c r="C130" s="86"/>
      <c r="D130"/>
      <c r="E130"/>
      <c r="F130" t="s">
        <v>943</v>
      </c>
      <c r="G130" t="s">
        <v>859</v>
      </c>
      <c r="J130" s="326" t="b">
        <f t="shared" si="53"/>
        <v>1</v>
      </c>
      <c r="K130" s="322"/>
      <c r="L130" s="322"/>
      <c r="M130" s="326" t="b">
        <f t="shared" ref="M130:P130" si="66">M118&gt;=$H$123</f>
        <v>1</v>
      </c>
      <c r="N130" s="326" t="b">
        <f t="shared" si="66"/>
        <v>1</v>
      </c>
      <c r="O130" s="326" t="b">
        <f t="shared" si="66"/>
        <v>1</v>
      </c>
      <c r="P130" s="326" t="b">
        <f t="shared" si="66"/>
        <v>1</v>
      </c>
      <c r="Q130" s="322"/>
      <c r="R130" s="322"/>
      <c r="S130" s="326" t="b">
        <f t="shared" ref="S130:V130" si="67">S118&gt;=$H$123</f>
        <v>1</v>
      </c>
      <c r="T130" s="326" t="b">
        <f t="shared" si="67"/>
        <v>1</v>
      </c>
      <c r="U130" s="326" t="b">
        <f t="shared" si="67"/>
        <v>1</v>
      </c>
      <c r="V130" s="326" t="b">
        <f t="shared" si="67"/>
        <v>1</v>
      </c>
      <c r="W130" s="322"/>
      <c r="X130" s="326" t="b">
        <f t="shared" ref="X130:AA130" si="68">X118&gt;=$H$123</f>
        <v>1</v>
      </c>
      <c r="Y130" s="326" t="b">
        <f t="shared" si="68"/>
        <v>1</v>
      </c>
      <c r="Z130" s="326" t="b">
        <f t="shared" si="68"/>
        <v>1</v>
      </c>
      <c r="AA130" s="326" t="b">
        <f t="shared" si="68"/>
        <v>1</v>
      </c>
      <c r="AB130" s="322"/>
      <c r="AC130" s="326" t="b">
        <f t="shared" ref="AC130:AG130" si="69">AC118&gt;=$H$123</f>
        <v>1</v>
      </c>
      <c r="AD130" s="326" t="b">
        <f t="shared" si="69"/>
        <v>1</v>
      </c>
      <c r="AE130" s="326" t="b">
        <f t="shared" si="69"/>
        <v>1</v>
      </c>
      <c r="AF130" s="326" t="b">
        <f t="shared" si="69"/>
        <v>1</v>
      </c>
      <c r="AG130" s="326" t="b">
        <f t="shared" si="69"/>
        <v>1</v>
      </c>
      <c r="AH130" s="322"/>
      <c r="AI130" s="322"/>
      <c r="AJ130" s="322"/>
      <c r="AK130" s="322"/>
      <c r="AL130" s="322"/>
      <c r="AM130" s="322"/>
      <c r="AN130" s="322"/>
      <c r="AO130" s="322"/>
    </row>
    <row r="131" spans="3:41" x14ac:dyDescent="0.25">
      <c r="C131" s="86"/>
      <c r="D131"/>
      <c r="E131"/>
      <c r="F131" t="s">
        <v>944</v>
      </c>
      <c r="G131" t="s">
        <v>859</v>
      </c>
      <c r="J131" s="326" t="b">
        <f t="shared" si="53"/>
        <v>1</v>
      </c>
      <c r="K131" s="322"/>
      <c r="L131" s="322"/>
      <c r="M131" s="326" t="b">
        <f t="shared" ref="M131:P131" si="70">M119&gt;=$H$123</f>
        <v>1</v>
      </c>
      <c r="N131" s="326" t="b">
        <f t="shared" si="70"/>
        <v>1</v>
      </c>
      <c r="O131" s="326" t="b">
        <f t="shared" si="70"/>
        <v>1</v>
      </c>
      <c r="P131" s="326" t="b">
        <f t="shared" si="70"/>
        <v>1</v>
      </c>
      <c r="Q131" s="322"/>
      <c r="R131" s="322"/>
      <c r="S131" s="326" t="b">
        <f t="shared" ref="S131:V131" si="71">S119&gt;=$H$123</f>
        <v>1</v>
      </c>
      <c r="T131" s="326" t="b">
        <f t="shared" si="71"/>
        <v>1</v>
      </c>
      <c r="U131" s="326" t="b">
        <f t="shared" si="71"/>
        <v>1</v>
      </c>
      <c r="V131" s="326" t="b">
        <f t="shared" si="71"/>
        <v>1</v>
      </c>
      <c r="W131" s="322"/>
      <c r="X131" s="326" t="b">
        <f t="shared" ref="X131:AA131" si="72">X119&gt;=$H$123</f>
        <v>1</v>
      </c>
      <c r="Y131" s="326" t="b">
        <f t="shared" si="72"/>
        <v>1</v>
      </c>
      <c r="Z131" s="326" t="b">
        <f t="shared" si="72"/>
        <v>1</v>
      </c>
      <c r="AA131" s="326" t="b">
        <f t="shared" si="72"/>
        <v>1</v>
      </c>
      <c r="AB131" s="322"/>
      <c r="AC131" s="326" t="b">
        <f t="shared" ref="AC131:AG131" si="73">AC119&gt;=$H$123</f>
        <v>1</v>
      </c>
      <c r="AD131" s="326" t="b">
        <f t="shared" si="73"/>
        <v>1</v>
      </c>
      <c r="AE131" s="326" t="b">
        <f t="shared" si="73"/>
        <v>1</v>
      </c>
      <c r="AF131" s="326" t="b">
        <f t="shared" si="73"/>
        <v>1</v>
      </c>
      <c r="AG131" s="326" t="b">
        <f t="shared" si="73"/>
        <v>1</v>
      </c>
      <c r="AH131" s="322"/>
      <c r="AI131" s="322"/>
      <c r="AJ131" s="322"/>
      <c r="AK131" s="322"/>
      <c r="AL131" s="322"/>
      <c r="AM131" s="322"/>
      <c r="AN131" s="322"/>
      <c r="AO131" s="322"/>
    </row>
    <row r="132" spans="3:41" x14ac:dyDescent="0.25">
      <c r="C132" s="86"/>
      <c r="D132"/>
      <c r="E132"/>
      <c r="F132" t="s">
        <v>945</v>
      </c>
      <c r="G132" t="s">
        <v>859</v>
      </c>
      <c r="J132" s="326" t="b">
        <f t="shared" si="53"/>
        <v>1</v>
      </c>
      <c r="K132" s="322"/>
      <c r="L132" s="322"/>
      <c r="M132" s="326" t="b">
        <f t="shared" ref="M132:P132" si="74">M120&gt;=$H$123</f>
        <v>1</v>
      </c>
      <c r="N132" s="326" t="b">
        <f t="shared" si="74"/>
        <v>1</v>
      </c>
      <c r="O132" s="326" t="b">
        <f t="shared" si="74"/>
        <v>1</v>
      </c>
      <c r="P132" s="326" t="b">
        <f t="shared" si="74"/>
        <v>1</v>
      </c>
      <c r="Q132" s="322"/>
      <c r="R132" s="322"/>
      <c r="S132" s="326" t="b">
        <f t="shared" ref="S132:V132" si="75">S120&gt;=$H$123</f>
        <v>1</v>
      </c>
      <c r="T132" s="326" t="b">
        <f t="shared" si="75"/>
        <v>1</v>
      </c>
      <c r="U132" s="326" t="b">
        <f t="shared" si="75"/>
        <v>1</v>
      </c>
      <c r="V132" s="326" t="b">
        <f t="shared" si="75"/>
        <v>1</v>
      </c>
      <c r="W132" s="322"/>
      <c r="X132" s="326" t="b">
        <f t="shared" ref="X132:AA132" si="76">X120&gt;=$H$123</f>
        <v>1</v>
      </c>
      <c r="Y132" s="326" t="b">
        <f t="shared" si="76"/>
        <v>1</v>
      </c>
      <c r="Z132" s="326" t="b">
        <f t="shared" si="76"/>
        <v>1</v>
      </c>
      <c r="AA132" s="326" t="b">
        <f t="shared" si="76"/>
        <v>1</v>
      </c>
      <c r="AB132" s="322"/>
      <c r="AC132" s="326" t="b">
        <f t="shared" ref="AC132:AG132" si="77">AC120&gt;=$H$123</f>
        <v>1</v>
      </c>
      <c r="AD132" s="326" t="b">
        <f t="shared" si="77"/>
        <v>1</v>
      </c>
      <c r="AE132" s="326" t="b">
        <f t="shared" si="77"/>
        <v>1</v>
      </c>
      <c r="AF132" s="326" t="b">
        <f t="shared" si="77"/>
        <v>1</v>
      </c>
      <c r="AG132" s="326" t="b">
        <f t="shared" si="77"/>
        <v>1</v>
      </c>
      <c r="AH132" s="322"/>
      <c r="AI132" s="322"/>
      <c r="AJ132" s="322"/>
      <c r="AK132" s="322"/>
      <c r="AL132" s="322"/>
      <c r="AM132" s="322"/>
      <c r="AN132" s="322"/>
      <c r="AO132" s="322"/>
    </row>
    <row r="133" spans="3:41" x14ac:dyDescent="0.25">
      <c r="C133" s="86"/>
      <c r="D133"/>
      <c r="E133"/>
      <c r="F133" s="96" t="s">
        <v>946</v>
      </c>
      <c r="G133" s="96" t="s">
        <v>859</v>
      </c>
      <c r="H133" s="96"/>
      <c r="I133" s="96"/>
      <c r="J133" s="327" t="b">
        <f t="shared" si="53"/>
        <v>1</v>
      </c>
      <c r="K133" s="324"/>
      <c r="L133" s="324"/>
      <c r="M133" s="327" t="b">
        <f t="shared" ref="M133:P133" si="78">M121&gt;=$H$123</f>
        <v>1</v>
      </c>
      <c r="N133" s="327" t="b">
        <f t="shared" si="78"/>
        <v>1</v>
      </c>
      <c r="O133" s="327" t="b">
        <f t="shared" si="78"/>
        <v>1</v>
      </c>
      <c r="P133" s="327" t="b">
        <f t="shared" si="78"/>
        <v>1</v>
      </c>
      <c r="Q133" s="324"/>
      <c r="R133" s="324"/>
      <c r="S133" s="327" t="b">
        <f t="shared" ref="S133:V133" si="79">S121&gt;=$H$123</f>
        <v>1</v>
      </c>
      <c r="T133" s="327" t="b">
        <f t="shared" si="79"/>
        <v>1</v>
      </c>
      <c r="U133" s="327" t="b">
        <f t="shared" si="79"/>
        <v>1</v>
      </c>
      <c r="V133" s="327" t="b">
        <f t="shared" si="79"/>
        <v>1</v>
      </c>
      <c r="W133" s="324"/>
      <c r="X133" s="327" t="b">
        <f t="shared" ref="X133:AA133" si="80">X121&gt;=$H$123</f>
        <v>1</v>
      </c>
      <c r="Y133" s="327" t="b">
        <f t="shared" si="80"/>
        <v>1</v>
      </c>
      <c r="Z133" s="327" t="b">
        <f t="shared" si="80"/>
        <v>1</v>
      </c>
      <c r="AA133" s="327" t="b">
        <f t="shared" si="80"/>
        <v>1</v>
      </c>
      <c r="AB133" s="324"/>
      <c r="AC133" s="327" t="b">
        <f t="shared" ref="AC133:AG133" si="81">AC121&gt;=$H$123</f>
        <v>1</v>
      </c>
      <c r="AD133" s="327" t="b">
        <f t="shared" si="81"/>
        <v>1</v>
      </c>
      <c r="AE133" s="327" t="b">
        <f t="shared" si="81"/>
        <v>1</v>
      </c>
      <c r="AF133" s="327" t="b">
        <f t="shared" si="81"/>
        <v>1</v>
      </c>
      <c r="AG133" s="327" t="b">
        <f t="shared" si="81"/>
        <v>1</v>
      </c>
      <c r="AH133" s="324"/>
      <c r="AI133" s="324"/>
      <c r="AJ133" s="324"/>
      <c r="AK133" s="324"/>
      <c r="AL133" s="324"/>
      <c r="AM133" s="324"/>
      <c r="AN133" s="324"/>
      <c r="AO133" s="324"/>
    </row>
    <row r="134" spans="3:41" x14ac:dyDescent="0.25">
      <c r="C134" s="86"/>
      <c r="D134"/>
      <c r="E134"/>
      <c r="J134" s="260"/>
      <c r="K134" s="260"/>
      <c r="L134" s="260"/>
      <c r="M134" s="326"/>
      <c r="N134" s="326"/>
      <c r="O134" s="326"/>
      <c r="P134" s="326"/>
      <c r="Q134" s="260"/>
      <c r="R134" s="260"/>
      <c r="S134" s="326"/>
      <c r="T134" s="326"/>
      <c r="U134" s="326"/>
      <c r="V134" s="326"/>
      <c r="W134" s="260"/>
      <c r="X134" s="326"/>
      <c r="Y134" s="326"/>
      <c r="Z134" s="326"/>
      <c r="AA134" s="326"/>
      <c r="AB134" s="260"/>
      <c r="AC134" s="326"/>
      <c r="AD134" s="326"/>
      <c r="AE134" s="326"/>
      <c r="AF134" s="326"/>
      <c r="AG134" s="260"/>
      <c r="AH134" s="260"/>
      <c r="AI134" s="260"/>
      <c r="AJ134" s="260"/>
      <c r="AK134" s="260"/>
      <c r="AL134" s="260"/>
      <c r="AM134" s="260"/>
      <c r="AN134" s="260"/>
      <c r="AO134" s="260"/>
    </row>
    <row r="135" spans="3:41" x14ac:dyDescent="0.25">
      <c r="C135" s="86"/>
      <c r="D135"/>
      <c r="E135" s="75" t="s">
        <v>1063</v>
      </c>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row>
    <row r="136" spans="3:41" x14ac:dyDescent="0.25">
      <c r="C136" s="86"/>
      <c r="D136"/>
      <c r="E136"/>
      <c r="F136" s="95" t="s">
        <v>939</v>
      </c>
      <c r="G136" s="95" t="s">
        <v>147</v>
      </c>
      <c r="H136" s="95"/>
      <c r="I136" s="95"/>
      <c r="J136" s="325">
        <f t="shared" ref="J136:J143" si="82">COUNTIFS($J126:$AO126,TRUE,$J$35:$AO$35,J$35)</f>
        <v>1</v>
      </c>
      <c r="K136" s="320"/>
      <c r="L136" s="320"/>
      <c r="M136" s="325">
        <f t="shared" ref="M136:P143" si="83">COUNTIFS($J126:$AO126,TRUE,$J$35:$AO$35,M$35)</f>
        <v>4</v>
      </c>
      <c r="N136" s="325">
        <f t="shared" si="83"/>
        <v>4</v>
      </c>
      <c r="O136" s="325">
        <f t="shared" si="83"/>
        <v>4</v>
      </c>
      <c r="P136" s="325">
        <f t="shared" si="83"/>
        <v>4</v>
      </c>
      <c r="Q136" s="320"/>
      <c r="R136" s="320"/>
      <c r="S136" s="325">
        <f t="shared" ref="S136:V143" si="84">COUNTIFS($J126:$AO126,TRUE,$J$35:$AO$35,S$35)</f>
        <v>8</v>
      </c>
      <c r="T136" s="325">
        <f t="shared" si="84"/>
        <v>8</v>
      </c>
      <c r="U136" s="325">
        <f t="shared" si="84"/>
        <v>8</v>
      </c>
      <c r="V136" s="325">
        <f t="shared" si="84"/>
        <v>8</v>
      </c>
      <c r="W136" s="320"/>
      <c r="X136" s="325">
        <f t="shared" ref="X136:AA143" si="85">COUNTIFS($J126:$AO126,TRUE,$J$35:$AO$35,X$35)</f>
        <v>8</v>
      </c>
      <c r="Y136" s="325">
        <f t="shared" si="85"/>
        <v>8</v>
      </c>
      <c r="Z136" s="325">
        <f t="shared" si="85"/>
        <v>8</v>
      </c>
      <c r="AA136" s="325">
        <f t="shared" si="85"/>
        <v>8</v>
      </c>
      <c r="AB136" s="320"/>
      <c r="AC136" s="325">
        <f t="shared" ref="AC136:AG143" si="86">COUNTIFS($J126:$AO126,TRUE,$J$35:$AO$35,AC$35)</f>
        <v>4</v>
      </c>
      <c r="AD136" s="325">
        <f t="shared" si="86"/>
        <v>4</v>
      </c>
      <c r="AE136" s="325">
        <f t="shared" si="86"/>
        <v>4</v>
      </c>
      <c r="AF136" s="325">
        <f t="shared" si="86"/>
        <v>4</v>
      </c>
      <c r="AG136" s="325">
        <f t="shared" si="86"/>
        <v>1</v>
      </c>
      <c r="AH136" s="320"/>
      <c r="AI136" s="320"/>
      <c r="AJ136" s="320"/>
      <c r="AK136" s="320"/>
      <c r="AL136" s="320"/>
      <c r="AM136" s="320"/>
      <c r="AN136" s="320"/>
      <c r="AO136" s="320"/>
    </row>
    <row r="137" spans="3:41" x14ac:dyDescent="0.25">
      <c r="C137" s="86"/>
      <c r="D137"/>
      <c r="E137"/>
      <c r="F137" t="s">
        <v>940</v>
      </c>
      <c r="G137" t="s">
        <v>147</v>
      </c>
      <c r="J137" s="326">
        <f t="shared" si="82"/>
        <v>1</v>
      </c>
      <c r="K137" s="322"/>
      <c r="L137" s="322"/>
      <c r="M137" s="326">
        <f t="shared" si="83"/>
        <v>4</v>
      </c>
      <c r="N137" s="326">
        <f t="shared" si="83"/>
        <v>4</v>
      </c>
      <c r="O137" s="326">
        <f t="shared" si="83"/>
        <v>4</v>
      </c>
      <c r="P137" s="326">
        <f t="shared" si="83"/>
        <v>4</v>
      </c>
      <c r="Q137" s="322"/>
      <c r="R137" s="322"/>
      <c r="S137" s="326">
        <f t="shared" si="84"/>
        <v>8</v>
      </c>
      <c r="T137" s="326">
        <f t="shared" si="84"/>
        <v>8</v>
      </c>
      <c r="U137" s="326">
        <f t="shared" si="84"/>
        <v>8</v>
      </c>
      <c r="V137" s="326">
        <f t="shared" si="84"/>
        <v>8</v>
      </c>
      <c r="W137" s="322"/>
      <c r="X137" s="326">
        <f t="shared" si="85"/>
        <v>8</v>
      </c>
      <c r="Y137" s="326">
        <f t="shared" si="85"/>
        <v>8</v>
      </c>
      <c r="Z137" s="326">
        <f t="shared" si="85"/>
        <v>8</v>
      </c>
      <c r="AA137" s="326">
        <f t="shared" si="85"/>
        <v>8</v>
      </c>
      <c r="AB137" s="322"/>
      <c r="AC137" s="326">
        <f t="shared" si="86"/>
        <v>4</v>
      </c>
      <c r="AD137" s="326">
        <f t="shared" si="86"/>
        <v>4</v>
      </c>
      <c r="AE137" s="326">
        <f t="shared" si="86"/>
        <v>4</v>
      </c>
      <c r="AF137" s="326">
        <f t="shared" si="86"/>
        <v>4</v>
      </c>
      <c r="AG137" s="326">
        <f t="shared" si="86"/>
        <v>1</v>
      </c>
      <c r="AH137" s="322"/>
      <c r="AI137" s="322"/>
      <c r="AJ137" s="322"/>
      <c r="AK137" s="322"/>
      <c r="AL137" s="322"/>
      <c r="AM137" s="322"/>
      <c r="AN137" s="322"/>
      <c r="AO137" s="322"/>
    </row>
    <row r="138" spans="3:41" x14ac:dyDescent="0.25">
      <c r="C138" s="86"/>
      <c r="D138"/>
      <c r="E138"/>
      <c r="F138" t="s">
        <v>941</v>
      </c>
      <c r="G138" t="s">
        <v>147</v>
      </c>
      <c r="J138" s="326">
        <f t="shared" si="82"/>
        <v>1</v>
      </c>
      <c r="K138" s="322"/>
      <c r="L138" s="322"/>
      <c r="M138" s="326">
        <f t="shared" si="83"/>
        <v>4</v>
      </c>
      <c r="N138" s="326">
        <f t="shared" si="83"/>
        <v>4</v>
      </c>
      <c r="O138" s="326">
        <f t="shared" si="83"/>
        <v>4</v>
      </c>
      <c r="P138" s="326">
        <f t="shared" si="83"/>
        <v>4</v>
      </c>
      <c r="Q138" s="322"/>
      <c r="R138" s="322"/>
      <c r="S138" s="326">
        <f t="shared" si="84"/>
        <v>8</v>
      </c>
      <c r="T138" s="326">
        <f t="shared" si="84"/>
        <v>8</v>
      </c>
      <c r="U138" s="326">
        <f t="shared" si="84"/>
        <v>8</v>
      </c>
      <c r="V138" s="326">
        <f t="shared" si="84"/>
        <v>8</v>
      </c>
      <c r="W138" s="322"/>
      <c r="X138" s="326">
        <f t="shared" si="85"/>
        <v>8</v>
      </c>
      <c r="Y138" s="326">
        <f t="shared" si="85"/>
        <v>8</v>
      </c>
      <c r="Z138" s="326">
        <f t="shared" si="85"/>
        <v>8</v>
      </c>
      <c r="AA138" s="326">
        <f t="shared" si="85"/>
        <v>8</v>
      </c>
      <c r="AB138" s="322"/>
      <c r="AC138" s="326">
        <f t="shared" si="86"/>
        <v>4</v>
      </c>
      <c r="AD138" s="326">
        <f t="shared" si="86"/>
        <v>4</v>
      </c>
      <c r="AE138" s="326">
        <f t="shared" si="86"/>
        <v>4</v>
      </c>
      <c r="AF138" s="326">
        <f t="shared" si="86"/>
        <v>4</v>
      </c>
      <c r="AG138" s="326">
        <f t="shared" si="86"/>
        <v>1</v>
      </c>
      <c r="AH138" s="322"/>
      <c r="AI138" s="322"/>
      <c r="AJ138" s="322"/>
      <c r="AK138" s="322"/>
      <c r="AL138" s="322"/>
      <c r="AM138" s="322"/>
      <c r="AN138" s="322"/>
      <c r="AO138" s="322"/>
    </row>
    <row r="139" spans="3:41" x14ac:dyDescent="0.25">
      <c r="C139" s="86"/>
      <c r="D139"/>
      <c r="E139"/>
      <c r="F139" t="s">
        <v>942</v>
      </c>
      <c r="G139" t="s">
        <v>147</v>
      </c>
      <c r="J139" s="326">
        <f t="shared" si="82"/>
        <v>1</v>
      </c>
      <c r="K139" s="322"/>
      <c r="L139" s="322"/>
      <c r="M139" s="326">
        <f t="shared" si="83"/>
        <v>4</v>
      </c>
      <c r="N139" s="326">
        <f t="shared" si="83"/>
        <v>4</v>
      </c>
      <c r="O139" s="326">
        <f t="shared" si="83"/>
        <v>4</v>
      </c>
      <c r="P139" s="326">
        <f t="shared" si="83"/>
        <v>4</v>
      </c>
      <c r="Q139" s="322"/>
      <c r="R139" s="322"/>
      <c r="S139" s="326">
        <f t="shared" si="84"/>
        <v>8</v>
      </c>
      <c r="T139" s="326">
        <f t="shared" si="84"/>
        <v>8</v>
      </c>
      <c r="U139" s="326">
        <f t="shared" si="84"/>
        <v>8</v>
      </c>
      <c r="V139" s="326">
        <f t="shared" si="84"/>
        <v>8</v>
      </c>
      <c r="W139" s="322"/>
      <c r="X139" s="326">
        <f t="shared" si="85"/>
        <v>8</v>
      </c>
      <c r="Y139" s="326">
        <f t="shared" si="85"/>
        <v>8</v>
      </c>
      <c r="Z139" s="326">
        <f t="shared" si="85"/>
        <v>8</v>
      </c>
      <c r="AA139" s="326">
        <f t="shared" si="85"/>
        <v>8</v>
      </c>
      <c r="AB139" s="322"/>
      <c r="AC139" s="326">
        <f t="shared" si="86"/>
        <v>4</v>
      </c>
      <c r="AD139" s="326">
        <f t="shared" si="86"/>
        <v>4</v>
      </c>
      <c r="AE139" s="326">
        <f t="shared" si="86"/>
        <v>4</v>
      </c>
      <c r="AF139" s="326">
        <f t="shared" si="86"/>
        <v>4</v>
      </c>
      <c r="AG139" s="326">
        <f t="shared" si="86"/>
        <v>1</v>
      </c>
      <c r="AH139" s="322"/>
      <c r="AI139" s="322"/>
      <c r="AJ139" s="322"/>
      <c r="AK139" s="322"/>
      <c r="AL139" s="322"/>
      <c r="AM139" s="322"/>
      <c r="AN139" s="322"/>
      <c r="AO139" s="322"/>
    </row>
    <row r="140" spans="3:41" x14ac:dyDescent="0.25">
      <c r="C140" s="86"/>
      <c r="D140"/>
      <c r="E140"/>
      <c r="F140" t="s">
        <v>943</v>
      </c>
      <c r="G140" t="s">
        <v>147</v>
      </c>
      <c r="J140" s="326">
        <f t="shared" si="82"/>
        <v>1</v>
      </c>
      <c r="K140" s="322"/>
      <c r="L140" s="322"/>
      <c r="M140" s="326">
        <f t="shared" si="83"/>
        <v>4</v>
      </c>
      <c r="N140" s="326">
        <f t="shared" si="83"/>
        <v>4</v>
      </c>
      <c r="O140" s="326">
        <f t="shared" si="83"/>
        <v>4</v>
      </c>
      <c r="P140" s="326">
        <f t="shared" si="83"/>
        <v>4</v>
      </c>
      <c r="Q140" s="322"/>
      <c r="R140" s="322"/>
      <c r="S140" s="326">
        <f t="shared" si="84"/>
        <v>8</v>
      </c>
      <c r="T140" s="326">
        <f t="shared" si="84"/>
        <v>8</v>
      </c>
      <c r="U140" s="326">
        <f t="shared" si="84"/>
        <v>8</v>
      </c>
      <c r="V140" s="326">
        <f t="shared" si="84"/>
        <v>8</v>
      </c>
      <c r="W140" s="322"/>
      <c r="X140" s="326">
        <f t="shared" si="85"/>
        <v>8</v>
      </c>
      <c r="Y140" s="326">
        <f t="shared" si="85"/>
        <v>8</v>
      </c>
      <c r="Z140" s="326">
        <f t="shared" si="85"/>
        <v>8</v>
      </c>
      <c r="AA140" s="326">
        <f t="shared" si="85"/>
        <v>8</v>
      </c>
      <c r="AB140" s="322"/>
      <c r="AC140" s="326">
        <f t="shared" si="86"/>
        <v>4</v>
      </c>
      <c r="AD140" s="326">
        <f t="shared" si="86"/>
        <v>4</v>
      </c>
      <c r="AE140" s="326">
        <f t="shared" si="86"/>
        <v>4</v>
      </c>
      <c r="AF140" s="326">
        <f t="shared" si="86"/>
        <v>4</v>
      </c>
      <c r="AG140" s="326">
        <f t="shared" si="86"/>
        <v>1</v>
      </c>
      <c r="AH140" s="322"/>
      <c r="AI140" s="322"/>
      <c r="AJ140" s="322"/>
      <c r="AK140" s="322"/>
      <c r="AL140" s="322"/>
      <c r="AM140" s="322"/>
      <c r="AN140" s="322"/>
      <c r="AO140" s="322"/>
    </row>
    <row r="141" spans="3:41" x14ac:dyDescent="0.25">
      <c r="C141" s="86"/>
      <c r="D141"/>
      <c r="E141"/>
      <c r="F141" t="s">
        <v>944</v>
      </c>
      <c r="G141" t="s">
        <v>147</v>
      </c>
      <c r="J141" s="326">
        <f t="shared" si="82"/>
        <v>1</v>
      </c>
      <c r="K141" s="322"/>
      <c r="L141" s="322"/>
      <c r="M141" s="326">
        <f t="shared" si="83"/>
        <v>4</v>
      </c>
      <c r="N141" s="326">
        <f t="shared" si="83"/>
        <v>4</v>
      </c>
      <c r="O141" s="326">
        <f t="shared" si="83"/>
        <v>4</v>
      </c>
      <c r="P141" s="326">
        <f t="shared" si="83"/>
        <v>4</v>
      </c>
      <c r="Q141" s="322"/>
      <c r="R141" s="322"/>
      <c r="S141" s="326">
        <f t="shared" si="84"/>
        <v>8</v>
      </c>
      <c r="T141" s="326">
        <f t="shared" si="84"/>
        <v>8</v>
      </c>
      <c r="U141" s="326">
        <f t="shared" si="84"/>
        <v>8</v>
      </c>
      <c r="V141" s="326">
        <f t="shared" si="84"/>
        <v>8</v>
      </c>
      <c r="W141" s="322"/>
      <c r="X141" s="326">
        <f t="shared" si="85"/>
        <v>8</v>
      </c>
      <c r="Y141" s="326">
        <f t="shared" si="85"/>
        <v>8</v>
      </c>
      <c r="Z141" s="326">
        <f t="shared" si="85"/>
        <v>8</v>
      </c>
      <c r="AA141" s="326">
        <f t="shared" si="85"/>
        <v>8</v>
      </c>
      <c r="AB141" s="322"/>
      <c r="AC141" s="326">
        <f t="shared" si="86"/>
        <v>4</v>
      </c>
      <c r="AD141" s="326">
        <f t="shared" si="86"/>
        <v>4</v>
      </c>
      <c r="AE141" s="326">
        <f t="shared" si="86"/>
        <v>4</v>
      </c>
      <c r="AF141" s="326">
        <f t="shared" si="86"/>
        <v>4</v>
      </c>
      <c r="AG141" s="326">
        <f t="shared" si="86"/>
        <v>1</v>
      </c>
      <c r="AH141" s="322"/>
      <c r="AI141" s="322"/>
      <c r="AJ141" s="322"/>
      <c r="AK141" s="322"/>
      <c r="AL141" s="322"/>
      <c r="AM141" s="322"/>
      <c r="AN141" s="322"/>
      <c r="AO141" s="322"/>
    </row>
    <row r="142" spans="3:41" x14ac:dyDescent="0.25">
      <c r="C142" s="86"/>
      <c r="D142"/>
      <c r="E142"/>
      <c r="F142" t="s">
        <v>945</v>
      </c>
      <c r="G142" t="s">
        <v>147</v>
      </c>
      <c r="J142" s="326">
        <f t="shared" si="82"/>
        <v>1</v>
      </c>
      <c r="K142" s="322"/>
      <c r="L142" s="322"/>
      <c r="M142" s="326">
        <f t="shared" si="83"/>
        <v>4</v>
      </c>
      <c r="N142" s="326">
        <f t="shared" si="83"/>
        <v>4</v>
      </c>
      <c r="O142" s="326">
        <f t="shared" si="83"/>
        <v>4</v>
      </c>
      <c r="P142" s="326">
        <f t="shared" si="83"/>
        <v>4</v>
      </c>
      <c r="Q142" s="322"/>
      <c r="R142" s="322"/>
      <c r="S142" s="326">
        <f t="shared" si="84"/>
        <v>8</v>
      </c>
      <c r="T142" s="326">
        <f t="shared" si="84"/>
        <v>8</v>
      </c>
      <c r="U142" s="326">
        <f t="shared" si="84"/>
        <v>8</v>
      </c>
      <c r="V142" s="326">
        <f t="shared" si="84"/>
        <v>8</v>
      </c>
      <c r="W142" s="322"/>
      <c r="X142" s="326">
        <f t="shared" si="85"/>
        <v>8</v>
      </c>
      <c r="Y142" s="326">
        <f t="shared" si="85"/>
        <v>8</v>
      </c>
      <c r="Z142" s="326">
        <f t="shared" si="85"/>
        <v>8</v>
      </c>
      <c r="AA142" s="326">
        <f t="shared" si="85"/>
        <v>8</v>
      </c>
      <c r="AB142" s="322"/>
      <c r="AC142" s="326">
        <f t="shared" si="86"/>
        <v>4</v>
      </c>
      <c r="AD142" s="326">
        <f t="shared" si="86"/>
        <v>4</v>
      </c>
      <c r="AE142" s="326">
        <f t="shared" si="86"/>
        <v>4</v>
      </c>
      <c r="AF142" s="326">
        <f t="shared" si="86"/>
        <v>4</v>
      </c>
      <c r="AG142" s="326">
        <f t="shared" si="86"/>
        <v>1</v>
      </c>
      <c r="AH142" s="322"/>
      <c r="AI142" s="322"/>
      <c r="AJ142" s="322"/>
      <c r="AK142" s="322"/>
      <c r="AL142" s="322"/>
      <c r="AM142" s="322"/>
      <c r="AN142" s="322"/>
      <c r="AO142" s="322"/>
    </row>
    <row r="143" spans="3:41" x14ac:dyDescent="0.25">
      <c r="C143" s="86"/>
      <c r="D143"/>
      <c r="E143"/>
      <c r="F143" s="96" t="s">
        <v>946</v>
      </c>
      <c r="G143" s="96" t="s">
        <v>147</v>
      </c>
      <c r="H143" s="96"/>
      <c r="I143" s="96"/>
      <c r="J143" s="327">
        <f t="shared" si="82"/>
        <v>1</v>
      </c>
      <c r="K143" s="324"/>
      <c r="L143" s="324"/>
      <c r="M143" s="327">
        <f t="shared" si="83"/>
        <v>4</v>
      </c>
      <c r="N143" s="327">
        <f t="shared" si="83"/>
        <v>4</v>
      </c>
      <c r="O143" s="327">
        <f t="shared" si="83"/>
        <v>4</v>
      </c>
      <c r="P143" s="327">
        <f t="shared" si="83"/>
        <v>4</v>
      </c>
      <c r="Q143" s="324"/>
      <c r="R143" s="324"/>
      <c r="S143" s="327">
        <f t="shared" si="84"/>
        <v>8</v>
      </c>
      <c r="T143" s="327">
        <f t="shared" si="84"/>
        <v>8</v>
      </c>
      <c r="U143" s="327">
        <f t="shared" si="84"/>
        <v>8</v>
      </c>
      <c r="V143" s="327">
        <f t="shared" si="84"/>
        <v>8</v>
      </c>
      <c r="W143" s="324"/>
      <c r="X143" s="327">
        <f t="shared" si="85"/>
        <v>8</v>
      </c>
      <c r="Y143" s="327">
        <f t="shared" si="85"/>
        <v>8</v>
      </c>
      <c r="Z143" s="327">
        <f t="shared" si="85"/>
        <v>8</v>
      </c>
      <c r="AA143" s="327">
        <f t="shared" si="85"/>
        <v>8</v>
      </c>
      <c r="AB143" s="324"/>
      <c r="AC143" s="327">
        <f t="shared" si="86"/>
        <v>4</v>
      </c>
      <c r="AD143" s="327">
        <f t="shared" si="86"/>
        <v>4</v>
      </c>
      <c r="AE143" s="327">
        <f t="shared" si="86"/>
        <v>4</v>
      </c>
      <c r="AF143" s="327">
        <f t="shared" si="86"/>
        <v>4</v>
      </c>
      <c r="AG143" s="327">
        <f t="shared" si="86"/>
        <v>1</v>
      </c>
      <c r="AH143" s="324"/>
      <c r="AI143" s="324"/>
      <c r="AJ143" s="324"/>
      <c r="AK143" s="324"/>
      <c r="AL143" s="324"/>
      <c r="AM143" s="324"/>
      <c r="AN143" s="324"/>
      <c r="AO143" s="324"/>
    </row>
    <row r="144" spans="3:41" x14ac:dyDescent="0.25">
      <c r="C144" s="86"/>
      <c r="D144"/>
      <c r="E144"/>
      <c r="J144" s="260"/>
      <c r="K144" s="260"/>
      <c r="L144" s="260"/>
      <c r="M144" s="326"/>
      <c r="N144" s="260"/>
      <c r="O144" s="260"/>
      <c r="P144" s="260"/>
      <c r="Q144" s="260"/>
      <c r="R144" s="260"/>
      <c r="S144" s="326"/>
      <c r="T144" s="260"/>
      <c r="U144" s="260"/>
      <c r="V144" s="260"/>
      <c r="W144" s="260"/>
      <c r="X144" s="326"/>
      <c r="Y144" s="260"/>
      <c r="Z144" s="260"/>
      <c r="AA144" s="260"/>
      <c r="AB144" s="260"/>
      <c r="AC144" s="326"/>
      <c r="AD144" s="260"/>
      <c r="AE144" s="260"/>
      <c r="AF144" s="260"/>
      <c r="AG144" s="260"/>
      <c r="AH144" s="260"/>
      <c r="AI144" s="260"/>
      <c r="AJ144" s="260"/>
      <c r="AK144" s="260"/>
      <c r="AL144" s="260"/>
      <c r="AM144" s="260"/>
      <c r="AN144" s="260"/>
      <c r="AO144" s="260"/>
    </row>
    <row r="145" spans="3:41" x14ac:dyDescent="0.25">
      <c r="C145" s="86"/>
      <c r="D145"/>
      <c r="E145" t="s">
        <v>956</v>
      </c>
      <c r="J145" s="326">
        <f>MAX(J136:J143)</f>
        <v>1</v>
      </c>
      <c r="K145" s="322"/>
      <c r="L145" s="322"/>
      <c r="M145" s="326">
        <f t="shared" ref="M145:P145" si="87">MAX(M136:M143)</f>
        <v>4</v>
      </c>
      <c r="N145" s="326">
        <f t="shared" si="87"/>
        <v>4</v>
      </c>
      <c r="O145" s="326">
        <f t="shared" si="87"/>
        <v>4</v>
      </c>
      <c r="P145" s="326">
        <f t="shared" si="87"/>
        <v>4</v>
      </c>
      <c r="Q145" s="322"/>
      <c r="R145" s="322"/>
      <c r="S145" s="326">
        <f t="shared" ref="S145:V145" si="88">MAX(S136:S143)</f>
        <v>8</v>
      </c>
      <c r="T145" s="326">
        <f t="shared" si="88"/>
        <v>8</v>
      </c>
      <c r="U145" s="326">
        <f t="shared" si="88"/>
        <v>8</v>
      </c>
      <c r="V145" s="326">
        <f t="shared" si="88"/>
        <v>8</v>
      </c>
      <c r="W145" s="322"/>
      <c r="X145" s="326">
        <f t="shared" ref="X145:AA145" si="89">MAX(X136:X143)</f>
        <v>8</v>
      </c>
      <c r="Y145" s="326">
        <f t="shared" si="89"/>
        <v>8</v>
      </c>
      <c r="Z145" s="326">
        <f t="shared" si="89"/>
        <v>8</v>
      </c>
      <c r="AA145" s="326">
        <f t="shared" si="89"/>
        <v>8</v>
      </c>
      <c r="AB145" s="322"/>
      <c r="AC145" s="326">
        <f t="shared" ref="AC145:AG145" si="90">MAX(AC136:AC143)</f>
        <v>4</v>
      </c>
      <c r="AD145" s="326">
        <f t="shared" si="90"/>
        <v>4</v>
      </c>
      <c r="AE145" s="326">
        <f t="shared" si="90"/>
        <v>4</v>
      </c>
      <c r="AF145" s="326">
        <f t="shared" si="90"/>
        <v>4</v>
      </c>
      <c r="AG145" s="326">
        <f t="shared" si="90"/>
        <v>1</v>
      </c>
      <c r="AH145" s="322"/>
      <c r="AI145" s="322"/>
      <c r="AJ145" s="322"/>
      <c r="AK145" s="322"/>
      <c r="AL145" s="322"/>
      <c r="AM145" s="322"/>
      <c r="AN145" s="322"/>
      <c r="AO145" s="322"/>
    </row>
    <row r="146" spans="3:41" x14ac:dyDescent="0.25">
      <c r="C146" s="86"/>
      <c r="D146"/>
      <c r="E146"/>
      <c r="J146" s="260"/>
      <c r="K146" s="260"/>
      <c r="L146" s="260"/>
      <c r="M146" s="326"/>
      <c r="N146" s="260"/>
      <c r="O146" s="260"/>
      <c r="P146" s="260"/>
      <c r="Q146" s="260"/>
      <c r="R146" s="260"/>
      <c r="S146" s="326"/>
      <c r="T146" s="260"/>
      <c r="U146" s="260"/>
      <c r="V146" s="260"/>
      <c r="W146" s="260"/>
      <c r="X146" s="326"/>
      <c r="Y146" s="260"/>
      <c r="Z146" s="260"/>
      <c r="AA146" s="260"/>
      <c r="AB146" s="260"/>
      <c r="AC146" s="326"/>
      <c r="AD146" s="260"/>
      <c r="AE146" s="260"/>
      <c r="AF146" s="260"/>
      <c r="AG146" s="260"/>
      <c r="AH146" s="260"/>
      <c r="AI146" s="260"/>
      <c r="AJ146" s="260"/>
      <c r="AK146" s="260"/>
      <c r="AL146" s="260"/>
      <c r="AM146" s="260"/>
      <c r="AN146" s="260"/>
      <c r="AO146" s="260"/>
    </row>
    <row r="147" spans="3:41" x14ac:dyDescent="0.25">
      <c r="C147" s="86"/>
      <c r="D147"/>
      <c r="E147" t="s">
        <v>955</v>
      </c>
      <c r="G147" t="s">
        <v>147</v>
      </c>
      <c r="J147" s="326">
        <f t="array" ref="J147">MATCH(TRUE, J136:J143=J145, 0)</f>
        <v>1</v>
      </c>
      <c r="K147" s="326">
        <f t="array" ref="K147">MATCH(TRUE, K136:K143=K145, 0)</f>
        <v>1</v>
      </c>
      <c r="L147" s="326">
        <f t="array" ref="L147">MATCH(TRUE, L136:L143=L145, 0)</f>
        <v>1</v>
      </c>
      <c r="M147" s="326">
        <f t="array" ref="M147">MATCH(TRUE, M136:M143=M145, 0)</f>
        <v>1</v>
      </c>
      <c r="N147" s="326">
        <f t="array" ref="N147">MATCH(TRUE, N136:N143=N145, 0)</f>
        <v>1</v>
      </c>
      <c r="O147" s="326">
        <f t="array" ref="O147">MATCH(TRUE, O136:O143=O145, 0)</f>
        <v>1</v>
      </c>
      <c r="P147" s="326">
        <f t="array" ref="P147">MATCH(TRUE, P136:P143=P145, 0)</f>
        <v>1</v>
      </c>
      <c r="Q147" s="326">
        <f t="array" ref="Q147">MATCH(TRUE, Q136:Q143=Q145, 0)</f>
        <v>1</v>
      </c>
      <c r="R147" s="326">
        <f t="array" ref="R147">MATCH(TRUE, R136:R143=R145, 0)</f>
        <v>1</v>
      </c>
      <c r="S147" s="326">
        <f t="array" ref="S147">MATCH(TRUE, S136:S143=S145, 0)</f>
        <v>1</v>
      </c>
      <c r="T147" s="326">
        <f t="array" ref="T147">MATCH(TRUE, T136:T143=T145, 0)</f>
        <v>1</v>
      </c>
      <c r="U147" s="326">
        <f t="array" ref="U147">MATCH(TRUE, U136:U143=U145, 0)</f>
        <v>1</v>
      </c>
      <c r="V147" s="326">
        <f t="array" ref="V147">MATCH(TRUE, V136:V143=V145, 0)</f>
        <v>1</v>
      </c>
      <c r="W147" s="326">
        <f t="array" ref="W147">MATCH(TRUE, W136:W143=W145, 0)</f>
        <v>1</v>
      </c>
      <c r="X147" s="326">
        <f t="array" ref="X147">MATCH(TRUE, X136:X143=X145, 0)</f>
        <v>1</v>
      </c>
      <c r="Y147" s="326">
        <f t="array" ref="Y147">MATCH(TRUE, Y136:Y143=Y145, 0)</f>
        <v>1</v>
      </c>
      <c r="Z147" s="326">
        <f t="array" ref="Z147">MATCH(TRUE, Z136:Z143=Z145, 0)</f>
        <v>1</v>
      </c>
      <c r="AA147" s="326">
        <f t="array" ref="AA147">MATCH(TRUE, AA136:AA143=AA145, 0)</f>
        <v>1</v>
      </c>
      <c r="AB147" s="326">
        <f t="array" ref="AB147">MATCH(TRUE, AB136:AB143=AB145, 0)</f>
        <v>1</v>
      </c>
      <c r="AC147" s="326">
        <f t="array" ref="AC147">MATCH(TRUE, AC136:AC143=AC145, 0)</f>
        <v>1</v>
      </c>
      <c r="AD147" s="326">
        <f t="array" ref="AD147">MATCH(TRUE, AD136:AD143=AD145, 0)</f>
        <v>1</v>
      </c>
      <c r="AE147" s="326">
        <f t="array" ref="AE147">MATCH(TRUE, AE136:AE143=AE145, 0)</f>
        <v>1</v>
      </c>
      <c r="AF147" s="326">
        <f t="array" ref="AF147">MATCH(TRUE, AF136:AF143=AF145, 0)</f>
        <v>1</v>
      </c>
      <c r="AG147" s="326">
        <f t="array" ref="AG147">MATCH(TRUE, AG136:AG143=AG145, 0)</f>
        <v>1</v>
      </c>
      <c r="AH147" s="326">
        <f t="array" ref="AH147">MATCH(TRUE, AH136:AH143=AH145, 0)</f>
        <v>1</v>
      </c>
      <c r="AI147" s="326">
        <f t="array" ref="AI147">MATCH(TRUE, AI136:AI143=AI145, 0)</f>
        <v>1</v>
      </c>
      <c r="AJ147" s="326">
        <f t="array" ref="AJ147">MATCH(TRUE, AJ136:AJ143=AJ145, 0)</f>
        <v>1</v>
      </c>
      <c r="AK147" s="326">
        <f t="array" ref="AK147">MATCH(TRUE, AK136:AK143=AK145, 0)</f>
        <v>1</v>
      </c>
      <c r="AL147" s="326">
        <f t="array" ref="AL147">MATCH(TRUE, AL136:AL143=AL145, 0)</f>
        <v>1</v>
      </c>
      <c r="AM147" s="326">
        <f t="array" ref="AM147">MATCH(TRUE, AM136:AM143=AM145, 0)</f>
        <v>1</v>
      </c>
      <c r="AN147" s="326">
        <f t="array" ref="AN147">MATCH(TRUE, AN136:AN143=AN145, 0)</f>
        <v>1</v>
      </c>
      <c r="AO147" s="326">
        <f t="array" ref="AO147">MATCH(TRUE, AO136:AO143=AO145, 0)</f>
        <v>1</v>
      </c>
    </row>
    <row r="148" spans="3:41" x14ac:dyDescent="0.2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25">
      <c r="C149" s="86"/>
      <c r="E149" t="s">
        <v>964</v>
      </c>
      <c r="G149" t="s">
        <v>147</v>
      </c>
      <c r="J149" s="328">
        <f>INDEX(J104:J111,J$147)</f>
        <v>1</v>
      </c>
      <c r="K149" s="328">
        <f t="shared" ref="K149:AO149" si="91">INDEX(K104:K111,K$147)</f>
        <v>0</v>
      </c>
      <c r="L149" s="328">
        <f t="shared" si="91"/>
        <v>0</v>
      </c>
      <c r="M149" s="328">
        <f t="shared" si="91"/>
        <v>5</v>
      </c>
      <c r="N149" s="328">
        <f t="shared" si="91"/>
        <v>6</v>
      </c>
      <c r="O149" s="328">
        <f t="shared" si="91"/>
        <v>7</v>
      </c>
      <c r="P149" s="328">
        <f t="shared" si="91"/>
        <v>8</v>
      </c>
      <c r="Q149" s="328">
        <f t="shared" si="91"/>
        <v>0</v>
      </c>
      <c r="R149" s="328">
        <f t="shared" si="91"/>
        <v>0</v>
      </c>
      <c r="S149" s="328">
        <f t="shared" si="91"/>
        <v>9</v>
      </c>
      <c r="T149" s="328">
        <f t="shared" si="91"/>
        <v>10</v>
      </c>
      <c r="U149" s="328">
        <f t="shared" si="91"/>
        <v>11</v>
      </c>
      <c r="V149" s="328">
        <f t="shared" si="91"/>
        <v>12</v>
      </c>
      <c r="W149" s="328">
        <f t="shared" si="91"/>
        <v>0</v>
      </c>
      <c r="X149" s="328">
        <f t="shared" si="91"/>
        <v>9</v>
      </c>
      <c r="Y149" s="328">
        <f t="shared" si="91"/>
        <v>10</v>
      </c>
      <c r="Z149" s="328">
        <f t="shared" si="91"/>
        <v>11</v>
      </c>
      <c r="AA149" s="328">
        <f t="shared" si="91"/>
        <v>12</v>
      </c>
      <c r="AB149" s="328">
        <f t="shared" si="91"/>
        <v>0</v>
      </c>
      <c r="AC149" s="328">
        <f t="shared" si="91"/>
        <v>13</v>
      </c>
      <c r="AD149" s="328">
        <f t="shared" si="91"/>
        <v>14</v>
      </c>
      <c r="AE149" s="328">
        <f t="shared" si="91"/>
        <v>15</v>
      </c>
      <c r="AF149" s="328">
        <f t="shared" si="91"/>
        <v>16</v>
      </c>
      <c r="AG149" s="328">
        <f t="shared" si="91"/>
        <v>17</v>
      </c>
      <c r="AH149" s="328">
        <f t="shared" si="91"/>
        <v>0</v>
      </c>
      <c r="AI149" s="328">
        <f t="shared" si="91"/>
        <v>0</v>
      </c>
      <c r="AJ149" s="328">
        <f t="shared" si="91"/>
        <v>0</v>
      </c>
      <c r="AK149" s="328">
        <f t="shared" si="91"/>
        <v>0</v>
      </c>
      <c r="AL149" s="328">
        <f t="shared" si="91"/>
        <v>0</v>
      </c>
      <c r="AM149" s="328">
        <f t="shared" si="91"/>
        <v>0</v>
      </c>
      <c r="AN149" s="328">
        <f t="shared" si="91"/>
        <v>0</v>
      </c>
      <c r="AO149" s="328">
        <f t="shared" si="91"/>
        <v>0</v>
      </c>
    </row>
    <row r="150" spans="3:41" x14ac:dyDescent="0.2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25">
      <c r="C151" s="93" t="str">
        <f ca="1">INDEX('Version control'!$H$41:$H$64,MATCH($A$1,'Version control'!$F$41:$F$64,0),1)&amp;"-D: Calculating MPANs for matching"</f>
        <v>Section 116-D: Calculating MPANs for matching</v>
      </c>
      <c r="D151" s="93"/>
      <c r="E151" s="93"/>
      <c r="F151" s="93"/>
      <c r="G151" s="93"/>
      <c r="H151" s="93"/>
      <c r="I151" s="9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row>
    <row r="152" spans="3:41" x14ac:dyDescent="0.25">
      <c r="C152" s="86"/>
      <c r="D152"/>
      <c r="E152"/>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row>
    <row r="153" spans="3:41" x14ac:dyDescent="0.25">
      <c r="C153" s="86"/>
      <c r="D153"/>
      <c r="E153" t="s">
        <v>973</v>
      </c>
      <c r="G153" t="s">
        <v>210</v>
      </c>
      <c r="J153" s="260">
        <f t="shared" ref="J153:AO153" si="92">IF(J32, J56, 0)</f>
        <v>1547748.3978608586</v>
      </c>
      <c r="K153" s="260">
        <f t="shared" si="92"/>
        <v>0</v>
      </c>
      <c r="L153" s="260">
        <f t="shared" si="92"/>
        <v>0</v>
      </c>
      <c r="M153" s="260">
        <f t="shared" si="92"/>
        <v>37579.546715428587</v>
      </c>
      <c r="N153" s="260">
        <f t="shared" si="92"/>
        <v>31884.297465325126</v>
      </c>
      <c r="O153" s="260">
        <f t="shared" si="92"/>
        <v>14685.790975562491</v>
      </c>
      <c r="P153" s="260">
        <f t="shared" si="92"/>
        <v>16616.104286500897</v>
      </c>
      <c r="Q153" s="260">
        <f t="shared" si="92"/>
        <v>0</v>
      </c>
      <c r="R153" s="260">
        <f t="shared" si="92"/>
        <v>0</v>
      </c>
      <c r="S153" s="260">
        <f t="shared" si="92"/>
        <v>5844.503271673907</v>
      </c>
      <c r="T153" s="260">
        <f t="shared" si="92"/>
        <v>3086.0681502696375</v>
      </c>
      <c r="U153" s="260">
        <f t="shared" si="92"/>
        <v>1330.8012755012887</v>
      </c>
      <c r="V153" s="260">
        <f t="shared" si="92"/>
        <v>1117.2001150458193</v>
      </c>
      <c r="W153" s="260">
        <f t="shared" si="92"/>
        <v>0</v>
      </c>
      <c r="X153" s="260">
        <f t="shared" si="92"/>
        <v>10.845822578113598</v>
      </c>
      <c r="Y153" s="260">
        <f t="shared" si="92"/>
        <v>34.763377239548305</v>
      </c>
      <c r="Z153" s="260">
        <f t="shared" si="92"/>
        <v>70.44509355702094</v>
      </c>
      <c r="AA153" s="260">
        <f t="shared" si="92"/>
        <v>652.28361842395736</v>
      </c>
      <c r="AB153" s="260">
        <f t="shared" si="92"/>
        <v>0</v>
      </c>
      <c r="AC153" s="260">
        <f t="shared" si="92"/>
        <v>224.67233104076109</v>
      </c>
      <c r="AD153" s="260">
        <f t="shared" si="92"/>
        <v>287.58411485930162</v>
      </c>
      <c r="AE153" s="260">
        <f t="shared" si="92"/>
        <v>140.30431684299413</v>
      </c>
      <c r="AF153" s="260">
        <f t="shared" si="92"/>
        <v>201.36185974182959</v>
      </c>
      <c r="AG153" s="260">
        <f t="shared" si="92"/>
        <v>1129.7489873710761</v>
      </c>
      <c r="AH153" s="260">
        <f t="shared" si="92"/>
        <v>0</v>
      </c>
      <c r="AI153" s="260">
        <f t="shared" si="92"/>
        <v>0</v>
      </c>
      <c r="AJ153" s="260">
        <f t="shared" si="92"/>
        <v>0</v>
      </c>
      <c r="AK153" s="260">
        <f t="shared" si="92"/>
        <v>0</v>
      </c>
      <c r="AL153" s="260">
        <f t="shared" si="92"/>
        <v>0</v>
      </c>
      <c r="AM153" s="260">
        <f t="shared" si="92"/>
        <v>0</v>
      </c>
      <c r="AN153" s="260">
        <f t="shared" si="92"/>
        <v>0</v>
      </c>
      <c r="AO153" s="260">
        <f t="shared" si="92"/>
        <v>0</v>
      </c>
    </row>
    <row r="154" spans="3:41" x14ac:dyDescent="0.2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25">
      <c r="C155" s="86"/>
      <c r="D155"/>
      <c r="E155" t="s">
        <v>970</v>
      </c>
      <c r="G155" t="s">
        <v>210</v>
      </c>
      <c r="J155" s="260">
        <f t="shared" ref="J155:AO155" si="93">SUMIF($J$149:$AO$149,J149,$J$153:$AO$153)</f>
        <v>1547748.3978608586</v>
      </c>
      <c r="K155" s="260">
        <f t="shared" si="93"/>
        <v>0</v>
      </c>
      <c r="L155" s="260">
        <f t="shared" si="93"/>
        <v>0</v>
      </c>
      <c r="M155" s="260">
        <f t="shared" si="93"/>
        <v>37579.546715428587</v>
      </c>
      <c r="N155" s="260">
        <f t="shared" si="93"/>
        <v>31884.297465325126</v>
      </c>
      <c r="O155" s="260">
        <f t="shared" si="93"/>
        <v>14685.790975562491</v>
      </c>
      <c r="P155" s="260">
        <f t="shared" si="93"/>
        <v>16616.104286500897</v>
      </c>
      <c r="Q155" s="260">
        <f t="shared" si="93"/>
        <v>0</v>
      </c>
      <c r="R155" s="260">
        <f t="shared" si="93"/>
        <v>0</v>
      </c>
      <c r="S155" s="260">
        <f t="shared" si="93"/>
        <v>5855.3490942520202</v>
      </c>
      <c r="T155" s="260">
        <f t="shared" si="93"/>
        <v>3120.8315275091859</v>
      </c>
      <c r="U155" s="260">
        <f t="shared" si="93"/>
        <v>1401.2463690583097</v>
      </c>
      <c r="V155" s="260">
        <f t="shared" si="93"/>
        <v>1769.4837334697768</v>
      </c>
      <c r="W155" s="260">
        <f t="shared" si="93"/>
        <v>0</v>
      </c>
      <c r="X155" s="260">
        <f t="shared" si="93"/>
        <v>5855.3490942520202</v>
      </c>
      <c r="Y155" s="260">
        <f t="shared" si="93"/>
        <v>3120.8315275091859</v>
      </c>
      <c r="Z155" s="260">
        <f t="shared" si="93"/>
        <v>1401.2463690583097</v>
      </c>
      <c r="AA155" s="260">
        <f t="shared" si="93"/>
        <v>1769.4837334697768</v>
      </c>
      <c r="AB155" s="260">
        <f t="shared" si="93"/>
        <v>0</v>
      </c>
      <c r="AC155" s="260">
        <f t="shared" si="93"/>
        <v>224.67233104076109</v>
      </c>
      <c r="AD155" s="260">
        <f t="shared" si="93"/>
        <v>287.58411485930162</v>
      </c>
      <c r="AE155" s="260">
        <f t="shared" si="93"/>
        <v>140.30431684299413</v>
      </c>
      <c r="AF155" s="260">
        <f t="shared" si="93"/>
        <v>201.36185974182959</v>
      </c>
      <c r="AG155" s="260">
        <f t="shared" si="93"/>
        <v>1129.7489873710761</v>
      </c>
      <c r="AH155" s="260">
        <f t="shared" si="93"/>
        <v>0</v>
      </c>
      <c r="AI155" s="260">
        <f t="shared" si="93"/>
        <v>0</v>
      </c>
      <c r="AJ155" s="260">
        <f t="shared" si="93"/>
        <v>0</v>
      </c>
      <c r="AK155" s="260">
        <f t="shared" si="93"/>
        <v>0</v>
      </c>
      <c r="AL155" s="260">
        <f t="shared" si="93"/>
        <v>0</v>
      </c>
      <c r="AM155" s="260">
        <f t="shared" si="93"/>
        <v>0</v>
      </c>
      <c r="AN155" s="260">
        <f t="shared" si="93"/>
        <v>0</v>
      </c>
      <c r="AO155" s="260">
        <f t="shared" si="93"/>
        <v>0</v>
      </c>
    </row>
    <row r="156" spans="3:41" x14ac:dyDescent="0.25">
      <c r="C156" s="86"/>
      <c r="D156"/>
      <c r="E156"/>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row>
    <row r="157" spans="3:41" x14ac:dyDescent="0.25">
      <c r="C157" s="86"/>
      <c r="D157"/>
      <c r="E157" t="s">
        <v>1079</v>
      </c>
      <c r="G157" t="s">
        <v>165</v>
      </c>
      <c r="J157" s="329">
        <f>IF(J155&lt;&gt;0,J153/J155,0)</f>
        <v>1</v>
      </c>
      <c r="K157" s="329">
        <f t="shared" ref="K157:AO157" si="94">IF(K155&lt;&gt;0,K153/K155,0)</f>
        <v>0</v>
      </c>
      <c r="L157" s="329">
        <f t="shared" si="94"/>
        <v>0</v>
      </c>
      <c r="M157" s="329">
        <f t="shared" si="94"/>
        <v>1</v>
      </c>
      <c r="N157" s="329">
        <f t="shared" si="94"/>
        <v>1</v>
      </c>
      <c r="O157" s="329">
        <f t="shared" si="94"/>
        <v>1</v>
      </c>
      <c r="P157" s="329">
        <f t="shared" si="94"/>
        <v>1</v>
      </c>
      <c r="Q157" s="329">
        <f t="shared" si="94"/>
        <v>0</v>
      </c>
      <c r="R157" s="329">
        <f t="shared" si="94"/>
        <v>0</v>
      </c>
      <c r="S157" s="329">
        <f t="shared" si="94"/>
        <v>0.99814770692514987</v>
      </c>
      <c r="T157" s="329">
        <f t="shared" si="94"/>
        <v>0.98886086066065415</v>
      </c>
      <c r="U157" s="329">
        <f t="shared" si="94"/>
        <v>0.94972683240252553</v>
      </c>
      <c r="V157" s="329">
        <f t="shared" si="94"/>
        <v>0.63137066134827025</v>
      </c>
      <c r="W157" s="329">
        <f t="shared" si="94"/>
        <v>0</v>
      </c>
      <c r="X157" s="329">
        <f t="shared" si="94"/>
        <v>1.8522930748502324E-3</v>
      </c>
      <c r="Y157" s="329">
        <f t="shared" si="94"/>
        <v>1.1139139339345829E-2</v>
      </c>
      <c r="Z157" s="329">
        <f t="shared" si="94"/>
        <v>5.0273167597474452E-2</v>
      </c>
      <c r="AA157" s="329">
        <f t="shared" si="94"/>
        <v>0.3686293386517297</v>
      </c>
      <c r="AB157" s="329">
        <f t="shared" si="94"/>
        <v>0</v>
      </c>
      <c r="AC157" s="329">
        <f t="shared" si="94"/>
        <v>1</v>
      </c>
      <c r="AD157" s="329">
        <f t="shared" si="94"/>
        <v>1</v>
      </c>
      <c r="AE157" s="329">
        <f t="shared" si="94"/>
        <v>1</v>
      </c>
      <c r="AF157" s="329">
        <f t="shared" si="94"/>
        <v>1</v>
      </c>
      <c r="AG157" s="329">
        <f t="shared" si="94"/>
        <v>1</v>
      </c>
      <c r="AH157" s="329">
        <f t="shared" si="94"/>
        <v>0</v>
      </c>
      <c r="AI157" s="329">
        <f t="shared" si="94"/>
        <v>0</v>
      </c>
      <c r="AJ157" s="329">
        <f t="shared" si="94"/>
        <v>0</v>
      </c>
      <c r="AK157" s="329">
        <f t="shared" si="94"/>
        <v>0</v>
      </c>
      <c r="AL157" s="329">
        <f t="shared" si="94"/>
        <v>0</v>
      </c>
      <c r="AM157" s="329">
        <f t="shared" si="94"/>
        <v>0</v>
      </c>
      <c r="AN157" s="329">
        <f t="shared" si="94"/>
        <v>0</v>
      </c>
      <c r="AO157" s="329">
        <f t="shared" si="94"/>
        <v>0</v>
      </c>
    </row>
    <row r="158" spans="3:41" x14ac:dyDescent="0.25">
      <c r="C158" s="86"/>
      <c r="D158"/>
      <c r="E158"/>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row>
    <row r="159" spans="3:41" x14ac:dyDescent="0.25">
      <c r="C159" s="93" t="str">
        <f ca="1">INDEX('Version control'!$H$41:$H$64,MATCH($A$1,'Version control'!$F$41:$F$64,0),1)&amp;"-E: Calculating unit volumes for matching"</f>
        <v>Section 116-E: Calculating unit volumes for matching</v>
      </c>
      <c r="D159" s="93"/>
      <c r="E159" s="93"/>
      <c r="F159" s="93"/>
      <c r="G159" s="93"/>
      <c r="H159" s="93"/>
      <c r="I159" s="9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row>
    <row r="160" spans="3:41" x14ac:dyDescent="0.2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25">
      <c r="C161" s="86"/>
      <c r="D161" s="86" t="s">
        <v>1089</v>
      </c>
      <c r="I161" t="s">
        <v>152</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1084</v>
      </c>
    </row>
    <row r="162" spans="3:43" x14ac:dyDescent="0.25">
      <c r="C162" s="86"/>
      <c r="D162" s="86" t="s">
        <v>1065</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2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25">
      <c r="C164" s="86"/>
      <c r="D164"/>
      <c r="E164" t="s">
        <v>965</v>
      </c>
      <c r="G164" t="s">
        <v>205</v>
      </c>
      <c r="J164" s="260">
        <f t="shared" ref="J164:AO164" si="95">SUM(J53:J55)</f>
        <v>4312022.9369161967</v>
      </c>
      <c r="K164" s="260">
        <f t="shared" si="95"/>
        <v>22479.962563972036</v>
      </c>
      <c r="L164" s="260">
        <f t="shared" si="95"/>
        <v>72.952503077713317</v>
      </c>
      <c r="M164" s="260">
        <f t="shared" si="95"/>
        <v>108896.66192785089</v>
      </c>
      <c r="N164" s="260">
        <f t="shared" si="95"/>
        <v>251259.85960491505</v>
      </c>
      <c r="O164" s="260">
        <f t="shared" si="95"/>
        <v>248924.99772559185</v>
      </c>
      <c r="P164" s="260">
        <f t="shared" si="95"/>
        <v>758702.35223890003</v>
      </c>
      <c r="Q164" s="260">
        <f t="shared" si="95"/>
        <v>4048.84641508186</v>
      </c>
      <c r="R164" s="260">
        <f t="shared" si="95"/>
        <v>124.43899482750521</v>
      </c>
      <c r="S164" s="260">
        <f t="shared" si="95"/>
        <v>445253.27929780795</v>
      </c>
      <c r="T164" s="260">
        <f t="shared" si="95"/>
        <v>503295.96560395206</v>
      </c>
      <c r="U164" s="260">
        <f t="shared" si="95"/>
        <v>325964.09868111229</v>
      </c>
      <c r="V164" s="260">
        <f t="shared" si="95"/>
        <v>572936.42000352172</v>
      </c>
      <c r="W164" s="260">
        <f t="shared" si="95"/>
        <v>24.930244544950614</v>
      </c>
      <c r="X164" s="260">
        <f t="shared" si="95"/>
        <v>1946.401229943343</v>
      </c>
      <c r="Y164" s="260">
        <f t="shared" si="95"/>
        <v>10858.055321368549</v>
      </c>
      <c r="Z164" s="260">
        <f t="shared" si="95"/>
        <v>35459.403904870531</v>
      </c>
      <c r="AA164" s="260">
        <f t="shared" si="95"/>
        <v>616090.37520617037</v>
      </c>
      <c r="AB164" s="260">
        <f t="shared" si="95"/>
        <v>3612.2951578720867</v>
      </c>
      <c r="AC164" s="260">
        <f t="shared" si="95"/>
        <v>117853.11156477884</v>
      </c>
      <c r="AD164" s="260">
        <f t="shared" si="95"/>
        <v>413153.90581201459</v>
      </c>
      <c r="AE164" s="260">
        <f t="shared" si="95"/>
        <v>360243.69925434259</v>
      </c>
      <c r="AF164" s="260">
        <f t="shared" si="95"/>
        <v>1407890.5656421795</v>
      </c>
      <c r="AG164" s="260">
        <f t="shared" si="95"/>
        <v>105037.41424637056</v>
      </c>
      <c r="AH164" s="260">
        <f t="shared" si="95"/>
        <v>55431.522778892366</v>
      </c>
      <c r="AI164" s="260">
        <f t="shared" si="95"/>
        <v>0</v>
      </c>
      <c r="AJ164" s="260">
        <f t="shared" si="95"/>
        <v>41491.444099999993</v>
      </c>
      <c r="AK164" s="260">
        <f t="shared" si="95"/>
        <v>0</v>
      </c>
      <c r="AL164" s="260">
        <f t="shared" si="95"/>
        <v>2452.2658999999999</v>
      </c>
      <c r="AM164" s="260">
        <f t="shared" si="95"/>
        <v>0</v>
      </c>
      <c r="AN164" s="260">
        <f t="shared" si="95"/>
        <v>875923.16760000004</v>
      </c>
      <c r="AO164" s="260">
        <f t="shared" si="95"/>
        <v>0</v>
      </c>
    </row>
    <row r="165" spans="3:43" x14ac:dyDescent="0.2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25">
      <c r="C166" s="86"/>
      <c r="D166"/>
      <c r="E166" t="s">
        <v>966</v>
      </c>
      <c r="G166" t="s">
        <v>205</v>
      </c>
      <c r="J166" s="260">
        <f t="shared" ref="J166:AO166" si="96">IF(J32,J164, 0)</f>
        <v>4312022.9369161967</v>
      </c>
      <c r="K166" s="260">
        <f t="shared" si="96"/>
        <v>0</v>
      </c>
      <c r="L166" s="260">
        <f t="shared" si="96"/>
        <v>0</v>
      </c>
      <c r="M166" s="260">
        <f t="shared" si="96"/>
        <v>108896.66192785089</v>
      </c>
      <c r="N166" s="260">
        <f t="shared" si="96"/>
        <v>251259.85960491505</v>
      </c>
      <c r="O166" s="260">
        <f t="shared" si="96"/>
        <v>248924.99772559185</v>
      </c>
      <c r="P166" s="260">
        <f t="shared" si="96"/>
        <v>758702.35223890003</v>
      </c>
      <c r="Q166" s="260">
        <f t="shared" si="96"/>
        <v>0</v>
      </c>
      <c r="R166" s="260">
        <f t="shared" si="96"/>
        <v>0</v>
      </c>
      <c r="S166" s="260">
        <f t="shared" si="96"/>
        <v>445253.27929780795</v>
      </c>
      <c r="T166" s="260">
        <f t="shared" si="96"/>
        <v>503295.96560395206</v>
      </c>
      <c r="U166" s="260">
        <f t="shared" si="96"/>
        <v>325964.09868111229</v>
      </c>
      <c r="V166" s="260">
        <f t="shared" si="96"/>
        <v>572936.42000352172</v>
      </c>
      <c r="W166" s="260">
        <f t="shared" si="96"/>
        <v>0</v>
      </c>
      <c r="X166" s="260">
        <f t="shared" si="96"/>
        <v>1946.401229943343</v>
      </c>
      <c r="Y166" s="260">
        <f t="shared" si="96"/>
        <v>10858.055321368549</v>
      </c>
      <c r="Z166" s="260">
        <f t="shared" si="96"/>
        <v>35459.403904870531</v>
      </c>
      <c r="AA166" s="260">
        <f t="shared" si="96"/>
        <v>616090.37520617037</v>
      </c>
      <c r="AB166" s="260">
        <f t="shared" si="96"/>
        <v>0</v>
      </c>
      <c r="AC166" s="260">
        <f t="shared" si="96"/>
        <v>117853.11156477884</v>
      </c>
      <c r="AD166" s="260">
        <f t="shared" si="96"/>
        <v>413153.90581201459</v>
      </c>
      <c r="AE166" s="260">
        <f t="shared" si="96"/>
        <v>360243.69925434259</v>
      </c>
      <c r="AF166" s="260">
        <f t="shared" si="96"/>
        <v>1407890.5656421795</v>
      </c>
      <c r="AG166" s="260">
        <f t="shared" si="96"/>
        <v>105037.41424637056</v>
      </c>
      <c r="AH166" s="260">
        <f t="shared" si="96"/>
        <v>0</v>
      </c>
      <c r="AI166" s="260">
        <f t="shared" si="96"/>
        <v>0</v>
      </c>
      <c r="AJ166" s="260">
        <f t="shared" si="96"/>
        <v>0</v>
      </c>
      <c r="AK166" s="260">
        <f t="shared" si="96"/>
        <v>0</v>
      </c>
      <c r="AL166" s="260">
        <f t="shared" si="96"/>
        <v>0</v>
      </c>
      <c r="AM166" s="260">
        <f t="shared" si="96"/>
        <v>0</v>
      </c>
      <c r="AN166" s="260">
        <f t="shared" si="96"/>
        <v>0</v>
      </c>
      <c r="AO166" s="260">
        <f t="shared" si="96"/>
        <v>0</v>
      </c>
    </row>
    <row r="167" spans="3:43" x14ac:dyDescent="0.2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25">
      <c r="C168" s="86"/>
      <c r="D168"/>
      <c r="E168" s="86" t="s">
        <v>975</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2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25">
      <c r="C170" s="86"/>
      <c r="D170"/>
      <c r="E170" t="s">
        <v>960</v>
      </c>
      <c r="G170" t="s">
        <v>165</v>
      </c>
      <c r="J170" s="13">
        <v>1</v>
      </c>
      <c r="K170" s="100"/>
      <c r="L170" s="119"/>
      <c r="M170" s="330">
        <f>'Volume adjustments'!K689</f>
        <v>0.08</v>
      </c>
      <c r="N170" s="330">
        <f>'Volume adjustments'!L689</f>
        <v>0.18</v>
      </c>
      <c r="O170" s="330">
        <f>'Volume adjustments'!M689</f>
        <v>0.18</v>
      </c>
      <c r="P170" s="330">
        <f>'Volume adjustments'!N689</f>
        <v>0.56000000000000005</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2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25">
      <c r="C172" s="86"/>
      <c r="D172"/>
      <c r="E172" t="s">
        <v>936</v>
      </c>
      <c r="G172" t="s">
        <v>205</v>
      </c>
      <c r="J172" s="260">
        <f>J170*$K164</f>
        <v>22479.962563972036</v>
      </c>
      <c r="K172" s="119"/>
      <c r="L172" s="119"/>
      <c r="M172" s="260">
        <f>M170*$Q164</f>
        <v>323.90771320654881</v>
      </c>
      <c r="N172" s="260">
        <f>N170*$Q164</f>
        <v>728.79235471473476</v>
      </c>
      <c r="O172" s="260">
        <f>O170*$Q164</f>
        <v>728.79235471473476</v>
      </c>
      <c r="P172" s="260">
        <f>P170*$Q164</f>
        <v>2267.3539924458419</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2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25">
      <c r="C174" s="86"/>
      <c r="D174"/>
      <c r="E174" t="s">
        <v>967</v>
      </c>
      <c r="G174" t="s">
        <v>205</v>
      </c>
      <c r="J174" s="260">
        <f t="shared" ref="J174:AO174" si="97">J166+J172</f>
        <v>4334502.8994801687</v>
      </c>
      <c r="K174" s="260">
        <f t="shared" si="97"/>
        <v>0</v>
      </c>
      <c r="L174" s="260">
        <f t="shared" si="97"/>
        <v>0</v>
      </c>
      <c r="M174" s="260">
        <f t="shared" si="97"/>
        <v>109220.56964105743</v>
      </c>
      <c r="N174" s="260">
        <f t="shared" si="97"/>
        <v>251988.65195962979</v>
      </c>
      <c r="O174" s="260">
        <f t="shared" si="97"/>
        <v>249653.79008030659</v>
      </c>
      <c r="P174" s="260">
        <f t="shared" si="97"/>
        <v>760969.70623134589</v>
      </c>
      <c r="Q174" s="260">
        <f t="shared" si="97"/>
        <v>0</v>
      </c>
      <c r="R174" s="260">
        <f t="shared" si="97"/>
        <v>0</v>
      </c>
      <c r="S174" s="260">
        <f t="shared" si="97"/>
        <v>445253.27929780795</v>
      </c>
      <c r="T174" s="260">
        <f t="shared" si="97"/>
        <v>503295.96560395206</v>
      </c>
      <c r="U174" s="260">
        <f t="shared" si="97"/>
        <v>325964.09868111229</v>
      </c>
      <c r="V174" s="260">
        <f t="shared" si="97"/>
        <v>572936.42000352172</v>
      </c>
      <c r="W174" s="260">
        <f t="shared" si="97"/>
        <v>0</v>
      </c>
      <c r="X174" s="260">
        <f t="shared" si="97"/>
        <v>1946.401229943343</v>
      </c>
      <c r="Y174" s="260">
        <f t="shared" si="97"/>
        <v>10858.055321368549</v>
      </c>
      <c r="Z174" s="260">
        <f t="shared" si="97"/>
        <v>35459.403904870531</v>
      </c>
      <c r="AA174" s="260">
        <f t="shared" si="97"/>
        <v>616090.37520617037</v>
      </c>
      <c r="AB174" s="260">
        <f t="shared" si="97"/>
        <v>0</v>
      </c>
      <c r="AC174" s="260">
        <f t="shared" si="97"/>
        <v>117853.11156477884</v>
      </c>
      <c r="AD174" s="260">
        <f t="shared" si="97"/>
        <v>413153.90581201459</v>
      </c>
      <c r="AE174" s="260">
        <f t="shared" si="97"/>
        <v>360243.69925434259</v>
      </c>
      <c r="AF174" s="260">
        <f t="shared" si="97"/>
        <v>1407890.5656421795</v>
      </c>
      <c r="AG174" s="260">
        <f t="shared" si="97"/>
        <v>105037.41424637056</v>
      </c>
      <c r="AH174" s="260">
        <f t="shared" si="97"/>
        <v>0</v>
      </c>
      <c r="AI174" s="260">
        <f t="shared" si="97"/>
        <v>0</v>
      </c>
      <c r="AJ174" s="260">
        <f t="shared" si="97"/>
        <v>0</v>
      </c>
      <c r="AK174" s="260">
        <f t="shared" si="97"/>
        <v>0</v>
      </c>
      <c r="AL174" s="260">
        <f t="shared" si="97"/>
        <v>0</v>
      </c>
      <c r="AM174" s="260">
        <f t="shared" si="97"/>
        <v>0</v>
      </c>
      <c r="AN174" s="260">
        <f t="shared" si="97"/>
        <v>0</v>
      </c>
      <c r="AO174" s="260">
        <f t="shared" si="97"/>
        <v>0</v>
      </c>
    </row>
    <row r="175" spans="3:43" x14ac:dyDescent="0.2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25">
      <c r="C176" s="93" t="str">
        <f ca="1">INDEX('Version control'!$H$41:$H$64,MATCH($A$1,'Version control'!$F$41:$F$64,0),1)&amp;"-F: Allocating revenue to tariffs"</f>
        <v>Section 116-F: Allocating revenue to tariffs</v>
      </c>
      <c r="D176" s="93"/>
      <c r="E176" s="93"/>
      <c r="F176" s="93"/>
      <c r="G176" s="93"/>
      <c r="H176" s="93"/>
      <c r="I176" s="9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row>
    <row r="177" spans="3:43" x14ac:dyDescent="0.2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25">
      <c r="C178" s="86"/>
      <c r="D178" s="86" t="s">
        <v>1066</v>
      </c>
      <c r="I178" t="s">
        <v>152</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1084</v>
      </c>
    </row>
    <row r="179" spans="3:43" x14ac:dyDescent="0.25">
      <c r="C179" s="86"/>
      <c r="D179" s="86" t="s">
        <v>1067</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25">
      <c r="C180" s="86"/>
      <c r="D180" s="86" t="s">
        <v>1068</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2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25">
      <c r="C182" s="86"/>
      <c r="D182"/>
      <c r="E182" t="s">
        <v>969</v>
      </c>
      <c r="G182" t="s">
        <v>205</v>
      </c>
      <c r="J182" s="260">
        <f t="shared" ref="J182:AO182" si="98">SUMIF($J$149:$AO$149,J149,$J$174:$AO$174)</f>
        <v>4334502.8994801687</v>
      </c>
      <c r="K182" s="260">
        <f t="shared" si="98"/>
        <v>0</v>
      </c>
      <c r="L182" s="260">
        <f t="shared" si="98"/>
        <v>0</v>
      </c>
      <c r="M182" s="260">
        <f t="shared" si="98"/>
        <v>109220.56964105743</v>
      </c>
      <c r="N182" s="260">
        <f t="shared" si="98"/>
        <v>251988.65195962979</v>
      </c>
      <c r="O182" s="260">
        <f t="shared" si="98"/>
        <v>249653.79008030659</v>
      </c>
      <c r="P182" s="260">
        <f t="shared" si="98"/>
        <v>760969.70623134589</v>
      </c>
      <c r="Q182" s="260">
        <f t="shared" si="98"/>
        <v>0</v>
      </c>
      <c r="R182" s="260">
        <f t="shared" si="98"/>
        <v>0</v>
      </c>
      <c r="S182" s="260">
        <f t="shared" si="98"/>
        <v>447199.68052775128</v>
      </c>
      <c r="T182" s="260">
        <f t="shared" si="98"/>
        <v>514154.02092532063</v>
      </c>
      <c r="U182" s="260">
        <f t="shared" si="98"/>
        <v>361423.50258598279</v>
      </c>
      <c r="V182" s="260">
        <f t="shared" si="98"/>
        <v>1189026.7952096921</v>
      </c>
      <c r="W182" s="260">
        <f t="shared" si="98"/>
        <v>0</v>
      </c>
      <c r="X182" s="260">
        <f t="shared" si="98"/>
        <v>447199.68052775128</v>
      </c>
      <c r="Y182" s="260">
        <f t="shared" si="98"/>
        <v>514154.02092532063</v>
      </c>
      <c r="Z182" s="260">
        <f t="shared" si="98"/>
        <v>361423.50258598279</v>
      </c>
      <c r="AA182" s="260">
        <f t="shared" si="98"/>
        <v>1189026.7952096921</v>
      </c>
      <c r="AB182" s="260">
        <f t="shared" si="98"/>
        <v>0</v>
      </c>
      <c r="AC182" s="260">
        <f t="shared" si="98"/>
        <v>117853.11156477884</v>
      </c>
      <c r="AD182" s="260">
        <f t="shared" si="98"/>
        <v>413153.90581201459</v>
      </c>
      <c r="AE182" s="260">
        <f t="shared" si="98"/>
        <v>360243.69925434259</v>
      </c>
      <c r="AF182" s="260">
        <f t="shared" si="98"/>
        <v>1407890.5656421795</v>
      </c>
      <c r="AG182" s="260">
        <f t="shared" si="98"/>
        <v>105037.41424637056</v>
      </c>
      <c r="AH182" s="260">
        <f t="shared" si="98"/>
        <v>0</v>
      </c>
      <c r="AI182" s="260">
        <f t="shared" si="98"/>
        <v>0</v>
      </c>
      <c r="AJ182" s="260">
        <f t="shared" si="98"/>
        <v>0</v>
      </c>
      <c r="AK182" s="260">
        <f t="shared" si="98"/>
        <v>0</v>
      </c>
      <c r="AL182" s="260">
        <f t="shared" si="98"/>
        <v>0</v>
      </c>
      <c r="AM182" s="260">
        <f t="shared" si="98"/>
        <v>0</v>
      </c>
      <c r="AN182" s="260">
        <f t="shared" si="98"/>
        <v>0</v>
      </c>
      <c r="AO182" s="260">
        <f t="shared" si="98"/>
        <v>0</v>
      </c>
    </row>
    <row r="183" spans="3:43" x14ac:dyDescent="0.2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25">
      <c r="C184" s="86"/>
      <c r="D184"/>
      <c r="E184" t="s">
        <v>971</v>
      </c>
      <c r="G184" t="s">
        <v>205</v>
      </c>
      <c r="J184" s="260">
        <f>J157*J182</f>
        <v>4334502.8994801687</v>
      </c>
      <c r="K184" s="260">
        <f t="shared" ref="K184:AO184" si="99">K157*K182</f>
        <v>0</v>
      </c>
      <c r="L184" s="260">
        <f t="shared" si="99"/>
        <v>0</v>
      </c>
      <c r="M184" s="260">
        <f t="shared" si="99"/>
        <v>109220.56964105743</v>
      </c>
      <c r="N184" s="260">
        <f t="shared" si="99"/>
        <v>251988.65195962979</v>
      </c>
      <c r="O184" s="260">
        <f t="shared" si="99"/>
        <v>249653.79008030659</v>
      </c>
      <c r="P184" s="260">
        <f t="shared" si="99"/>
        <v>760969.70623134589</v>
      </c>
      <c r="Q184" s="260">
        <f t="shared" si="99"/>
        <v>0</v>
      </c>
      <c r="R184" s="260">
        <f t="shared" si="99"/>
        <v>0</v>
      </c>
      <c r="S184" s="260">
        <f t="shared" si="99"/>
        <v>446371.33565643453</v>
      </c>
      <c r="T184" s="260">
        <f t="shared" si="99"/>
        <v>508426.78764434851</v>
      </c>
      <c r="U184" s="260">
        <f t="shared" si="99"/>
        <v>343253.5982668114</v>
      </c>
      <c r="V184" s="260">
        <f t="shared" si="99"/>
        <v>750716.63405235764</v>
      </c>
      <c r="W184" s="260">
        <f t="shared" si="99"/>
        <v>0</v>
      </c>
      <c r="X184" s="260">
        <f t="shared" si="99"/>
        <v>828.34487131678998</v>
      </c>
      <c r="Y184" s="260">
        <f t="shared" si="99"/>
        <v>5727.2332809720774</v>
      </c>
      <c r="Z184" s="260">
        <f t="shared" si="99"/>
        <v>18169.904319171354</v>
      </c>
      <c r="AA184" s="260">
        <f t="shared" si="99"/>
        <v>438310.16115733446</v>
      </c>
      <c r="AB184" s="260">
        <f t="shared" si="99"/>
        <v>0</v>
      </c>
      <c r="AC184" s="260">
        <f t="shared" si="99"/>
        <v>117853.11156477884</v>
      </c>
      <c r="AD184" s="260">
        <f t="shared" si="99"/>
        <v>413153.90581201459</v>
      </c>
      <c r="AE184" s="260">
        <f t="shared" si="99"/>
        <v>360243.69925434259</v>
      </c>
      <c r="AF184" s="260">
        <f t="shared" si="99"/>
        <v>1407890.5656421795</v>
      </c>
      <c r="AG184" s="260">
        <f t="shared" si="99"/>
        <v>105037.41424637056</v>
      </c>
      <c r="AH184" s="260">
        <f t="shared" si="99"/>
        <v>0</v>
      </c>
      <c r="AI184" s="260">
        <f t="shared" si="99"/>
        <v>0</v>
      </c>
      <c r="AJ184" s="260">
        <f t="shared" si="99"/>
        <v>0</v>
      </c>
      <c r="AK184" s="260">
        <f t="shared" si="99"/>
        <v>0</v>
      </c>
      <c r="AL184" s="260">
        <f t="shared" si="99"/>
        <v>0</v>
      </c>
      <c r="AM184" s="260">
        <f t="shared" si="99"/>
        <v>0</v>
      </c>
      <c r="AN184" s="260">
        <f t="shared" si="99"/>
        <v>0</v>
      </c>
      <c r="AO184" s="260">
        <f t="shared" si="99"/>
        <v>0</v>
      </c>
    </row>
    <row r="185" spans="3:43" x14ac:dyDescent="0.25">
      <c r="C185" s="86"/>
      <c r="D185"/>
      <c r="E185"/>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row>
    <row r="186" spans="3:43" x14ac:dyDescent="0.25">
      <c r="C186" s="86"/>
      <c r="D186"/>
      <c r="E186" t="s">
        <v>410</v>
      </c>
      <c r="G186" t="s">
        <v>205</v>
      </c>
      <c r="H186" s="260">
        <f>SUM($J$184:$AO$184)</f>
        <v>10622318.313160941</v>
      </c>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row>
    <row r="187" spans="3:43" x14ac:dyDescent="0.2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25">
      <c r="C188" s="86"/>
      <c r="D188"/>
      <c r="E188" t="s">
        <v>983</v>
      </c>
      <c r="G188" t="s">
        <v>165</v>
      </c>
      <c r="J188" s="331">
        <f>J184/$H186</f>
        <v>0.40805620502915685</v>
      </c>
      <c r="K188" s="331">
        <f t="shared" ref="K188:AO188" si="100">K184/$H186</f>
        <v>0</v>
      </c>
      <c r="L188" s="331">
        <f t="shared" si="100"/>
        <v>0</v>
      </c>
      <c r="M188" s="331">
        <f t="shared" si="100"/>
        <v>1.0282178185691751E-2</v>
      </c>
      <c r="N188" s="331">
        <f t="shared" si="100"/>
        <v>2.3722566442715098E-2</v>
      </c>
      <c r="O188" s="331">
        <f t="shared" si="100"/>
        <v>2.3502759258399192E-2</v>
      </c>
      <c r="P188" s="331">
        <f t="shared" si="100"/>
        <v>7.1638759430557863E-2</v>
      </c>
      <c r="Q188" s="331">
        <f t="shared" si="100"/>
        <v>0</v>
      </c>
      <c r="R188" s="331">
        <f t="shared" si="100"/>
        <v>0</v>
      </c>
      <c r="S188" s="331">
        <f t="shared" si="100"/>
        <v>4.2022025936031791E-2</v>
      </c>
      <c r="T188" s="331">
        <f t="shared" si="100"/>
        <v>4.7864013547251082E-2</v>
      </c>
      <c r="U188" s="331">
        <f t="shared" si="100"/>
        <v>3.2314376969999455E-2</v>
      </c>
      <c r="V188" s="331">
        <f t="shared" si="100"/>
        <v>7.0673520781450089E-2</v>
      </c>
      <c r="W188" s="331">
        <f t="shared" si="100"/>
        <v>0</v>
      </c>
      <c r="X188" s="331">
        <f t="shared" si="100"/>
        <v>7.7981552321820317E-5</v>
      </c>
      <c r="Y188" s="331">
        <f t="shared" si="100"/>
        <v>5.3916980381543407E-4</v>
      </c>
      <c r="Z188" s="331">
        <f t="shared" si="100"/>
        <v>1.7105403720258537E-3</v>
      </c>
      <c r="AA188" s="331">
        <f t="shared" si="100"/>
        <v>4.1263135620241462E-2</v>
      </c>
      <c r="AB188" s="331">
        <f t="shared" si="100"/>
        <v>0</v>
      </c>
      <c r="AC188" s="331">
        <f t="shared" si="100"/>
        <v>1.1094857835201574E-2</v>
      </c>
      <c r="AD188" s="331">
        <f t="shared" si="100"/>
        <v>3.8894890327295241E-2</v>
      </c>
      <c r="AE188" s="331">
        <f t="shared" si="100"/>
        <v>3.3913848995468759E-2</v>
      </c>
      <c r="AF188" s="331">
        <f t="shared" si="100"/>
        <v>0.13254079986454725</v>
      </c>
      <c r="AG188" s="331">
        <f t="shared" si="100"/>
        <v>9.888370047829418E-3</v>
      </c>
      <c r="AH188" s="331">
        <f t="shared" si="100"/>
        <v>0</v>
      </c>
      <c r="AI188" s="331">
        <f t="shared" si="100"/>
        <v>0</v>
      </c>
      <c r="AJ188" s="331">
        <f t="shared" si="100"/>
        <v>0</v>
      </c>
      <c r="AK188" s="331">
        <f t="shared" si="100"/>
        <v>0</v>
      </c>
      <c r="AL188" s="331">
        <f t="shared" si="100"/>
        <v>0</v>
      </c>
      <c r="AM188" s="331">
        <f t="shared" si="100"/>
        <v>0</v>
      </c>
      <c r="AN188" s="331">
        <f t="shared" si="100"/>
        <v>0</v>
      </c>
      <c r="AO188" s="331">
        <f t="shared" si="100"/>
        <v>0</v>
      </c>
    </row>
    <row r="189" spans="3:43" x14ac:dyDescent="0.2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25">
      <c r="C190" s="86"/>
      <c r="D190"/>
      <c r="E190" t="s">
        <v>878</v>
      </c>
      <c r="G190" t="s">
        <v>275</v>
      </c>
      <c r="J190" s="260">
        <f>$H$84 * J188</f>
        <v>11009656.505846389</v>
      </c>
      <c r="K190" s="260">
        <f t="shared" ref="K190:AO190" si="101">$H$84 * K188</f>
        <v>0</v>
      </c>
      <c r="L190" s="260">
        <f t="shared" si="101"/>
        <v>0</v>
      </c>
      <c r="M190" s="260">
        <f t="shared" si="101"/>
        <v>277420.72920637071</v>
      </c>
      <c r="N190" s="260">
        <f t="shared" si="101"/>
        <v>640052.28875946044</v>
      </c>
      <c r="O190" s="260">
        <f t="shared" si="101"/>
        <v>634121.72927522846</v>
      </c>
      <c r="P190" s="260">
        <f t="shared" si="101"/>
        <v>1932866.4142701847</v>
      </c>
      <c r="Q190" s="260">
        <f t="shared" si="101"/>
        <v>0</v>
      </c>
      <c r="R190" s="260">
        <f t="shared" si="101"/>
        <v>0</v>
      </c>
      <c r="S190" s="260">
        <f t="shared" si="101"/>
        <v>1133785.1637433635</v>
      </c>
      <c r="T190" s="260">
        <f t="shared" si="101"/>
        <v>1291406.285829569</v>
      </c>
      <c r="U190" s="260">
        <f t="shared" si="101"/>
        <v>871865.65540574573</v>
      </c>
      <c r="V190" s="260">
        <f t="shared" si="101"/>
        <v>1906823.5656579833</v>
      </c>
      <c r="W190" s="260">
        <f t="shared" si="101"/>
        <v>0</v>
      </c>
      <c r="X190" s="260">
        <f t="shared" si="101"/>
        <v>2103.9996311159725</v>
      </c>
      <c r="Y190" s="260">
        <f t="shared" si="101"/>
        <v>14547.19782513383</v>
      </c>
      <c r="Z190" s="260">
        <f t="shared" si="101"/>
        <v>46151.637209000917</v>
      </c>
      <c r="AA190" s="260">
        <f t="shared" si="101"/>
        <v>1113309.7449174989</v>
      </c>
      <c r="AB190" s="260">
        <f t="shared" si="101"/>
        <v>0</v>
      </c>
      <c r="AC190" s="260">
        <f t="shared" si="101"/>
        <v>299347.42381393211</v>
      </c>
      <c r="AD190" s="260">
        <f t="shared" si="101"/>
        <v>1049412.7452503517</v>
      </c>
      <c r="AE190" s="260">
        <f t="shared" si="101"/>
        <v>915020.58694236865</v>
      </c>
      <c r="AF190" s="260">
        <f t="shared" si="101"/>
        <v>3576048.2539765094</v>
      </c>
      <c r="AG190" s="260">
        <f t="shared" si="101"/>
        <v>266795.49603104993</v>
      </c>
      <c r="AH190" s="260">
        <f t="shared" si="101"/>
        <v>0</v>
      </c>
      <c r="AI190" s="260">
        <f t="shared" si="101"/>
        <v>0</v>
      </c>
      <c r="AJ190" s="260">
        <f t="shared" si="101"/>
        <v>0</v>
      </c>
      <c r="AK190" s="260">
        <f t="shared" si="101"/>
        <v>0</v>
      </c>
      <c r="AL190" s="260">
        <f t="shared" si="101"/>
        <v>0</v>
      </c>
      <c r="AM190" s="260">
        <f t="shared" si="101"/>
        <v>0</v>
      </c>
      <c r="AN190" s="260">
        <f t="shared" si="101"/>
        <v>0</v>
      </c>
      <c r="AO190" s="260">
        <f t="shared" si="101"/>
        <v>0</v>
      </c>
    </row>
    <row r="191" spans="3:43" x14ac:dyDescent="0.2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25">
      <c r="C192" s="93" t="str">
        <f ca="1">INDEX('Version control'!$H$41:$H$64,MATCH($A$1,'Version control'!$F$41:$F$64,0),1)&amp;"-G: Calculating the residual fixed charge"</f>
        <v>Section 116-G: Calculating the residual fixed charge</v>
      </c>
      <c r="D192" s="93"/>
      <c r="E192" s="93"/>
      <c r="F192" s="93"/>
      <c r="G192" s="93"/>
      <c r="H192" s="93"/>
      <c r="I192" s="93"/>
      <c r="J192" s="253"/>
      <c r="K192" s="253"/>
      <c r="L192" s="253"/>
      <c r="M192" s="253"/>
      <c r="N192" s="253"/>
      <c r="O192" s="253"/>
      <c r="P192" s="253"/>
      <c r="Q192" s="253"/>
      <c r="R192" s="253"/>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253"/>
      <c r="AO192" s="253"/>
    </row>
    <row r="193" spans="3:43" x14ac:dyDescent="0.2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25">
      <c r="C194" s="86"/>
      <c r="D194" s="86" t="s">
        <v>981</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25">
      <c r="C195" s="86"/>
      <c r="D195"/>
      <c r="E195"/>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row>
    <row r="196" spans="3:43" x14ac:dyDescent="0.25">
      <c r="C196" s="86"/>
      <c r="D196"/>
      <c r="E196" t="s">
        <v>879</v>
      </c>
      <c r="G196" t="s">
        <v>1080</v>
      </c>
      <c r="I196" t="s">
        <v>152</v>
      </c>
      <c r="J196" s="260">
        <f t="shared" ref="J196:AO196" si="102">IF(J33, J190/J153, 0)</f>
        <v>7.1133373622371847</v>
      </c>
      <c r="K196" s="260">
        <f t="shared" si="102"/>
        <v>0</v>
      </c>
      <c r="L196" s="260">
        <f t="shared" si="102"/>
        <v>0</v>
      </c>
      <c r="M196" s="260">
        <f t="shared" si="102"/>
        <v>7.3822265954174853</v>
      </c>
      <c r="N196" s="260">
        <f t="shared" si="102"/>
        <v>20.074216452645111</v>
      </c>
      <c r="O196" s="260">
        <f t="shared" si="102"/>
        <v>43.179269698882564</v>
      </c>
      <c r="P196" s="260">
        <f t="shared" si="102"/>
        <v>116.32488463860126</v>
      </c>
      <c r="Q196" s="260">
        <f t="shared" si="102"/>
        <v>0</v>
      </c>
      <c r="R196" s="260">
        <f t="shared" si="102"/>
        <v>0</v>
      </c>
      <c r="S196" s="260">
        <f t="shared" si="102"/>
        <v>193.99170657297611</v>
      </c>
      <c r="T196" s="260">
        <f t="shared" si="102"/>
        <v>418.46330766115312</v>
      </c>
      <c r="U196" s="260">
        <f t="shared" si="102"/>
        <v>655.14338726293283</v>
      </c>
      <c r="V196" s="260">
        <f t="shared" si="102"/>
        <v>1706.7878350332783</v>
      </c>
      <c r="W196" s="260">
        <f t="shared" si="102"/>
        <v>0</v>
      </c>
      <c r="X196" s="260">
        <f t="shared" si="102"/>
        <v>193.99170657297611</v>
      </c>
      <c r="Y196" s="260">
        <f t="shared" si="102"/>
        <v>418.46330766115312</v>
      </c>
      <c r="Z196" s="260">
        <f t="shared" si="102"/>
        <v>655.14338726293306</v>
      </c>
      <c r="AA196" s="260">
        <f t="shared" si="102"/>
        <v>1706.7878350332778</v>
      </c>
      <c r="AB196" s="260">
        <f t="shared" si="102"/>
        <v>0</v>
      </c>
      <c r="AC196" s="260">
        <f t="shared" si="102"/>
        <v>1332.3733386627973</v>
      </c>
      <c r="AD196" s="260">
        <f t="shared" si="102"/>
        <v>3649.0636687765909</v>
      </c>
      <c r="AE196" s="260">
        <f t="shared" si="102"/>
        <v>6521.6852020762235</v>
      </c>
      <c r="AF196" s="260">
        <f t="shared" si="102"/>
        <v>17759.31280413003</v>
      </c>
      <c r="AG196" s="260">
        <f t="shared" si="102"/>
        <v>0</v>
      </c>
      <c r="AH196" s="260">
        <f t="shared" si="102"/>
        <v>0</v>
      </c>
      <c r="AI196" s="260">
        <f t="shared" si="102"/>
        <v>0</v>
      </c>
      <c r="AJ196" s="260">
        <f t="shared" si="102"/>
        <v>0</v>
      </c>
      <c r="AK196" s="260">
        <f t="shared" si="102"/>
        <v>0</v>
      </c>
      <c r="AL196" s="260">
        <f t="shared" si="102"/>
        <v>0</v>
      </c>
      <c r="AM196" s="260">
        <f t="shared" si="102"/>
        <v>0</v>
      </c>
      <c r="AN196" s="260">
        <f t="shared" si="102"/>
        <v>0</v>
      </c>
      <c r="AO196" s="260">
        <f t="shared" si="102"/>
        <v>0</v>
      </c>
      <c r="AQ196" t="s">
        <v>1093</v>
      </c>
    </row>
    <row r="197" spans="3:43" x14ac:dyDescent="0.2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25">
      <c r="C198" s="86"/>
      <c r="D198"/>
      <c r="E198" t="s">
        <v>879</v>
      </c>
      <c r="G198" t="s">
        <v>268</v>
      </c>
      <c r="I198" t="s">
        <v>152</v>
      </c>
      <c r="J198" s="260">
        <f t="shared" ref="J198:AO198" si="103">J196 * hundred / days_in_year</f>
        <v>1.9488595512978588</v>
      </c>
      <c r="K198" s="260">
        <f t="shared" si="103"/>
        <v>0</v>
      </c>
      <c r="L198" s="260">
        <f t="shared" si="103"/>
        <v>0</v>
      </c>
      <c r="M198" s="260">
        <f t="shared" si="103"/>
        <v>2.0225278343609547</v>
      </c>
      <c r="N198" s="260">
        <f t="shared" si="103"/>
        <v>5.4997853294918109</v>
      </c>
      <c r="O198" s="260">
        <f t="shared" si="103"/>
        <v>11.829936903803441</v>
      </c>
      <c r="P198" s="260">
        <f t="shared" si="103"/>
        <v>31.869831407835964</v>
      </c>
      <c r="Q198" s="260">
        <f t="shared" si="103"/>
        <v>0</v>
      </c>
      <c r="R198" s="260">
        <f t="shared" si="103"/>
        <v>0</v>
      </c>
      <c r="S198" s="260">
        <f t="shared" si="103"/>
        <v>53.148412759719484</v>
      </c>
      <c r="T198" s="260">
        <f t="shared" si="103"/>
        <v>114.64748155100087</v>
      </c>
      <c r="U198" s="260">
        <f t="shared" si="103"/>
        <v>179.49133897614598</v>
      </c>
      <c r="V198" s="260">
        <f t="shared" si="103"/>
        <v>467.61310548856943</v>
      </c>
      <c r="W198" s="260">
        <f t="shared" si="103"/>
        <v>0</v>
      </c>
      <c r="X198" s="260">
        <f t="shared" si="103"/>
        <v>53.148412759719484</v>
      </c>
      <c r="Y198" s="260">
        <f t="shared" si="103"/>
        <v>114.64748155100087</v>
      </c>
      <c r="Z198" s="260">
        <f t="shared" si="103"/>
        <v>179.49133897614604</v>
      </c>
      <c r="AA198" s="260">
        <f t="shared" si="103"/>
        <v>467.61310548856926</v>
      </c>
      <c r="AB198" s="260">
        <f t="shared" si="103"/>
        <v>0</v>
      </c>
      <c r="AC198" s="260">
        <f t="shared" si="103"/>
        <v>365.03379141446504</v>
      </c>
      <c r="AD198" s="260">
        <f t="shared" si="103"/>
        <v>999.74347089769617</v>
      </c>
      <c r="AE198" s="260">
        <f t="shared" si="103"/>
        <v>1786.763069061979</v>
      </c>
      <c r="AF198" s="260">
        <f t="shared" si="103"/>
        <v>4865.5651518164468</v>
      </c>
      <c r="AG198" s="260">
        <f t="shared" si="103"/>
        <v>0</v>
      </c>
      <c r="AH198" s="260">
        <f t="shared" si="103"/>
        <v>0</v>
      </c>
      <c r="AI198" s="260">
        <f t="shared" si="103"/>
        <v>0</v>
      </c>
      <c r="AJ198" s="260">
        <f t="shared" si="103"/>
        <v>0</v>
      </c>
      <c r="AK198" s="260">
        <f t="shared" si="103"/>
        <v>0</v>
      </c>
      <c r="AL198" s="260">
        <f t="shared" si="103"/>
        <v>0</v>
      </c>
      <c r="AM198" s="260">
        <f t="shared" si="103"/>
        <v>0</v>
      </c>
      <c r="AN198" s="260">
        <f t="shared" si="103"/>
        <v>0</v>
      </c>
      <c r="AO198" s="260">
        <f t="shared" si="103"/>
        <v>0</v>
      </c>
      <c r="AQ198" t="s">
        <v>1094</v>
      </c>
    </row>
    <row r="199" spans="3:43" x14ac:dyDescent="0.2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25">
      <c r="C200" s="93" t="str">
        <f ca="1">INDEX('Version control'!$H$41:$H$64,MATCH($A$1,'Version control'!$F$41:$F$64,0),1)&amp;"-H: Calculating the initial residual unit rate"</f>
        <v>Section 116-H: Calculating the initial residual unit rate</v>
      </c>
      <c r="D200" s="93"/>
      <c r="E200" s="93"/>
      <c r="F200" s="93"/>
      <c r="G200" s="93"/>
      <c r="H200" s="93"/>
      <c r="I200" s="93"/>
      <c r="J200" s="253"/>
      <c r="K200" s="253"/>
      <c r="L200" s="253"/>
      <c r="M200" s="253"/>
      <c r="N200" s="253"/>
      <c r="O200" s="253"/>
      <c r="P200" s="253"/>
      <c r="Q200" s="253"/>
      <c r="R200" s="253"/>
      <c r="S200" s="253"/>
      <c r="T200" s="253"/>
      <c r="U200" s="253"/>
      <c r="V200" s="253"/>
      <c r="W200" s="253"/>
      <c r="X200" s="253"/>
      <c r="Y200" s="253"/>
      <c r="Z200" s="253"/>
      <c r="AA200" s="253"/>
      <c r="AB200" s="253"/>
      <c r="AC200" s="253"/>
      <c r="AD200" s="253"/>
      <c r="AE200" s="253"/>
      <c r="AF200" s="253"/>
      <c r="AG200" s="253"/>
      <c r="AH200" s="253"/>
      <c r="AI200" s="253"/>
      <c r="AJ200" s="253"/>
      <c r="AK200" s="253"/>
      <c r="AL200" s="253"/>
      <c r="AM200" s="253"/>
      <c r="AN200" s="253"/>
      <c r="AO200" s="253"/>
    </row>
    <row r="201" spans="3:43" x14ac:dyDescent="0.2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25">
      <c r="C202" s="86"/>
      <c r="D202" s="86" t="s">
        <v>977</v>
      </c>
      <c r="E202"/>
      <c r="I202" t="s">
        <v>152</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1085</v>
      </c>
    </row>
    <row r="203" spans="3:43" x14ac:dyDescent="0.25">
      <c r="C203" s="86"/>
      <c r="D203" s="86" t="s">
        <v>978</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2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25">
      <c r="C205" s="86"/>
      <c r="D205"/>
      <c r="E205" t="s">
        <v>880</v>
      </c>
      <c r="G205" t="s">
        <v>881</v>
      </c>
      <c r="J205" s="332">
        <f t="shared" ref="J205:AO205" si="104">IF(J34, J190/J184, 0)</f>
        <v>0</v>
      </c>
      <c r="K205" s="332">
        <f t="shared" si="104"/>
        <v>0</v>
      </c>
      <c r="L205" s="332">
        <f t="shared" si="104"/>
        <v>0</v>
      </c>
      <c r="M205" s="332">
        <f t="shared" si="104"/>
        <v>0</v>
      </c>
      <c r="N205" s="332">
        <f t="shared" si="104"/>
        <v>0</v>
      </c>
      <c r="O205" s="332">
        <f t="shared" si="104"/>
        <v>0</v>
      </c>
      <c r="P205" s="332">
        <f t="shared" si="104"/>
        <v>0</v>
      </c>
      <c r="Q205" s="332">
        <f t="shared" si="104"/>
        <v>0</v>
      </c>
      <c r="R205" s="332">
        <f t="shared" si="104"/>
        <v>0</v>
      </c>
      <c r="S205" s="332">
        <f t="shared" si="104"/>
        <v>0</v>
      </c>
      <c r="T205" s="332">
        <f t="shared" si="104"/>
        <v>0</v>
      </c>
      <c r="U205" s="332">
        <f t="shared" si="104"/>
        <v>0</v>
      </c>
      <c r="V205" s="332">
        <f t="shared" si="104"/>
        <v>0</v>
      </c>
      <c r="W205" s="332">
        <f t="shared" si="104"/>
        <v>0</v>
      </c>
      <c r="X205" s="332">
        <f t="shared" si="104"/>
        <v>0</v>
      </c>
      <c r="Y205" s="332">
        <f t="shared" si="104"/>
        <v>0</v>
      </c>
      <c r="Z205" s="332">
        <f t="shared" si="104"/>
        <v>0</v>
      </c>
      <c r="AA205" s="332">
        <f t="shared" si="104"/>
        <v>0</v>
      </c>
      <c r="AB205" s="332">
        <f t="shared" si="104"/>
        <v>0</v>
      </c>
      <c r="AC205" s="332">
        <f t="shared" si="104"/>
        <v>0</v>
      </c>
      <c r="AD205" s="332">
        <f t="shared" si="104"/>
        <v>0</v>
      </c>
      <c r="AE205" s="332">
        <f t="shared" si="104"/>
        <v>0</v>
      </c>
      <c r="AF205" s="332">
        <f t="shared" si="104"/>
        <v>0</v>
      </c>
      <c r="AG205" s="332">
        <f t="shared" si="104"/>
        <v>2.5400044160004511</v>
      </c>
      <c r="AH205" s="332">
        <f t="shared" si="104"/>
        <v>0</v>
      </c>
      <c r="AI205" s="332">
        <f t="shared" si="104"/>
        <v>0</v>
      </c>
      <c r="AJ205" s="332">
        <f t="shared" si="104"/>
        <v>0</v>
      </c>
      <c r="AK205" s="332">
        <f t="shared" si="104"/>
        <v>0</v>
      </c>
      <c r="AL205" s="332">
        <f t="shared" si="104"/>
        <v>0</v>
      </c>
      <c r="AM205" s="332">
        <f t="shared" si="104"/>
        <v>0</v>
      </c>
      <c r="AN205" s="332">
        <f t="shared" si="104"/>
        <v>0</v>
      </c>
      <c r="AO205" s="332">
        <f t="shared" si="104"/>
        <v>0</v>
      </c>
    </row>
    <row r="206" spans="3:43" x14ac:dyDescent="0.25">
      <c r="C206" s="86"/>
      <c r="D206"/>
      <c r="E206"/>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row>
    <row r="207" spans="3:43" x14ac:dyDescent="0.25">
      <c r="C207" s="86"/>
      <c r="E207" t="s">
        <v>880</v>
      </c>
      <c r="G207" t="s">
        <v>267</v>
      </c>
      <c r="J207" s="332">
        <f t="shared" ref="J207:AO207" si="105">J205*hundred/thousand</f>
        <v>0</v>
      </c>
      <c r="K207" s="332">
        <f t="shared" si="105"/>
        <v>0</v>
      </c>
      <c r="L207" s="332">
        <f t="shared" si="105"/>
        <v>0</v>
      </c>
      <c r="M207" s="332">
        <f t="shared" si="105"/>
        <v>0</v>
      </c>
      <c r="N207" s="332">
        <f t="shared" si="105"/>
        <v>0</v>
      </c>
      <c r="O207" s="332">
        <f t="shared" si="105"/>
        <v>0</v>
      </c>
      <c r="P207" s="332">
        <f t="shared" si="105"/>
        <v>0</v>
      </c>
      <c r="Q207" s="332">
        <f t="shared" si="105"/>
        <v>0</v>
      </c>
      <c r="R207" s="332">
        <f t="shared" si="105"/>
        <v>0</v>
      </c>
      <c r="S207" s="332">
        <f t="shared" si="105"/>
        <v>0</v>
      </c>
      <c r="T207" s="332">
        <f t="shared" si="105"/>
        <v>0</v>
      </c>
      <c r="U207" s="332">
        <f t="shared" si="105"/>
        <v>0</v>
      </c>
      <c r="V207" s="332">
        <f t="shared" si="105"/>
        <v>0</v>
      </c>
      <c r="W207" s="332">
        <f t="shared" si="105"/>
        <v>0</v>
      </c>
      <c r="X207" s="332">
        <f t="shared" si="105"/>
        <v>0</v>
      </c>
      <c r="Y207" s="332">
        <f t="shared" si="105"/>
        <v>0</v>
      </c>
      <c r="Z207" s="332">
        <f t="shared" si="105"/>
        <v>0</v>
      </c>
      <c r="AA207" s="332">
        <f t="shared" si="105"/>
        <v>0</v>
      </c>
      <c r="AB207" s="332">
        <f t="shared" si="105"/>
        <v>0</v>
      </c>
      <c r="AC207" s="332">
        <f t="shared" si="105"/>
        <v>0</v>
      </c>
      <c r="AD207" s="332">
        <f t="shared" si="105"/>
        <v>0</v>
      </c>
      <c r="AE207" s="332">
        <f t="shared" si="105"/>
        <v>0</v>
      </c>
      <c r="AF207" s="332">
        <f t="shared" si="105"/>
        <v>0</v>
      </c>
      <c r="AG207" s="332">
        <f t="shared" si="105"/>
        <v>0.25400044160004515</v>
      </c>
      <c r="AH207" s="332">
        <f t="shared" si="105"/>
        <v>0</v>
      </c>
      <c r="AI207" s="332">
        <f t="shared" si="105"/>
        <v>0</v>
      </c>
      <c r="AJ207" s="332">
        <f t="shared" si="105"/>
        <v>0</v>
      </c>
      <c r="AK207" s="332">
        <f t="shared" si="105"/>
        <v>0</v>
      </c>
      <c r="AL207" s="332">
        <f t="shared" si="105"/>
        <v>0</v>
      </c>
      <c r="AM207" s="332">
        <f t="shared" si="105"/>
        <v>0</v>
      </c>
      <c r="AN207" s="332">
        <f t="shared" si="105"/>
        <v>0</v>
      </c>
      <c r="AO207" s="332">
        <f t="shared" si="105"/>
        <v>0</v>
      </c>
    </row>
    <row r="208" spans="3:43" x14ac:dyDescent="0.2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25">
      <c r="B209" s="85" t="s">
        <v>984</v>
      </c>
      <c r="C209" s="85"/>
      <c r="D209" s="85"/>
      <c r="E209" s="85"/>
      <c r="F209" s="85"/>
      <c r="G209" s="85"/>
      <c r="H209" s="85"/>
      <c r="I209" s="85"/>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152"/>
      <c r="AQ209" s="152"/>
    </row>
    <row r="210" spans="2:43" x14ac:dyDescent="0.2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25">
      <c r="C211" s="86" t="s">
        <v>985</v>
      </c>
      <c r="I211" t="s">
        <v>152</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1069</v>
      </c>
    </row>
    <row r="212" spans="2:43" x14ac:dyDescent="0.2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25">
      <c r="C213" s="93" t="str">
        <f ca="1">INDEX('Version control'!$H$41:$H$64,MATCH($A$1,'Version control'!$F$41:$F$64,0),1)&amp;"-I: Floor on negative residual fixed charges"</f>
        <v>Section 116-I: Floor on negative residual fixed charges</v>
      </c>
      <c r="D213" s="93"/>
      <c r="E213" s="93"/>
      <c r="F213" s="93"/>
      <c r="G213" s="93"/>
      <c r="H213" s="93"/>
      <c r="I213" s="9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c r="AN213" s="253"/>
      <c r="AO213" s="253"/>
    </row>
    <row r="214" spans="2:43" x14ac:dyDescent="0.2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25">
      <c r="C215" s="86"/>
      <c r="D215" s="86" t="s">
        <v>986</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25">
      <c r="C216" s="86"/>
      <c r="D216" s="86" t="s">
        <v>987</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25">
      <c r="C217" s="86"/>
      <c r="D217" s="86" t="s">
        <v>988</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2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25">
      <c r="C219" s="86"/>
      <c r="E219" s="86" t="s">
        <v>1090</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25">
      <c r="C220" s="86"/>
      <c r="E220" s="86" t="s">
        <v>989</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2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25">
      <c r="C222" s="86"/>
      <c r="E222" t="s">
        <v>990</v>
      </c>
      <c r="G222" t="s">
        <v>268</v>
      </c>
      <c r="J222" s="260">
        <f t="array" ref="J222">MIN(IF($J149:$AO149=J149,$J43:$AO43+$J48:$AO48))</f>
        <v>16.017618925955261</v>
      </c>
      <c r="K222" s="260">
        <f t="array" ref="K222">MIN(IF($J149:$AO149=K149,$J43:$AO43+$J48:$AO48))</f>
        <v>0</v>
      </c>
      <c r="L222" s="260">
        <f t="array" ref="L222">MIN(IF($J149:$AO149=L149,$J43:$AO43+$J48:$AO48))</f>
        <v>0</v>
      </c>
      <c r="M222" s="260">
        <f t="array" ref="M222">MIN(IF($J149:$AO149=M149,$J43:$AO43+$J48:$AO48))</f>
        <v>14.711610424126482</v>
      </c>
      <c r="N222" s="260">
        <f t="array" ref="N222">MIN(IF($J149:$AO149=N149,$J43:$AO43+$J48:$AO48))</f>
        <v>14.711610424126482</v>
      </c>
      <c r="O222" s="260">
        <f t="array" ref="O222">MIN(IF($J149:$AO149=O149,$J43:$AO43+$J48:$AO48))</f>
        <v>14.711610424126482</v>
      </c>
      <c r="P222" s="260">
        <f t="array" ref="P222">MIN(IF($J149:$AO149=P149,$J43:$AO43+$J48:$AO48))</f>
        <v>14.711610424126482</v>
      </c>
      <c r="Q222" s="260">
        <f t="array" ref="Q222">MIN(IF($J149:$AO149=Q149,$J43:$AO43+$J48:$AO48))</f>
        <v>0</v>
      </c>
      <c r="R222" s="260">
        <f t="array" ref="R222">MIN(IF($J149:$AO149=R149,$J43:$AO43+$J48:$AO48))</f>
        <v>0</v>
      </c>
      <c r="S222" s="260">
        <f t="array" ref="S222">MIN(IF($J149:$AO149=S149,$J43:$AO43+$J48:$AO48))</f>
        <v>15.245335464261153</v>
      </c>
      <c r="T222" s="260">
        <f t="array" ref="T222">MIN(IF($J149:$AO149=T149,$J43:$AO43+$J48:$AO48))</f>
        <v>15.245335464261153</v>
      </c>
      <c r="U222" s="260">
        <f t="array" ref="U222">MIN(IF($J149:$AO149=U149,$J43:$AO43+$J48:$AO48))</f>
        <v>15.245335464261153</v>
      </c>
      <c r="V222" s="260">
        <f t="array" ref="V222">MIN(IF($J149:$AO149=V149,$J43:$AO43+$J48:$AO48))</f>
        <v>15.245335464261153</v>
      </c>
      <c r="W222" s="260">
        <f t="array" ref="W222">MIN(IF($J149:$AO149=W149,$J43:$AO43+$J48:$AO48))</f>
        <v>0</v>
      </c>
      <c r="X222" s="260">
        <f t="array" ref="X222">MIN(IF($J149:$AO149=X149,$J43:$AO43+$J48:$AO48))</f>
        <v>15.245335464261153</v>
      </c>
      <c r="Y222" s="260">
        <f t="array" ref="Y222">MIN(IF($J149:$AO149=Y149,$J43:$AO43+$J48:$AO48))</f>
        <v>15.245335464261153</v>
      </c>
      <c r="Z222" s="260">
        <f t="array" ref="Z222">MIN(IF($J149:$AO149=Z149,$J43:$AO43+$J48:$AO48))</f>
        <v>15.245335464261153</v>
      </c>
      <c r="AA222" s="260">
        <f t="array" ref="AA222">MIN(IF($J149:$AO149=AA149,$J43:$AO43+$J48:$AO48))</f>
        <v>15.245335464261153</v>
      </c>
      <c r="AB222" s="260">
        <f t="array" ref="AB222">MIN(IF($J149:$AO149=AB149,$J43:$AO43+$J48:$AO48))</f>
        <v>0</v>
      </c>
      <c r="AC222" s="260">
        <f t="array" ref="AC222">MIN(IF($J149:$AO149=AC149,$J43:$AO43+$J48:$AO48))</f>
        <v>316.6556440359268</v>
      </c>
      <c r="AD222" s="260">
        <f t="array" ref="AD222">MIN(IF($J149:$AO149=AD149,$J43:$AO43+$J48:$AO48))</f>
        <v>316.6556440359268</v>
      </c>
      <c r="AE222" s="260">
        <f t="array" ref="AE222">MIN(IF($J149:$AO149=AE149,$J43:$AO43+$J48:$AO48))</f>
        <v>316.6556440359268</v>
      </c>
      <c r="AF222" s="260">
        <f t="array" ref="AF222">MIN(IF($J149:$AO149=AF149,$J43:$AO43+$J48:$AO48))</f>
        <v>316.6556440359268</v>
      </c>
      <c r="AG222" s="260">
        <f t="array" ref="AG222">MIN(IF($J149:$AO149=AG149,$J43:$AO43+$J48:$AO48))</f>
        <v>0</v>
      </c>
      <c r="AH222" s="260">
        <f t="array" ref="AH222">MIN(IF($J149:$AO149=AH149,$J43:$AO43+$J48:$AO48))</f>
        <v>0</v>
      </c>
      <c r="AI222" s="260">
        <f t="array" ref="AI222">MIN(IF($J149:$AO149=AI149,$J43:$AO43+$J48:$AO48))</f>
        <v>0</v>
      </c>
      <c r="AJ222" s="260">
        <f t="array" ref="AJ222">MIN(IF($J149:$AO149=AJ149,$J43:$AO43+$J48:$AO48))</f>
        <v>0</v>
      </c>
      <c r="AK222" s="260">
        <f t="array" ref="AK222">MIN(IF($J149:$AO149=AK149,$J43:$AO43+$J48:$AO48))</f>
        <v>0</v>
      </c>
      <c r="AL222" s="260">
        <f t="array" ref="AL222">MIN(IF($J149:$AO149=AL149,$J43:$AO43+$J48:$AO48))</f>
        <v>0</v>
      </c>
      <c r="AM222" s="260">
        <f t="array" ref="AM222">MIN(IF($J149:$AO149=AM149,$J43:$AO43+$J48:$AO48))</f>
        <v>0</v>
      </c>
      <c r="AN222" s="260">
        <f t="array" ref="AN222">MIN(IF($J149:$AO149=AN149,$J43:$AO43+$J48:$AO48))</f>
        <v>0</v>
      </c>
      <c r="AO222" s="260">
        <f t="array" ref="AO222">MIN(IF($J149:$AO149=AO149,$J43:$AO43+$J48:$AO48))</f>
        <v>0</v>
      </c>
    </row>
    <row r="223" spans="2:43" x14ac:dyDescent="0.2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25">
      <c r="C224" s="86"/>
      <c r="E224" t="s">
        <v>991</v>
      </c>
      <c r="G224" t="s">
        <v>268</v>
      </c>
      <c r="J224" s="260">
        <f>MAX(-J222,J198)</f>
        <v>1.9488595512978588</v>
      </c>
      <c r="K224" s="260">
        <f t="shared" ref="K224:AO224" si="106">MAX(-K222,K198)</f>
        <v>0</v>
      </c>
      <c r="L224" s="260">
        <f t="shared" si="106"/>
        <v>0</v>
      </c>
      <c r="M224" s="260">
        <f t="shared" si="106"/>
        <v>2.0225278343609547</v>
      </c>
      <c r="N224" s="260">
        <f t="shared" si="106"/>
        <v>5.4997853294918109</v>
      </c>
      <c r="O224" s="260">
        <f t="shared" si="106"/>
        <v>11.829936903803441</v>
      </c>
      <c r="P224" s="260">
        <f t="shared" si="106"/>
        <v>31.869831407835964</v>
      </c>
      <c r="Q224" s="260">
        <f t="shared" si="106"/>
        <v>0</v>
      </c>
      <c r="R224" s="260">
        <f t="shared" si="106"/>
        <v>0</v>
      </c>
      <c r="S224" s="260">
        <f t="shared" si="106"/>
        <v>53.148412759719484</v>
      </c>
      <c r="T224" s="260">
        <f t="shared" si="106"/>
        <v>114.64748155100087</v>
      </c>
      <c r="U224" s="260">
        <f t="shared" si="106"/>
        <v>179.49133897614598</v>
      </c>
      <c r="V224" s="260">
        <f t="shared" si="106"/>
        <v>467.61310548856943</v>
      </c>
      <c r="W224" s="260">
        <f t="shared" si="106"/>
        <v>0</v>
      </c>
      <c r="X224" s="260">
        <f t="shared" si="106"/>
        <v>53.148412759719484</v>
      </c>
      <c r="Y224" s="260">
        <f t="shared" si="106"/>
        <v>114.64748155100087</v>
      </c>
      <c r="Z224" s="260">
        <f t="shared" si="106"/>
        <v>179.49133897614604</v>
      </c>
      <c r="AA224" s="260">
        <f t="shared" si="106"/>
        <v>467.61310548856926</v>
      </c>
      <c r="AB224" s="260">
        <f t="shared" si="106"/>
        <v>0</v>
      </c>
      <c r="AC224" s="260">
        <f t="shared" si="106"/>
        <v>365.03379141446504</v>
      </c>
      <c r="AD224" s="260">
        <f t="shared" si="106"/>
        <v>999.74347089769617</v>
      </c>
      <c r="AE224" s="260">
        <f t="shared" si="106"/>
        <v>1786.763069061979</v>
      </c>
      <c r="AF224" s="260">
        <f t="shared" si="106"/>
        <v>4865.5651518164468</v>
      </c>
      <c r="AG224" s="260">
        <f t="shared" si="106"/>
        <v>0</v>
      </c>
      <c r="AH224" s="260">
        <f t="shared" si="106"/>
        <v>0</v>
      </c>
      <c r="AI224" s="260">
        <f t="shared" si="106"/>
        <v>0</v>
      </c>
      <c r="AJ224" s="260">
        <f t="shared" si="106"/>
        <v>0</v>
      </c>
      <c r="AK224" s="260">
        <f t="shared" si="106"/>
        <v>0</v>
      </c>
      <c r="AL224" s="260">
        <f t="shared" si="106"/>
        <v>0</v>
      </c>
      <c r="AM224" s="260">
        <f t="shared" si="106"/>
        <v>0</v>
      </c>
      <c r="AN224" s="260">
        <f t="shared" si="106"/>
        <v>0</v>
      </c>
      <c r="AO224" s="260">
        <f t="shared" si="106"/>
        <v>0</v>
      </c>
    </row>
    <row r="225" spans="3:43" x14ac:dyDescent="0.2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25">
      <c r="C226" s="86"/>
      <c r="E226" t="s">
        <v>992</v>
      </c>
      <c r="G226" t="s">
        <v>268</v>
      </c>
      <c r="J226" s="260">
        <f xml:space="preserve"> J198 - J224</f>
        <v>0</v>
      </c>
      <c r="K226" s="260">
        <f t="shared" ref="K226:AO226" si="107" xml:space="preserve"> K198 - K224</f>
        <v>0</v>
      </c>
      <c r="L226" s="260">
        <f t="shared" si="107"/>
        <v>0</v>
      </c>
      <c r="M226" s="260">
        <f t="shared" si="107"/>
        <v>0</v>
      </c>
      <c r="N226" s="260">
        <f t="shared" si="107"/>
        <v>0</v>
      </c>
      <c r="O226" s="260">
        <f t="shared" si="107"/>
        <v>0</v>
      </c>
      <c r="P226" s="260">
        <f t="shared" si="107"/>
        <v>0</v>
      </c>
      <c r="Q226" s="260">
        <f t="shared" si="107"/>
        <v>0</v>
      </c>
      <c r="R226" s="260">
        <f t="shared" si="107"/>
        <v>0</v>
      </c>
      <c r="S226" s="260">
        <f t="shared" si="107"/>
        <v>0</v>
      </c>
      <c r="T226" s="260">
        <f t="shared" si="107"/>
        <v>0</v>
      </c>
      <c r="U226" s="260">
        <f t="shared" si="107"/>
        <v>0</v>
      </c>
      <c r="V226" s="260">
        <f t="shared" si="107"/>
        <v>0</v>
      </c>
      <c r="W226" s="260">
        <f t="shared" si="107"/>
        <v>0</v>
      </c>
      <c r="X226" s="260">
        <f t="shared" si="107"/>
        <v>0</v>
      </c>
      <c r="Y226" s="260">
        <f t="shared" si="107"/>
        <v>0</v>
      </c>
      <c r="Z226" s="260">
        <f t="shared" si="107"/>
        <v>0</v>
      </c>
      <c r="AA226" s="260">
        <f t="shared" si="107"/>
        <v>0</v>
      </c>
      <c r="AB226" s="260">
        <f t="shared" si="107"/>
        <v>0</v>
      </c>
      <c r="AC226" s="260">
        <f t="shared" si="107"/>
        <v>0</v>
      </c>
      <c r="AD226" s="260">
        <f t="shared" si="107"/>
        <v>0</v>
      </c>
      <c r="AE226" s="260">
        <f t="shared" si="107"/>
        <v>0</v>
      </c>
      <c r="AF226" s="260">
        <f t="shared" si="107"/>
        <v>0</v>
      </c>
      <c r="AG226" s="260">
        <f t="shared" si="107"/>
        <v>0</v>
      </c>
      <c r="AH226" s="260">
        <f t="shared" si="107"/>
        <v>0</v>
      </c>
      <c r="AI226" s="260">
        <f t="shared" si="107"/>
        <v>0</v>
      </c>
      <c r="AJ226" s="260">
        <f t="shared" si="107"/>
        <v>0</v>
      </c>
      <c r="AK226" s="260">
        <f t="shared" si="107"/>
        <v>0</v>
      </c>
      <c r="AL226" s="260">
        <f t="shared" si="107"/>
        <v>0</v>
      </c>
      <c r="AM226" s="260">
        <f t="shared" si="107"/>
        <v>0</v>
      </c>
      <c r="AN226" s="260">
        <f t="shared" si="107"/>
        <v>0</v>
      </c>
      <c r="AO226" s="260">
        <f t="shared" si="107"/>
        <v>0</v>
      </c>
    </row>
    <row r="227" spans="3:43" x14ac:dyDescent="0.2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25">
      <c r="C228" s="86"/>
      <c r="E228" t="s">
        <v>993</v>
      </c>
      <c r="G228" t="s">
        <v>877</v>
      </c>
      <c r="J228" s="260">
        <f t="shared" ref="J228:AO228" si="108">J226 * days_in_year / hundred * J153</f>
        <v>0</v>
      </c>
      <c r="K228" s="260">
        <f t="shared" si="108"/>
        <v>0</v>
      </c>
      <c r="L228" s="260">
        <f t="shared" si="108"/>
        <v>0</v>
      </c>
      <c r="M228" s="260">
        <f t="shared" si="108"/>
        <v>0</v>
      </c>
      <c r="N228" s="260">
        <f t="shared" si="108"/>
        <v>0</v>
      </c>
      <c r="O228" s="260">
        <f t="shared" si="108"/>
        <v>0</v>
      </c>
      <c r="P228" s="260">
        <f t="shared" si="108"/>
        <v>0</v>
      </c>
      <c r="Q228" s="260">
        <f t="shared" si="108"/>
        <v>0</v>
      </c>
      <c r="R228" s="260">
        <f t="shared" si="108"/>
        <v>0</v>
      </c>
      <c r="S228" s="260">
        <f t="shared" si="108"/>
        <v>0</v>
      </c>
      <c r="T228" s="260">
        <f t="shared" si="108"/>
        <v>0</v>
      </c>
      <c r="U228" s="260">
        <f t="shared" si="108"/>
        <v>0</v>
      </c>
      <c r="V228" s="260">
        <f t="shared" si="108"/>
        <v>0</v>
      </c>
      <c r="W228" s="260">
        <f t="shared" si="108"/>
        <v>0</v>
      </c>
      <c r="X228" s="260">
        <f t="shared" si="108"/>
        <v>0</v>
      </c>
      <c r="Y228" s="260">
        <f t="shared" si="108"/>
        <v>0</v>
      </c>
      <c r="Z228" s="260">
        <f t="shared" si="108"/>
        <v>0</v>
      </c>
      <c r="AA228" s="260">
        <f t="shared" si="108"/>
        <v>0</v>
      </c>
      <c r="AB228" s="260">
        <f t="shared" si="108"/>
        <v>0</v>
      </c>
      <c r="AC228" s="260">
        <f t="shared" si="108"/>
        <v>0</v>
      </c>
      <c r="AD228" s="260">
        <f t="shared" si="108"/>
        <v>0</v>
      </c>
      <c r="AE228" s="260">
        <f t="shared" si="108"/>
        <v>0</v>
      </c>
      <c r="AF228" s="260">
        <f t="shared" si="108"/>
        <v>0</v>
      </c>
      <c r="AG228" s="260">
        <f t="shared" si="108"/>
        <v>0</v>
      </c>
      <c r="AH228" s="260">
        <f t="shared" si="108"/>
        <v>0</v>
      </c>
      <c r="AI228" s="260">
        <f t="shared" si="108"/>
        <v>0</v>
      </c>
      <c r="AJ228" s="260">
        <f t="shared" si="108"/>
        <v>0</v>
      </c>
      <c r="AK228" s="260">
        <f t="shared" si="108"/>
        <v>0</v>
      </c>
      <c r="AL228" s="260">
        <f t="shared" si="108"/>
        <v>0</v>
      </c>
      <c r="AM228" s="260">
        <f t="shared" si="108"/>
        <v>0</v>
      </c>
      <c r="AN228" s="260">
        <f t="shared" si="108"/>
        <v>0</v>
      </c>
      <c r="AO228" s="260">
        <f t="shared" si="108"/>
        <v>0</v>
      </c>
    </row>
    <row r="229" spans="3:43" x14ac:dyDescent="0.2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25">
      <c r="C230" s="86"/>
      <c r="D230"/>
      <c r="E230" t="s">
        <v>994</v>
      </c>
      <c r="G230" t="s">
        <v>877</v>
      </c>
      <c r="H230" s="106">
        <f>SUM(J228:AO228)</f>
        <v>0</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2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25">
      <c r="C232" s="93" t="str">
        <f ca="1">INDEX('Version control'!$H$41:$H$64,MATCH($A$1,'Version control'!$F$41:$F$64,0),1)&amp;"-J: Ranking unit rate volumes and tariffs"</f>
        <v>Section 116-J: Ranking unit rate volumes and tariffs</v>
      </c>
      <c r="D232" s="93"/>
      <c r="E232" s="93"/>
      <c r="F232" s="93"/>
      <c r="G232" s="93"/>
      <c r="H232" s="93"/>
      <c r="I232" s="9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row>
    <row r="233" spans="3:43" x14ac:dyDescent="0.2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25">
      <c r="C234" s="86"/>
      <c r="D234" s="86" t="s">
        <v>995</v>
      </c>
      <c r="I234" t="s">
        <v>152</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1069</v>
      </c>
    </row>
    <row r="235" spans="3:43" x14ac:dyDescent="0.25">
      <c r="C235" s="86"/>
      <c r="D235" s="86" t="s">
        <v>996</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2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25">
      <c r="C237" s="86"/>
      <c r="E237" s="333" t="s">
        <v>997</v>
      </c>
      <c r="G237" t="s">
        <v>859</v>
      </c>
      <c r="J237" s="62" t="b">
        <f>J228&lt;0</f>
        <v>0</v>
      </c>
      <c r="K237" s="62" t="b">
        <f t="shared" ref="K237:AO237" si="109">K228&lt;0</f>
        <v>0</v>
      </c>
      <c r="L237" s="62" t="b">
        <f t="shared" si="109"/>
        <v>0</v>
      </c>
      <c r="M237" s="62" t="b">
        <f t="shared" si="109"/>
        <v>0</v>
      </c>
      <c r="N237" s="62" t="b">
        <f t="shared" si="109"/>
        <v>0</v>
      </c>
      <c r="O237" s="62" t="b">
        <f t="shared" si="109"/>
        <v>0</v>
      </c>
      <c r="P237" s="62" t="b">
        <f t="shared" si="109"/>
        <v>0</v>
      </c>
      <c r="Q237" s="62" t="b">
        <f t="shared" si="109"/>
        <v>0</v>
      </c>
      <c r="R237" s="62" t="b">
        <f t="shared" si="109"/>
        <v>0</v>
      </c>
      <c r="S237" s="62" t="b">
        <f t="shared" si="109"/>
        <v>0</v>
      </c>
      <c r="T237" s="62" t="b">
        <f t="shared" si="109"/>
        <v>0</v>
      </c>
      <c r="U237" s="62" t="b">
        <f t="shared" si="109"/>
        <v>0</v>
      </c>
      <c r="V237" s="62" t="b">
        <f t="shared" si="109"/>
        <v>0</v>
      </c>
      <c r="W237" s="62" t="b">
        <f t="shared" si="109"/>
        <v>0</v>
      </c>
      <c r="X237" s="62" t="b">
        <f t="shared" si="109"/>
        <v>0</v>
      </c>
      <c r="Y237" s="62" t="b">
        <f t="shared" si="109"/>
        <v>0</v>
      </c>
      <c r="Z237" s="62" t="b">
        <f t="shared" si="109"/>
        <v>0</v>
      </c>
      <c r="AA237" s="62" t="b">
        <f t="shared" si="109"/>
        <v>0</v>
      </c>
      <c r="AB237" s="62" t="b">
        <f t="shared" si="109"/>
        <v>0</v>
      </c>
      <c r="AC237" s="62" t="b">
        <f t="shared" si="109"/>
        <v>0</v>
      </c>
      <c r="AD237" s="62" t="b">
        <f t="shared" si="109"/>
        <v>0</v>
      </c>
      <c r="AE237" s="62" t="b">
        <f t="shared" si="109"/>
        <v>0</v>
      </c>
      <c r="AF237" s="62" t="b">
        <f t="shared" si="109"/>
        <v>0</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2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25">
      <c r="C239" s="86"/>
      <c r="E239" s="86" t="s">
        <v>998</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25">
      <c r="C240" s="86"/>
      <c r="E240" s="86" t="s">
        <v>999</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25">
      <c r="C241" s="86"/>
      <c r="E241" s="86" t="s">
        <v>1000</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2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25">
      <c r="C243" s="86"/>
      <c r="E243" s="75" t="s">
        <v>1001</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25">
      <c r="C244" s="86"/>
      <c r="F244" s="95" t="s">
        <v>1002</v>
      </c>
      <c r="G244" s="95" t="s">
        <v>147</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25">
      <c r="C245" s="86"/>
      <c r="F245" t="s">
        <v>1003</v>
      </c>
      <c r="G245" t="s">
        <v>147</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25">
      <c r="C246" s="86"/>
      <c r="F246" s="96" t="s">
        <v>1004</v>
      </c>
      <c r="G246" s="96" t="s">
        <v>147</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2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25">
      <c r="C248" s="86"/>
      <c r="E248" s="75" t="s">
        <v>1005</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25">
      <c r="C249" s="86"/>
      <c r="F249" s="95" t="s">
        <v>1002</v>
      </c>
      <c r="G249" s="95" t="s">
        <v>267</v>
      </c>
      <c r="H249" s="95"/>
      <c r="I249" s="95"/>
      <c r="J249" s="334">
        <f t="shared" ref="J249:AO249" si="110">IF(J$237, SMALL(J$40:J$42,$H244), 0)</f>
        <v>0</v>
      </c>
      <c r="K249" s="334">
        <f t="shared" si="110"/>
        <v>0</v>
      </c>
      <c r="L249" s="334">
        <f t="shared" si="110"/>
        <v>0</v>
      </c>
      <c r="M249" s="334">
        <f t="shared" si="110"/>
        <v>0</v>
      </c>
      <c r="N249" s="334">
        <f t="shared" si="110"/>
        <v>0</v>
      </c>
      <c r="O249" s="334">
        <f t="shared" si="110"/>
        <v>0</v>
      </c>
      <c r="P249" s="334">
        <f t="shared" si="110"/>
        <v>0</v>
      </c>
      <c r="Q249" s="334">
        <f t="shared" si="110"/>
        <v>0</v>
      </c>
      <c r="R249" s="334">
        <f t="shared" si="110"/>
        <v>0</v>
      </c>
      <c r="S249" s="334">
        <f t="shared" si="110"/>
        <v>0</v>
      </c>
      <c r="T249" s="334">
        <f t="shared" si="110"/>
        <v>0</v>
      </c>
      <c r="U249" s="334">
        <f t="shared" si="110"/>
        <v>0</v>
      </c>
      <c r="V249" s="334">
        <f t="shared" si="110"/>
        <v>0</v>
      </c>
      <c r="W249" s="334">
        <f t="shared" si="110"/>
        <v>0</v>
      </c>
      <c r="X249" s="334">
        <f t="shared" si="110"/>
        <v>0</v>
      </c>
      <c r="Y249" s="334">
        <f t="shared" si="110"/>
        <v>0</v>
      </c>
      <c r="Z249" s="334">
        <f t="shared" si="110"/>
        <v>0</v>
      </c>
      <c r="AA249" s="334">
        <f t="shared" si="110"/>
        <v>0</v>
      </c>
      <c r="AB249" s="334">
        <f t="shared" si="110"/>
        <v>0</v>
      </c>
      <c r="AC249" s="334">
        <f t="shared" si="110"/>
        <v>0</v>
      </c>
      <c r="AD249" s="334">
        <f t="shared" si="110"/>
        <v>0</v>
      </c>
      <c r="AE249" s="334">
        <f t="shared" si="110"/>
        <v>0</v>
      </c>
      <c r="AF249" s="334">
        <f t="shared" si="110"/>
        <v>0</v>
      </c>
      <c r="AG249" s="334">
        <f t="shared" si="110"/>
        <v>0</v>
      </c>
      <c r="AH249" s="334">
        <f t="shared" si="110"/>
        <v>0</v>
      </c>
      <c r="AI249" s="334">
        <f t="shared" si="110"/>
        <v>0</v>
      </c>
      <c r="AJ249" s="334">
        <f t="shared" si="110"/>
        <v>0</v>
      </c>
      <c r="AK249" s="334">
        <f t="shared" si="110"/>
        <v>0</v>
      </c>
      <c r="AL249" s="334">
        <f t="shared" si="110"/>
        <v>0</v>
      </c>
      <c r="AM249" s="334">
        <f t="shared" si="110"/>
        <v>0</v>
      </c>
      <c r="AN249" s="334">
        <f t="shared" si="110"/>
        <v>0</v>
      </c>
      <c r="AO249" s="334">
        <f t="shared" si="110"/>
        <v>0</v>
      </c>
    </row>
    <row r="250" spans="3:43" x14ac:dyDescent="0.25">
      <c r="C250" s="86"/>
      <c r="F250" t="s">
        <v>1003</v>
      </c>
      <c r="G250" t="s">
        <v>267</v>
      </c>
      <c r="J250" s="332">
        <f t="shared" ref="J250:AO250" si="111">IF(J$237, SMALL(J$40:J$42,$H245), 0)</f>
        <v>0</v>
      </c>
      <c r="K250" s="332">
        <f t="shared" si="111"/>
        <v>0</v>
      </c>
      <c r="L250" s="332">
        <f t="shared" si="111"/>
        <v>0</v>
      </c>
      <c r="M250" s="332">
        <f t="shared" si="111"/>
        <v>0</v>
      </c>
      <c r="N250" s="332">
        <f t="shared" si="111"/>
        <v>0</v>
      </c>
      <c r="O250" s="332">
        <f t="shared" si="111"/>
        <v>0</v>
      </c>
      <c r="P250" s="332">
        <f t="shared" si="111"/>
        <v>0</v>
      </c>
      <c r="Q250" s="332">
        <f t="shared" si="111"/>
        <v>0</v>
      </c>
      <c r="R250" s="332">
        <f t="shared" si="111"/>
        <v>0</v>
      </c>
      <c r="S250" s="332">
        <f t="shared" si="111"/>
        <v>0</v>
      </c>
      <c r="T250" s="332">
        <f t="shared" si="111"/>
        <v>0</v>
      </c>
      <c r="U250" s="332">
        <f t="shared" si="111"/>
        <v>0</v>
      </c>
      <c r="V250" s="332">
        <f t="shared" si="111"/>
        <v>0</v>
      </c>
      <c r="W250" s="332">
        <f t="shared" si="111"/>
        <v>0</v>
      </c>
      <c r="X250" s="332">
        <f t="shared" si="111"/>
        <v>0</v>
      </c>
      <c r="Y250" s="332">
        <f t="shared" si="111"/>
        <v>0</v>
      </c>
      <c r="Z250" s="332">
        <f t="shared" si="111"/>
        <v>0</v>
      </c>
      <c r="AA250" s="332">
        <f t="shared" si="111"/>
        <v>0</v>
      </c>
      <c r="AB250" s="332">
        <f t="shared" si="111"/>
        <v>0</v>
      </c>
      <c r="AC250" s="332">
        <f t="shared" si="111"/>
        <v>0</v>
      </c>
      <c r="AD250" s="332">
        <f t="shared" si="111"/>
        <v>0</v>
      </c>
      <c r="AE250" s="332">
        <f t="shared" si="111"/>
        <v>0</v>
      </c>
      <c r="AF250" s="332">
        <f t="shared" si="111"/>
        <v>0</v>
      </c>
      <c r="AG250" s="332">
        <f t="shared" si="111"/>
        <v>0</v>
      </c>
      <c r="AH250" s="332">
        <f t="shared" si="111"/>
        <v>0</v>
      </c>
      <c r="AI250" s="332">
        <f t="shared" si="111"/>
        <v>0</v>
      </c>
      <c r="AJ250" s="332">
        <f t="shared" si="111"/>
        <v>0</v>
      </c>
      <c r="AK250" s="332">
        <f t="shared" si="111"/>
        <v>0</v>
      </c>
      <c r="AL250" s="332">
        <f t="shared" si="111"/>
        <v>0</v>
      </c>
      <c r="AM250" s="332">
        <f t="shared" si="111"/>
        <v>0</v>
      </c>
      <c r="AN250" s="332">
        <f t="shared" si="111"/>
        <v>0</v>
      </c>
      <c r="AO250" s="332">
        <f t="shared" si="111"/>
        <v>0</v>
      </c>
    </row>
    <row r="251" spans="3:43" x14ac:dyDescent="0.25">
      <c r="C251" s="86"/>
      <c r="F251" s="96" t="s">
        <v>1004</v>
      </c>
      <c r="G251" s="96" t="s">
        <v>267</v>
      </c>
      <c r="H251" s="96"/>
      <c r="I251" s="96"/>
      <c r="J251" s="335">
        <f t="shared" ref="J251:AO251" si="112">IF(J$237, SMALL(J$40:J$42,$H246), 0)</f>
        <v>0</v>
      </c>
      <c r="K251" s="335">
        <f t="shared" si="112"/>
        <v>0</v>
      </c>
      <c r="L251" s="335">
        <f t="shared" si="112"/>
        <v>0</v>
      </c>
      <c r="M251" s="335">
        <f t="shared" si="112"/>
        <v>0</v>
      </c>
      <c r="N251" s="335">
        <f t="shared" si="112"/>
        <v>0</v>
      </c>
      <c r="O251" s="335">
        <f t="shared" si="112"/>
        <v>0</v>
      </c>
      <c r="P251" s="335">
        <f t="shared" si="112"/>
        <v>0</v>
      </c>
      <c r="Q251" s="335">
        <f t="shared" si="112"/>
        <v>0</v>
      </c>
      <c r="R251" s="335">
        <f t="shared" si="112"/>
        <v>0</v>
      </c>
      <c r="S251" s="335">
        <f t="shared" si="112"/>
        <v>0</v>
      </c>
      <c r="T251" s="335">
        <f t="shared" si="112"/>
        <v>0</v>
      </c>
      <c r="U251" s="335">
        <f t="shared" si="112"/>
        <v>0</v>
      </c>
      <c r="V251" s="335">
        <f t="shared" si="112"/>
        <v>0</v>
      </c>
      <c r="W251" s="335">
        <f t="shared" si="112"/>
        <v>0</v>
      </c>
      <c r="X251" s="335">
        <f t="shared" si="112"/>
        <v>0</v>
      </c>
      <c r="Y251" s="335">
        <f t="shared" si="112"/>
        <v>0</v>
      </c>
      <c r="Z251" s="335">
        <f t="shared" si="112"/>
        <v>0</v>
      </c>
      <c r="AA251" s="335">
        <f t="shared" si="112"/>
        <v>0</v>
      </c>
      <c r="AB251" s="335">
        <f t="shared" si="112"/>
        <v>0</v>
      </c>
      <c r="AC251" s="335">
        <f t="shared" si="112"/>
        <v>0</v>
      </c>
      <c r="AD251" s="335">
        <f t="shared" si="112"/>
        <v>0</v>
      </c>
      <c r="AE251" s="335">
        <f t="shared" si="112"/>
        <v>0</v>
      </c>
      <c r="AF251" s="335">
        <f t="shared" si="112"/>
        <v>0</v>
      </c>
      <c r="AG251" s="335">
        <f t="shared" si="112"/>
        <v>0</v>
      </c>
      <c r="AH251" s="335">
        <f t="shared" si="112"/>
        <v>0</v>
      </c>
      <c r="AI251" s="335">
        <f t="shared" si="112"/>
        <v>0</v>
      </c>
      <c r="AJ251" s="335">
        <f t="shared" si="112"/>
        <v>0</v>
      </c>
      <c r="AK251" s="335">
        <f t="shared" si="112"/>
        <v>0</v>
      </c>
      <c r="AL251" s="335">
        <f t="shared" si="112"/>
        <v>0</v>
      </c>
      <c r="AM251" s="335">
        <f t="shared" si="112"/>
        <v>0</v>
      </c>
      <c r="AN251" s="335">
        <f t="shared" si="112"/>
        <v>0</v>
      </c>
      <c r="AO251" s="335">
        <f t="shared" si="112"/>
        <v>0</v>
      </c>
    </row>
    <row r="252" spans="3:43" x14ac:dyDescent="0.2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25">
      <c r="C253" s="86"/>
      <c r="E253" s="2" t="s">
        <v>1006</v>
      </c>
      <c r="I253" t="s">
        <v>152</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1095</v>
      </c>
    </row>
    <row r="254" spans="3:43" x14ac:dyDescent="0.25">
      <c r="C254" s="86"/>
      <c r="E254" s="2" t="s">
        <v>1007</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2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25">
      <c r="C256" s="86"/>
      <c r="E256" s="75" t="s">
        <v>1008</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25">
      <c r="C257" s="86"/>
      <c r="F257" s="95" t="s">
        <v>1002</v>
      </c>
      <c r="G257" s="95" t="s">
        <v>267</v>
      </c>
      <c r="H257" s="95"/>
      <c r="I257" s="95"/>
      <c r="J257" s="334">
        <f t="array" ref="J257">MIN(IF($J$149:$AO$149=J$149,$J249:$AO249))</f>
        <v>0</v>
      </c>
      <c r="K257" s="334">
        <f t="array" ref="K257">MIN(IF($J$149:$AO$149=K$149,$J249:$AO249))</f>
        <v>0</v>
      </c>
      <c r="L257" s="334">
        <f t="array" ref="L257">MIN(IF($J$149:$AO$149=L$149,$J249:$AO249))</f>
        <v>0</v>
      </c>
      <c r="M257" s="334">
        <f t="array" ref="M257">MIN(IF($J$149:$AO$149=M$149,$J249:$AO249))</f>
        <v>0</v>
      </c>
      <c r="N257" s="334">
        <f t="array" ref="N257">MIN(IF($J$149:$AO$149=N$149,$J249:$AO249))</f>
        <v>0</v>
      </c>
      <c r="O257" s="334">
        <f t="array" ref="O257">MIN(IF($J$149:$AO$149=O$149,$J249:$AO249))</f>
        <v>0</v>
      </c>
      <c r="P257" s="334">
        <f t="array" ref="P257">MIN(IF($J$149:$AO$149=P$149,$J249:$AO249))</f>
        <v>0</v>
      </c>
      <c r="Q257" s="334">
        <f t="array" ref="Q257">MIN(IF($J$149:$AO$149=Q$149,$J249:$AO249))</f>
        <v>0</v>
      </c>
      <c r="R257" s="334">
        <f t="array" ref="R257">MIN(IF($J$149:$AO$149=R$149,$J249:$AO249))</f>
        <v>0</v>
      </c>
      <c r="S257" s="334">
        <f t="array" ref="S257">MIN(IF($J$149:$AO$149=S$149,$J249:$AO249))</f>
        <v>0</v>
      </c>
      <c r="T257" s="334">
        <f t="array" ref="T257">MIN(IF($J$149:$AO$149=T$149,$J249:$AO249))</f>
        <v>0</v>
      </c>
      <c r="U257" s="334">
        <f t="array" ref="U257">MIN(IF($J$149:$AO$149=U$149,$J249:$AO249))</f>
        <v>0</v>
      </c>
      <c r="V257" s="334">
        <f t="array" ref="V257">MIN(IF($J$149:$AO$149=V$149,$J249:$AO249))</f>
        <v>0</v>
      </c>
      <c r="W257" s="334">
        <f t="array" ref="W257">MIN(IF($J$149:$AO$149=W$149,$J249:$AO249))</f>
        <v>0</v>
      </c>
      <c r="X257" s="334">
        <f t="array" ref="X257">MIN(IF($J$149:$AO$149=X$149,$J249:$AO249))</f>
        <v>0</v>
      </c>
      <c r="Y257" s="334">
        <f t="array" ref="Y257">MIN(IF($J$149:$AO$149=Y$149,$J249:$AO249))</f>
        <v>0</v>
      </c>
      <c r="Z257" s="334">
        <f t="array" ref="Z257">MIN(IF($J$149:$AO$149=Z$149,$J249:$AO249))</f>
        <v>0</v>
      </c>
      <c r="AA257" s="334">
        <f t="array" ref="AA257">MIN(IF($J$149:$AO$149=AA$149,$J249:$AO249))</f>
        <v>0</v>
      </c>
      <c r="AB257" s="334">
        <f t="array" ref="AB257">MIN(IF($J$149:$AO$149=AB$149,$J249:$AO249))</f>
        <v>0</v>
      </c>
      <c r="AC257" s="334">
        <f t="array" ref="AC257">MIN(IF($J$149:$AO$149=AC$149,$J249:$AO249))</f>
        <v>0</v>
      </c>
      <c r="AD257" s="334">
        <f t="array" ref="AD257">MIN(IF($J$149:$AO$149=AD$149,$J249:$AO249))</f>
        <v>0</v>
      </c>
      <c r="AE257" s="334">
        <f t="array" ref="AE257">MIN(IF($J$149:$AO$149=AE$149,$J249:$AO249))</f>
        <v>0</v>
      </c>
      <c r="AF257" s="334">
        <f t="array" ref="AF257">MIN(IF($J$149:$AO$149=AF$149,$J249:$AO249))</f>
        <v>0</v>
      </c>
      <c r="AG257" s="334">
        <f t="array" ref="AG257">MIN(IF($J$149:$AO$149=AG$149,$J249:$AO249))</f>
        <v>0</v>
      </c>
      <c r="AH257" s="334">
        <f t="array" ref="AH257">MIN(IF($J$149:$AO$149=AH$149,$J249:$AO249))</f>
        <v>0</v>
      </c>
      <c r="AI257" s="334">
        <f t="array" ref="AI257">MIN(IF($J$149:$AO$149=AI$149,$J249:$AO249))</f>
        <v>0</v>
      </c>
      <c r="AJ257" s="334">
        <f t="array" ref="AJ257">MIN(IF($J$149:$AO$149=AJ$149,$J249:$AO249))</f>
        <v>0</v>
      </c>
      <c r="AK257" s="334">
        <f t="array" ref="AK257">MIN(IF($J$149:$AO$149=AK$149,$J249:$AO249))</f>
        <v>0</v>
      </c>
      <c r="AL257" s="334">
        <f t="array" ref="AL257">MIN(IF($J$149:$AO$149=AL$149,$J249:$AO249))</f>
        <v>0</v>
      </c>
      <c r="AM257" s="334">
        <f t="array" ref="AM257">MIN(IF($J$149:$AO$149=AM$149,$J249:$AO249))</f>
        <v>0</v>
      </c>
      <c r="AN257" s="334">
        <f t="array" ref="AN257">MIN(IF($J$149:$AO$149=AN$149,$J249:$AO249))</f>
        <v>0</v>
      </c>
      <c r="AO257" s="334">
        <f t="array" ref="AO257">MIN(IF($J$149:$AO$149=AO$149,$J249:$AO249))</f>
        <v>0</v>
      </c>
    </row>
    <row r="258" spans="3:41" x14ac:dyDescent="0.25">
      <c r="C258" s="86"/>
      <c r="F258" t="s">
        <v>1003</v>
      </c>
      <c r="G258" t="s">
        <v>267</v>
      </c>
      <c r="J258" s="332">
        <f t="array" ref="J258">MIN(IF($J$149:$AO$149=J$149,$J250:$AO250))</f>
        <v>0</v>
      </c>
      <c r="K258" s="332">
        <f t="array" ref="K258">MIN(IF($J$149:$AO$149=K$149,$J250:$AO250))</f>
        <v>0</v>
      </c>
      <c r="L258" s="332">
        <f t="array" ref="L258">MIN(IF($J$149:$AO$149=L$149,$J250:$AO250))</f>
        <v>0</v>
      </c>
      <c r="M258" s="332">
        <f t="array" ref="M258">MIN(IF($J$149:$AO$149=M$149,$J250:$AO250))</f>
        <v>0</v>
      </c>
      <c r="N258" s="332">
        <f t="array" ref="N258">MIN(IF($J$149:$AO$149=N$149,$J250:$AO250))</f>
        <v>0</v>
      </c>
      <c r="O258" s="332">
        <f t="array" ref="O258">MIN(IF($J$149:$AO$149=O$149,$J250:$AO250))</f>
        <v>0</v>
      </c>
      <c r="P258" s="332">
        <f t="array" ref="P258">MIN(IF($J$149:$AO$149=P$149,$J250:$AO250))</f>
        <v>0</v>
      </c>
      <c r="Q258" s="332">
        <f t="array" ref="Q258">MIN(IF($J$149:$AO$149=Q$149,$J250:$AO250))</f>
        <v>0</v>
      </c>
      <c r="R258" s="332">
        <f t="array" ref="R258">MIN(IF($J$149:$AO$149=R$149,$J250:$AO250))</f>
        <v>0</v>
      </c>
      <c r="S258" s="332">
        <f t="array" ref="S258">MIN(IF($J$149:$AO$149=S$149,$J250:$AO250))</f>
        <v>0</v>
      </c>
      <c r="T258" s="332">
        <f t="array" ref="T258">MIN(IF($J$149:$AO$149=T$149,$J250:$AO250))</f>
        <v>0</v>
      </c>
      <c r="U258" s="332">
        <f t="array" ref="U258">MIN(IF($J$149:$AO$149=U$149,$J250:$AO250))</f>
        <v>0</v>
      </c>
      <c r="V258" s="332">
        <f t="array" ref="V258">MIN(IF($J$149:$AO$149=V$149,$J250:$AO250))</f>
        <v>0</v>
      </c>
      <c r="W258" s="332">
        <f t="array" ref="W258">MIN(IF($J$149:$AO$149=W$149,$J250:$AO250))</f>
        <v>0</v>
      </c>
      <c r="X258" s="332">
        <f t="array" ref="X258">MIN(IF($J$149:$AO$149=X$149,$J250:$AO250))</f>
        <v>0</v>
      </c>
      <c r="Y258" s="332">
        <f t="array" ref="Y258">MIN(IF($J$149:$AO$149=Y$149,$J250:$AO250))</f>
        <v>0</v>
      </c>
      <c r="Z258" s="332">
        <f t="array" ref="Z258">MIN(IF($J$149:$AO$149=Z$149,$J250:$AO250))</f>
        <v>0</v>
      </c>
      <c r="AA258" s="332">
        <f t="array" ref="AA258">MIN(IF($J$149:$AO$149=AA$149,$J250:$AO250))</f>
        <v>0</v>
      </c>
      <c r="AB258" s="332">
        <f t="array" ref="AB258">MIN(IF($J$149:$AO$149=AB$149,$J250:$AO250))</f>
        <v>0</v>
      </c>
      <c r="AC258" s="332">
        <f t="array" ref="AC258">MIN(IF($J$149:$AO$149=AC$149,$J250:$AO250))</f>
        <v>0</v>
      </c>
      <c r="AD258" s="332">
        <f t="array" ref="AD258">MIN(IF($J$149:$AO$149=AD$149,$J250:$AO250))</f>
        <v>0</v>
      </c>
      <c r="AE258" s="332">
        <f t="array" ref="AE258">MIN(IF($J$149:$AO$149=AE$149,$J250:$AO250))</f>
        <v>0</v>
      </c>
      <c r="AF258" s="332">
        <f t="array" ref="AF258">MIN(IF($J$149:$AO$149=AF$149,$J250:$AO250))</f>
        <v>0</v>
      </c>
      <c r="AG258" s="332">
        <f t="array" ref="AG258">MIN(IF($J$149:$AO$149=AG$149,$J250:$AO250))</f>
        <v>0</v>
      </c>
      <c r="AH258" s="332">
        <f t="array" ref="AH258">MIN(IF($J$149:$AO$149=AH$149,$J250:$AO250))</f>
        <v>0</v>
      </c>
      <c r="AI258" s="332">
        <f t="array" ref="AI258">MIN(IF($J$149:$AO$149=AI$149,$J250:$AO250))</f>
        <v>0</v>
      </c>
      <c r="AJ258" s="332">
        <f t="array" ref="AJ258">MIN(IF($J$149:$AO$149=AJ$149,$J250:$AO250))</f>
        <v>0</v>
      </c>
      <c r="AK258" s="332">
        <f t="array" ref="AK258">MIN(IF($J$149:$AO$149=AK$149,$J250:$AO250))</f>
        <v>0</v>
      </c>
      <c r="AL258" s="332">
        <f t="array" ref="AL258">MIN(IF($J$149:$AO$149=AL$149,$J250:$AO250))</f>
        <v>0</v>
      </c>
      <c r="AM258" s="332">
        <f t="array" ref="AM258">MIN(IF($J$149:$AO$149=AM$149,$J250:$AO250))</f>
        <v>0</v>
      </c>
      <c r="AN258" s="332">
        <f t="array" ref="AN258">MIN(IF($J$149:$AO$149=AN$149,$J250:$AO250))</f>
        <v>0</v>
      </c>
      <c r="AO258" s="332">
        <f t="array" ref="AO258">MIN(IF($J$149:$AO$149=AO$149,$J250:$AO250))</f>
        <v>0</v>
      </c>
    </row>
    <row r="259" spans="3:41" x14ac:dyDescent="0.25">
      <c r="C259" s="86"/>
      <c r="F259" s="96" t="s">
        <v>1004</v>
      </c>
      <c r="G259" s="96" t="s">
        <v>267</v>
      </c>
      <c r="H259" s="96"/>
      <c r="I259" s="96"/>
      <c r="J259" s="335">
        <f t="array" ref="J259">MIN(IF($J$149:$AO$149=J$149,$J251:$AO251))</f>
        <v>0</v>
      </c>
      <c r="K259" s="335">
        <f t="array" ref="K259">MIN(IF($J$149:$AO$149=K$149,$J251:$AO251))</f>
        <v>0</v>
      </c>
      <c r="L259" s="335">
        <f t="array" ref="L259">MIN(IF($J$149:$AO$149=L$149,$J251:$AO251))</f>
        <v>0</v>
      </c>
      <c r="M259" s="335">
        <f t="array" ref="M259">MIN(IF($J$149:$AO$149=M$149,$J251:$AO251))</f>
        <v>0</v>
      </c>
      <c r="N259" s="335">
        <f t="array" ref="N259">MIN(IF($J$149:$AO$149=N$149,$J251:$AO251))</f>
        <v>0</v>
      </c>
      <c r="O259" s="335">
        <f t="array" ref="O259">MIN(IF($J$149:$AO$149=O$149,$J251:$AO251))</f>
        <v>0</v>
      </c>
      <c r="P259" s="335">
        <f t="array" ref="P259">MIN(IF($J$149:$AO$149=P$149,$J251:$AO251))</f>
        <v>0</v>
      </c>
      <c r="Q259" s="335">
        <f t="array" ref="Q259">MIN(IF($J$149:$AO$149=Q$149,$J251:$AO251))</f>
        <v>0</v>
      </c>
      <c r="R259" s="335">
        <f t="array" ref="R259">MIN(IF($J$149:$AO$149=R$149,$J251:$AO251))</f>
        <v>0</v>
      </c>
      <c r="S259" s="335">
        <f t="array" ref="S259">MIN(IF($J$149:$AO$149=S$149,$J251:$AO251))</f>
        <v>0</v>
      </c>
      <c r="T259" s="335">
        <f t="array" ref="T259">MIN(IF($J$149:$AO$149=T$149,$J251:$AO251))</f>
        <v>0</v>
      </c>
      <c r="U259" s="335">
        <f t="array" ref="U259">MIN(IF($J$149:$AO$149=U$149,$J251:$AO251))</f>
        <v>0</v>
      </c>
      <c r="V259" s="335">
        <f t="array" ref="V259">MIN(IF($J$149:$AO$149=V$149,$J251:$AO251))</f>
        <v>0</v>
      </c>
      <c r="W259" s="335">
        <f t="array" ref="W259">MIN(IF($J$149:$AO$149=W$149,$J251:$AO251))</f>
        <v>0</v>
      </c>
      <c r="X259" s="335">
        <f t="array" ref="X259">MIN(IF($J$149:$AO$149=X$149,$J251:$AO251))</f>
        <v>0</v>
      </c>
      <c r="Y259" s="335">
        <f t="array" ref="Y259">MIN(IF($J$149:$AO$149=Y$149,$J251:$AO251))</f>
        <v>0</v>
      </c>
      <c r="Z259" s="335">
        <f t="array" ref="Z259">MIN(IF($J$149:$AO$149=Z$149,$J251:$AO251))</f>
        <v>0</v>
      </c>
      <c r="AA259" s="335">
        <f t="array" ref="AA259">MIN(IF($J$149:$AO$149=AA$149,$J251:$AO251))</f>
        <v>0</v>
      </c>
      <c r="AB259" s="335">
        <f t="array" ref="AB259">MIN(IF($J$149:$AO$149=AB$149,$J251:$AO251))</f>
        <v>0</v>
      </c>
      <c r="AC259" s="335">
        <f t="array" ref="AC259">MIN(IF($J$149:$AO$149=AC$149,$J251:$AO251))</f>
        <v>0</v>
      </c>
      <c r="AD259" s="335">
        <f t="array" ref="AD259">MIN(IF($J$149:$AO$149=AD$149,$J251:$AO251))</f>
        <v>0</v>
      </c>
      <c r="AE259" s="335">
        <f t="array" ref="AE259">MIN(IF($J$149:$AO$149=AE$149,$J251:$AO251))</f>
        <v>0</v>
      </c>
      <c r="AF259" s="335">
        <f t="array" ref="AF259">MIN(IF($J$149:$AO$149=AF$149,$J251:$AO251))</f>
        <v>0</v>
      </c>
      <c r="AG259" s="335">
        <f t="array" ref="AG259">MIN(IF($J$149:$AO$149=AG$149,$J251:$AO251))</f>
        <v>0</v>
      </c>
      <c r="AH259" s="335">
        <f t="array" ref="AH259">MIN(IF($J$149:$AO$149=AH$149,$J251:$AO251))</f>
        <v>0</v>
      </c>
      <c r="AI259" s="335">
        <f t="array" ref="AI259">MIN(IF($J$149:$AO$149=AI$149,$J251:$AO251))</f>
        <v>0</v>
      </c>
      <c r="AJ259" s="335">
        <f t="array" ref="AJ259">MIN(IF($J$149:$AO$149=AJ$149,$J251:$AO251))</f>
        <v>0</v>
      </c>
      <c r="AK259" s="335">
        <f t="array" ref="AK259">MIN(IF($J$149:$AO$149=AK$149,$J251:$AO251))</f>
        <v>0</v>
      </c>
      <c r="AL259" s="335">
        <f t="array" ref="AL259">MIN(IF($J$149:$AO$149=AL$149,$J251:$AO251))</f>
        <v>0</v>
      </c>
      <c r="AM259" s="335">
        <f t="array" ref="AM259">MIN(IF($J$149:$AO$149=AM$149,$J251:$AO251))</f>
        <v>0</v>
      </c>
      <c r="AN259" s="335">
        <f t="array" ref="AN259">MIN(IF($J$149:$AO$149=AN$149,$J251:$AO251))</f>
        <v>0</v>
      </c>
      <c r="AO259" s="335">
        <f t="array" ref="AO259">MIN(IF($J$149:$AO$149=AO$149,$J251:$AO251))</f>
        <v>0</v>
      </c>
    </row>
    <row r="260" spans="3:41" x14ac:dyDescent="0.2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25">
      <c r="C261" s="86"/>
      <c r="E261" s="75" t="s">
        <v>1009</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25">
      <c r="C262" s="86"/>
      <c r="F262" s="95" t="s">
        <v>1002</v>
      </c>
      <c r="G262" s="95" t="s">
        <v>267</v>
      </c>
      <c r="H262" s="95"/>
      <c r="I262" s="95"/>
      <c r="J262" s="334">
        <f xml:space="preserve"> - J257</f>
        <v>0</v>
      </c>
      <c r="K262" s="334">
        <f t="shared" ref="K262:AO262" si="113" xml:space="preserve"> - K257</f>
        <v>0</v>
      </c>
      <c r="L262" s="334">
        <f t="shared" si="113"/>
        <v>0</v>
      </c>
      <c r="M262" s="334">
        <f t="shared" si="113"/>
        <v>0</v>
      </c>
      <c r="N262" s="334">
        <f t="shared" si="113"/>
        <v>0</v>
      </c>
      <c r="O262" s="334">
        <f t="shared" si="113"/>
        <v>0</v>
      </c>
      <c r="P262" s="334">
        <f t="shared" si="113"/>
        <v>0</v>
      </c>
      <c r="Q262" s="334">
        <f t="shared" si="113"/>
        <v>0</v>
      </c>
      <c r="R262" s="334">
        <f t="shared" si="113"/>
        <v>0</v>
      </c>
      <c r="S262" s="334">
        <f t="shared" si="113"/>
        <v>0</v>
      </c>
      <c r="T262" s="334">
        <f t="shared" si="113"/>
        <v>0</v>
      </c>
      <c r="U262" s="334">
        <f t="shared" si="113"/>
        <v>0</v>
      </c>
      <c r="V262" s="334">
        <f t="shared" si="113"/>
        <v>0</v>
      </c>
      <c r="W262" s="334">
        <f t="shared" si="113"/>
        <v>0</v>
      </c>
      <c r="X262" s="334">
        <f t="shared" si="113"/>
        <v>0</v>
      </c>
      <c r="Y262" s="334">
        <f t="shared" si="113"/>
        <v>0</v>
      </c>
      <c r="Z262" s="334">
        <f t="shared" si="113"/>
        <v>0</v>
      </c>
      <c r="AA262" s="334">
        <f t="shared" si="113"/>
        <v>0</v>
      </c>
      <c r="AB262" s="334">
        <f t="shared" si="113"/>
        <v>0</v>
      </c>
      <c r="AC262" s="334">
        <f t="shared" si="113"/>
        <v>0</v>
      </c>
      <c r="AD262" s="334">
        <f t="shared" si="113"/>
        <v>0</v>
      </c>
      <c r="AE262" s="334">
        <f t="shared" si="113"/>
        <v>0</v>
      </c>
      <c r="AF262" s="334">
        <f t="shared" si="113"/>
        <v>0</v>
      </c>
      <c r="AG262" s="334">
        <f t="shared" si="113"/>
        <v>0</v>
      </c>
      <c r="AH262" s="334">
        <f t="shared" si="113"/>
        <v>0</v>
      </c>
      <c r="AI262" s="334">
        <f t="shared" si="113"/>
        <v>0</v>
      </c>
      <c r="AJ262" s="334">
        <f t="shared" si="113"/>
        <v>0</v>
      </c>
      <c r="AK262" s="334">
        <f t="shared" si="113"/>
        <v>0</v>
      </c>
      <c r="AL262" s="334">
        <f t="shared" si="113"/>
        <v>0</v>
      </c>
      <c r="AM262" s="334">
        <f t="shared" si="113"/>
        <v>0</v>
      </c>
      <c r="AN262" s="334">
        <f t="shared" si="113"/>
        <v>0</v>
      </c>
      <c r="AO262" s="334">
        <f t="shared" si="113"/>
        <v>0</v>
      </c>
    </row>
    <row r="263" spans="3:41" x14ac:dyDescent="0.25">
      <c r="C263" s="86"/>
      <c r="F263" t="s">
        <v>1003</v>
      </c>
      <c r="G263" t="s">
        <v>267</v>
      </c>
      <c r="J263" s="332">
        <f t="shared" ref="J263:AO264" si="114" xml:space="preserve"> - J258</f>
        <v>0</v>
      </c>
      <c r="K263" s="332">
        <f t="shared" si="114"/>
        <v>0</v>
      </c>
      <c r="L263" s="332">
        <f t="shared" si="114"/>
        <v>0</v>
      </c>
      <c r="M263" s="332">
        <f t="shared" si="114"/>
        <v>0</v>
      </c>
      <c r="N263" s="332">
        <f t="shared" si="114"/>
        <v>0</v>
      </c>
      <c r="O263" s="332">
        <f t="shared" si="114"/>
        <v>0</v>
      </c>
      <c r="P263" s="332">
        <f t="shared" si="114"/>
        <v>0</v>
      </c>
      <c r="Q263" s="332">
        <f t="shared" si="114"/>
        <v>0</v>
      </c>
      <c r="R263" s="332">
        <f t="shared" si="114"/>
        <v>0</v>
      </c>
      <c r="S263" s="332">
        <f t="shared" si="114"/>
        <v>0</v>
      </c>
      <c r="T263" s="332">
        <f t="shared" si="114"/>
        <v>0</v>
      </c>
      <c r="U263" s="332">
        <f t="shared" si="114"/>
        <v>0</v>
      </c>
      <c r="V263" s="332">
        <f t="shared" si="114"/>
        <v>0</v>
      </c>
      <c r="W263" s="332">
        <f t="shared" si="114"/>
        <v>0</v>
      </c>
      <c r="X263" s="332">
        <f t="shared" si="114"/>
        <v>0</v>
      </c>
      <c r="Y263" s="332">
        <f t="shared" si="114"/>
        <v>0</v>
      </c>
      <c r="Z263" s="332">
        <f t="shared" si="114"/>
        <v>0</v>
      </c>
      <c r="AA263" s="332">
        <f t="shared" si="114"/>
        <v>0</v>
      </c>
      <c r="AB263" s="332">
        <f t="shared" si="114"/>
        <v>0</v>
      </c>
      <c r="AC263" s="332">
        <f t="shared" si="114"/>
        <v>0</v>
      </c>
      <c r="AD263" s="332">
        <f t="shared" si="114"/>
        <v>0</v>
      </c>
      <c r="AE263" s="332">
        <f t="shared" si="114"/>
        <v>0</v>
      </c>
      <c r="AF263" s="332">
        <f t="shared" si="114"/>
        <v>0</v>
      </c>
      <c r="AG263" s="332">
        <f t="shared" si="114"/>
        <v>0</v>
      </c>
      <c r="AH263" s="332">
        <f t="shared" si="114"/>
        <v>0</v>
      </c>
      <c r="AI263" s="332">
        <f t="shared" si="114"/>
        <v>0</v>
      </c>
      <c r="AJ263" s="332">
        <f t="shared" si="114"/>
        <v>0</v>
      </c>
      <c r="AK263" s="332">
        <f t="shared" si="114"/>
        <v>0</v>
      </c>
      <c r="AL263" s="332">
        <f t="shared" si="114"/>
        <v>0</v>
      </c>
      <c r="AM263" s="332">
        <f t="shared" si="114"/>
        <v>0</v>
      </c>
      <c r="AN263" s="332">
        <f t="shared" si="114"/>
        <v>0</v>
      </c>
      <c r="AO263" s="332">
        <f t="shared" si="114"/>
        <v>0</v>
      </c>
    </row>
    <row r="264" spans="3:41" x14ac:dyDescent="0.25">
      <c r="C264" s="86"/>
      <c r="F264" s="96" t="s">
        <v>1004</v>
      </c>
      <c r="G264" s="96" t="s">
        <v>267</v>
      </c>
      <c r="H264" s="96"/>
      <c r="I264" s="96"/>
      <c r="J264" s="335">
        <f t="shared" si="114"/>
        <v>0</v>
      </c>
      <c r="K264" s="335">
        <f t="shared" si="114"/>
        <v>0</v>
      </c>
      <c r="L264" s="335">
        <f t="shared" si="114"/>
        <v>0</v>
      </c>
      <c r="M264" s="335">
        <f t="shared" si="114"/>
        <v>0</v>
      </c>
      <c r="N264" s="335">
        <f t="shared" si="114"/>
        <v>0</v>
      </c>
      <c r="O264" s="335">
        <f t="shared" si="114"/>
        <v>0</v>
      </c>
      <c r="P264" s="335">
        <f t="shared" si="114"/>
        <v>0</v>
      </c>
      <c r="Q264" s="335">
        <f t="shared" si="114"/>
        <v>0</v>
      </c>
      <c r="R264" s="335">
        <f t="shared" si="114"/>
        <v>0</v>
      </c>
      <c r="S264" s="335">
        <f t="shared" si="114"/>
        <v>0</v>
      </c>
      <c r="T264" s="335">
        <f t="shared" si="114"/>
        <v>0</v>
      </c>
      <c r="U264" s="335">
        <f t="shared" si="114"/>
        <v>0</v>
      </c>
      <c r="V264" s="335">
        <f t="shared" si="114"/>
        <v>0</v>
      </c>
      <c r="W264" s="335">
        <f t="shared" si="114"/>
        <v>0</v>
      </c>
      <c r="X264" s="335">
        <f t="shared" si="114"/>
        <v>0</v>
      </c>
      <c r="Y264" s="335">
        <f t="shared" si="114"/>
        <v>0</v>
      </c>
      <c r="Z264" s="335">
        <f t="shared" si="114"/>
        <v>0</v>
      </c>
      <c r="AA264" s="335">
        <f t="shared" si="114"/>
        <v>0</v>
      </c>
      <c r="AB264" s="335">
        <f t="shared" si="114"/>
        <v>0</v>
      </c>
      <c r="AC264" s="335">
        <f t="shared" si="114"/>
        <v>0</v>
      </c>
      <c r="AD264" s="335">
        <f t="shared" si="114"/>
        <v>0</v>
      </c>
      <c r="AE264" s="335">
        <f t="shared" si="114"/>
        <v>0</v>
      </c>
      <c r="AF264" s="335">
        <f t="shared" si="114"/>
        <v>0</v>
      </c>
      <c r="AG264" s="335">
        <f t="shared" si="114"/>
        <v>0</v>
      </c>
      <c r="AH264" s="335">
        <f t="shared" si="114"/>
        <v>0</v>
      </c>
      <c r="AI264" s="335">
        <f t="shared" si="114"/>
        <v>0</v>
      </c>
      <c r="AJ264" s="335">
        <f t="shared" si="114"/>
        <v>0</v>
      </c>
      <c r="AK264" s="335">
        <f t="shared" si="114"/>
        <v>0</v>
      </c>
      <c r="AL264" s="335">
        <f t="shared" si="114"/>
        <v>0</v>
      </c>
      <c r="AM264" s="335">
        <f t="shared" si="114"/>
        <v>0</v>
      </c>
      <c r="AN264" s="335">
        <f t="shared" si="114"/>
        <v>0</v>
      </c>
      <c r="AO264" s="335">
        <f t="shared" si="114"/>
        <v>0</v>
      </c>
    </row>
    <row r="265" spans="3:41" x14ac:dyDescent="0.2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25">
      <c r="C266" s="86"/>
      <c r="E266" s="75" t="s">
        <v>1010</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25">
      <c r="C267" s="86"/>
      <c r="F267" s="95" t="s">
        <v>1002</v>
      </c>
      <c r="G267" s="95" t="s">
        <v>147</v>
      </c>
      <c r="H267" s="95"/>
      <c r="I267" s="95"/>
      <c r="J267" s="325">
        <f t="shared" ref="J267:AO267" si="115">IF(J$237,MATCH(J249,J$40:J$42,0), 0)</f>
        <v>0</v>
      </c>
      <c r="K267" s="325">
        <f t="shared" si="115"/>
        <v>0</v>
      </c>
      <c r="L267" s="325">
        <f t="shared" si="115"/>
        <v>0</v>
      </c>
      <c r="M267" s="325">
        <f t="shared" si="115"/>
        <v>0</v>
      </c>
      <c r="N267" s="325">
        <f t="shared" si="115"/>
        <v>0</v>
      </c>
      <c r="O267" s="325">
        <f t="shared" si="115"/>
        <v>0</v>
      </c>
      <c r="P267" s="325">
        <f t="shared" si="115"/>
        <v>0</v>
      </c>
      <c r="Q267" s="325">
        <f t="shared" si="115"/>
        <v>0</v>
      </c>
      <c r="R267" s="325">
        <f t="shared" si="115"/>
        <v>0</v>
      </c>
      <c r="S267" s="325">
        <f t="shared" si="115"/>
        <v>0</v>
      </c>
      <c r="T267" s="325">
        <f t="shared" si="115"/>
        <v>0</v>
      </c>
      <c r="U267" s="325">
        <f t="shared" si="115"/>
        <v>0</v>
      </c>
      <c r="V267" s="325">
        <f t="shared" si="115"/>
        <v>0</v>
      </c>
      <c r="W267" s="325">
        <f t="shared" si="115"/>
        <v>0</v>
      </c>
      <c r="X267" s="325">
        <f t="shared" si="115"/>
        <v>0</v>
      </c>
      <c r="Y267" s="325">
        <f t="shared" si="115"/>
        <v>0</v>
      </c>
      <c r="Z267" s="325">
        <f t="shared" si="115"/>
        <v>0</v>
      </c>
      <c r="AA267" s="325">
        <f t="shared" si="115"/>
        <v>0</v>
      </c>
      <c r="AB267" s="325">
        <f t="shared" si="115"/>
        <v>0</v>
      </c>
      <c r="AC267" s="325">
        <f t="shared" si="115"/>
        <v>0</v>
      </c>
      <c r="AD267" s="325">
        <f t="shared" si="115"/>
        <v>0</v>
      </c>
      <c r="AE267" s="325">
        <f t="shared" si="115"/>
        <v>0</v>
      </c>
      <c r="AF267" s="325">
        <f t="shared" si="115"/>
        <v>0</v>
      </c>
      <c r="AG267" s="325">
        <f t="shared" si="115"/>
        <v>0</v>
      </c>
      <c r="AH267" s="325">
        <f t="shared" si="115"/>
        <v>0</v>
      </c>
      <c r="AI267" s="325">
        <f t="shared" si="115"/>
        <v>0</v>
      </c>
      <c r="AJ267" s="325">
        <f t="shared" si="115"/>
        <v>0</v>
      </c>
      <c r="AK267" s="325">
        <f t="shared" si="115"/>
        <v>0</v>
      </c>
      <c r="AL267" s="325">
        <f t="shared" si="115"/>
        <v>0</v>
      </c>
      <c r="AM267" s="325">
        <f t="shared" si="115"/>
        <v>0</v>
      </c>
      <c r="AN267" s="325">
        <f t="shared" si="115"/>
        <v>0</v>
      </c>
      <c r="AO267" s="325">
        <f t="shared" si="115"/>
        <v>0</v>
      </c>
    </row>
    <row r="268" spans="3:41" x14ac:dyDescent="0.25">
      <c r="C268" s="86"/>
      <c r="F268" t="s">
        <v>1003</v>
      </c>
      <c r="G268" t="s">
        <v>147</v>
      </c>
      <c r="J268" s="326">
        <f t="shared" ref="J268:AO268" si="116">IF(J$237,MATCH(J250,J$40:J$42,0), 0)</f>
        <v>0</v>
      </c>
      <c r="K268" s="326">
        <f t="shared" si="116"/>
        <v>0</v>
      </c>
      <c r="L268" s="326">
        <f t="shared" si="116"/>
        <v>0</v>
      </c>
      <c r="M268" s="326">
        <f t="shared" si="116"/>
        <v>0</v>
      </c>
      <c r="N268" s="326">
        <f t="shared" si="116"/>
        <v>0</v>
      </c>
      <c r="O268" s="326">
        <f t="shared" si="116"/>
        <v>0</v>
      </c>
      <c r="P268" s="326">
        <f t="shared" si="116"/>
        <v>0</v>
      </c>
      <c r="Q268" s="326">
        <f t="shared" si="116"/>
        <v>0</v>
      </c>
      <c r="R268" s="326">
        <f t="shared" si="116"/>
        <v>0</v>
      </c>
      <c r="S268" s="326">
        <f t="shared" si="116"/>
        <v>0</v>
      </c>
      <c r="T268" s="326">
        <f t="shared" si="116"/>
        <v>0</v>
      </c>
      <c r="U268" s="326">
        <f t="shared" si="116"/>
        <v>0</v>
      </c>
      <c r="V268" s="326">
        <f t="shared" si="116"/>
        <v>0</v>
      </c>
      <c r="W268" s="326">
        <f t="shared" si="116"/>
        <v>0</v>
      </c>
      <c r="X268" s="326">
        <f t="shared" si="116"/>
        <v>0</v>
      </c>
      <c r="Y268" s="326">
        <f t="shared" si="116"/>
        <v>0</v>
      </c>
      <c r="Z268" s="326">
        <f t="shared" si="116"/>
        <v>0</v>
      </c>
      <c r="AA268" s="326">
        <f t="shared" si="116"/>
        <v>0</v>
      </c>
      <c r="AB268" s="326">
        <f t="shared" si="116"/>
        <v>0</v>
      </c>
      <c r="AC268" s="326">
        <f t="shared" si="116"/>
        <v>0</v>
      </c>
      <c r="AD268" s="326">
        <f t="shared" si="116"/>
        <v>0</v>
      </c>
      <c r="AE268" s="326">
        <f t="shared" si="116"/>
        <v>0</v>
      </c>
      <c r="AF268" s="326">
        <f t="shared" si="116"/>
        <v>0</v>
      </c>
      <c r="AG268" s="326">
        <f t="shared" si="116"/>
        <v>0</v>
      </c>
      <c r="AH268" s="326">
        <f t="shared" si="116"/>
        <v>0</v>
      </c>
      <c r="AI268" s="326">
        <f t="shared" si="116"/>
        <v>0</v>
      </c>
      <c r="AJ268" s="326">
        <f t="shared" si="116"/>
        <v>0</v>
      </c>
      <c r="AK268" s="326">
        <f t="shared" si="116"/>
        <v>0</v>
      </c>
      <c r="AL268" s="326">
        <f t="shared" si="116"/>
        <v>0</v>
      </c>
      <c r="AM268" s="326">
        <f t="shared" si="116"/>
        <v>0</v>
      </c>
      <c r="AN268" s="326">
        <f t="shared" si="116"/>
        <v>0</v>
      </c>
      <c r="AO268" s="326">
        <f t="shared" si="116"/>
        <v>0</v>
      </c>
    </row>
    <row r="269" spans="3:41" x14ac:dyDescent="0.25">
      <c r="C269" s="86"/>
      <c r="F269" s="96" t="s">
        <v>1004</v>
      </c>
      <c r="G269" s="96" t="s">
        <v>147</v>
      </c>
      <c r="H269" s="96"/>
      <c r="I269" s="96"/>
      <c r="J269" s="327">
        <f t="shared" ref="J269:AO269" si="117">IF(J$237,MATCH(J251,J$40:J$42,0), 0)</f>
        <v>0</v>
      </c>
      <c r="K269" s="327">
        <f t="shared" si="117"/>
        <v>0</v>
      </c>
      <c r="L269" s="327">
        <f t="shared" si="117"/>
        <v>0</v>
      </c>
      <c r="M269" s="327">
        <f t="shared" si="117"/>
        <v>0</v>
      </c>
      <c r="N269" s="327">
        <f t="shared" si="117"/>
        <v>0</v>
      </c>
      <c r="O269" s="327">
        <f t="shared" si="117"/>
        <v>0</v>
      </c>
      <c r="P269" s="327">
        <f t="shared" si="117"/>
        <v>0</v>
      </c>
      <c r="Q269" s="327">
        <f t="shared" si="117"/>
        <v>0</v>
      </c>
      <c r="R269" s="327">
        <f t="shared" si="117"/>
        <v>0</v>
      </c>
      <c r="S269" s="327">
        <f t="shared" si="117"/>
        <v>0</v>
      </c>
      <c r="T269" s="327">
        <f t="shared" si="117"/>
        <v>0</v>
      </c>
      <c r="U269" s="327">
        <f t="shared" si="117"/>
        <v>0</v>
      </c>
      <c r="V269" s="327">
        <f t="shared" si="117"/>
        <v>0</v>
      </c>
      <c r="W269" s="327">
        <f t="shared" si="117"/>
        <v>0</v>
      </c>
      <c r="X269" s="327">
        <f t="shared" si="117"/>
        <v>0</v>
      </c>
      <c r="Y269" s="327">
        <f t="shared" si="117"/>
        <v>0</v>
      </c>
      <c r="Z269" s="327">
        <f t="shared" si="117"/>
        <v>0</v>
      </c>
      <c r="AA269" s="327">
        <f t="shared" si="117"/>
        <v>0</v>
      </c>
      <c r="AB269" s="327">
        <f t="shared" si="117"/>
        <v>0</v>
      </c>
      <c r="AC269" s="327">
        <f t="shared" si="117"/>
        <v>0</v>
      </c>
      <c r="AD269" s="327">
        <f t="shared" si="117"/>
        <v>0</v>
      </c>
      <c r="AE269" s="327">
        <f t="shared" si="117"/>
        <v>0</v>
      </c>
      <c r="AF269" s="327">
        <f t="shared" si="117"/>
        <v>0</v>
      </c>
      <c r="AG269" s="327">
        <f t="shared" si="117"/>
        <v>0</v>
      </c>
      <c r="AH269" s="327">
        <f t="shared" si="117"/>
        <v>0</v>
      </c>
      <c r="AI269" s="327">
        <f t="shared" si="117"/>
        <v>0</v>
      </c>
      <c r="AJ269" s="327">
        <f t="shared" si="117"/>
        <v>0</v>
      </c>
      <c r="AK269" s="327">
        <f t="shared" si="117"/>
        <v>0</v>
      </c>
      <c r="AL269" s="327">
        <f t="shared" si="117"/>
        <v>0</v>
      </c>
      <c r="AM269" s="327">
        <f t="shared" si="117"/>
        <v>0</v>
      </c>
      <c r="AN269" s="327">
        <f t="shared" si="117"/>
        <v>0</v>
      </c>
      <c r="AO269" s="327">
        <f t="shared" si="117"/>
        <v>0</v>
      </c>
    </row>
    <row r="270" spans="3:41" x14ac:dyDescent="0.2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25">
      <c r="C271" s="86"/>
      <c r="E271" s="75" t="s">
        <v>1011</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25">
      <c r="C272" s="86"/>
      <c r="F272" s="95" t="s">
        <v>1002</v>
      </c>
      <c r="G272" s="95" t="s">
        <v>205</v>
      </c>
      <c r="H272" s="95"/>
      <c r="I272" s="95"/>
      <c r="J272" s="336">
        <f t="shared" ref="J272:AO272" si="118">IF(J$237, INDEX(J$53:J$55,J267), 0)</f>
        <v>0</v>
      </c>
      <c r="K272" s="336">
        <f t="shared" si="118"/>
        <v>0</v>
      </c>
      <c r="L272" s="336">
        <f t="shared" si="118"/>
        <v>0</v>
      </c>
      <c r="M272" s="336">
        <f t="shared" si="118"/>
        <v>0</v>
      </c>
      <c r="N272" s="336">
        <f t="shared" si="118"/>
        <v>0</v>
      </c>
      <c r="O272" s="336">
        <f t="shared" si="118"/>
        <v>0</v>
      </c>
      <c r="P272" s="336">
        <f t="shared" si="118"/>
        <v>0</v>
      </c>
      <c r="Q272" s="336">
        <f t="shared" si="118"/>
        <v>0</v>
      </c>
      <c r="R272" s="336">
        <f t="shared" si="118"/>
        <v>0</v>
      </c>
      <c r="S272" s="336">
        <f t="shared" si="118"/>
        <v>0</v>
      </c>
      <c r="T272" s="336">
        <f t="shared" si="118"/>
        <v>0</v>
      </c>
      <c r="U272" s="336">
        <f t="shared" si="118"/>
        <v>0</v>
      </c>
      <c r="V272" s="336">
        <f t="shared" si="118"/>
        <v>0</v>
      </c>
      <c r="W272" s="336">
        <f t="shared" si="118"/>
        <v>0</v>
      </c>
      <c r="X272" s="336">
        <f t="shared" si="118"/>
        <v>0</v>
      </c>
      <c r="Y272" s="336">
        <f t="shared" si="118"/>
        <v>0</v>
      </c>
      <c r="Z272" s="336">
        <f t="shared" si="118"/>
        <v>0</v>
      </c>
      <c r="AA272" s="336">
        <f t="shared" si="118"/>
        <v>0</v>
      </c>
      <c r="AB272" s="336">
        <f t="shared" si="118"/>
        <v>0</v>
      </c>
      <c r="AC272" s="336">
        <f t="shared" si="118"/>
        <v>0</v>
      </c>
      <c r="AD272" s="336">
        <f t="shared" si="118"/>
        <v>0</v>
      </c>
      <c r="AE272" s="336">
        <f t="shared" si="118"/>
        <v>0</v>
      </c>
      <c r="AF272" s="336">
        <f t="shared" si="118"/>
        <v>0</v>
      </c>
      <c r="AG272" s="336">
        <f t="shared" si="118"/>
        <v>0</v>
      </c>
      <c r="AH272" s="336">
        <f t="shared" si="118"/>
        <v>0</v>
      </c>
      <c r="AI272" s="336">
        <f t="shared" si="118"/>
        <v>0</v>
      </c>
      <c r="AJ272" s="336">
        <f t="shared" si="118"/>
        <v>0</v>
      </c>
      <c r="AK272" s="336">
        <f t="shared" si="118"/>
        <v>0</v>
      </c>
      <c r="AL272" s="336">
        <f t="shared" si="118"/>
        <v>0</v>
      </c>
      <c r="AM272" s="336">
        <f t="shared" si="118"/>
        <v>0</v>
      </c>
      <c r="AN272" s="336">
        <f t="shared" si="118"/>
        <v>0</v>
      </c>
      <c r="AO272" s="336">
        <f t="shared" si="118"/>
        <v>0</v>
      </c>
    </row>
    <row r="273" spans="3:43" x14ac:dyDescent="0.25">
      <c r="C273" s="86"/>
      <c r="F273" t="s">
        <v>1003</v>
      </c>
      <c r="G273" t="s">
        <v>205</v>
      </c>
      <c r="J273" s="260">
        <f t="shared" ref="J273:AO273" si="119">IF(J$237, INDEX(J$53:J$55,J268), 0)</f>
        <v>0</v>
      </c>
      <c r="K273" s="260">
        <f t="shared" si="119"/>
        <v>0</v>
      </c>
      <c r="L273" s="260">
        <f t="shared" si="119"/>
        <v>0</v>
      </c>
      <c r="M273" s="260">
        <f t="shared" si="119"/>
        <v>0</v>
      </c>
      <c r="N273" s="260">
        <f t="shared" si="119"/>
        <v>0</v>
      </c>
      <c r="O273" s="260">
        <f t="shared" si="119"/>
        <v>0</v>
      </c>
      <c r="P273" s="260">
        <f t="shared" si="119"/>
        <v>0</v>
      </c>
      <c r="Q273" s="260">
        <f t="shared" si="119"/>
        <v>0</v>
      </c>
      <c r="R273" s="260">
        <f t="shared" si="119"/>
        <v>0</v>
      </c>
      <c r="S273" s="260">
        <f t="shared" si="119"/>
        <v>0</v>
      </c>
      <c r="T273" s="260">
        <f t="shared" si="119"/>
        <v>0</v>
      </c>
      <c r="U273" s="260">
        <f t="shared" si="119"/>
        <v>0</v>
      </c>
      <c r="V273" s="260">
        <f t="shared" si="119"/>
        <v>0</v>
      </c>
      <c r="W273" s="260">
        <f t="shared" si="119"/>
        <v>0</v>
      </c>
      <c r="X273" s="260">
        <f t="shared" si="119"/>
        <v>0</v>
      </c>
      <c r="Y273" s="260">
        <f t="shared" si="119"/>
        <v>0</v>
      </c>
      <c r="Z273" s="260">
        <f t="shared" si="119"/>
        <v>0</v>
      </c>
      <c r="AA273" s="260">
        <f t="shared" si="119"/>
        <v>0</v>
      </c>
      <c r="AB273" s="260">
        <f t="shared" si="119"/>
        <v>0</v>
      </c>
      <c r="AC273" s="260">
        <f t="shared" si="119"/>
        <v>0</v>
      </c>
      <c r="AD273" s="260">
        <f t="shared" si="119"/>
        <v>0</v>
      </c>
      <c r="AE273" s="260">
        <f t="shared" si="119"/>
        <v>0</v>
      </c>
      <c r="AF273" s="260">
        <f t="shared" si="119"/>
        <v>0</v>
      </c>
      <c r="AG273" s="260">
        <f t="shared" si="119"/>
        <v>0</v>
      </c>
      <c r="AH273" s="260">
        <f t="shared" si="119"/>
        <v>0</v>
      </c>
      <c r="AI273" s="260">
        <f t="shared" si="119"/>
        <v>0</v>
      </c>
      <c r="AJ273" s="260">
        <f t="shared" si="119"/>
        <v>0</v>
      </c>
      <c r="AK273" s="260">
        <f t="shared" si="119"/>
        <v>0</v>
      </c>
      <c r="AL273" s="260">
        <f t="shared" si="119"/>
        <v>0</v>
      </c>
      <c r="AM273" s="260">
        <f t="shared" si="119"/>
        <v>0</v>
      </c>
      <c r="AN273" s="260">
        <f t="shared" si="119"/>
        <v>0</v>
      </c>
      <c r="AO273" s="260">
        <f t="shared" si="119"/>
        <v>0</v>
      </c>
    </row>
    <row r="274" spans="3:43" x14ac:dyDescent="0.25">
      <c r="C274" s="86"/>
      <c r="F274" s="96" t="s">
        <v>1004</v>
      </c>
      <c r="G274" s="96" t="s">
        <v>205</v>
      </c>
      <c r="H274" s="96"/>
      <c r="I274" s="96"/>
      <c r="J274" s="337">
        <f t="shared" ref="J274:AO274" si="120">IF(J$237, INDEX(J$53:J$55,J269), 0)</f>
        <v>0</v>
      </c>
      <c r="K274" s="337">
        <f t="shared" si="120"/>
        <v>0</v>
      </c>
      <c r="L274" s="337">
        <f t="shared" si="120"/>
        <v>0</v>
      </c>
      <c r="M274" s="337">
        <f t="shared" si="120"/>
        <v>0</v>
      </c>
      <c r="N274" s="337">
        <f t="shared" si="120"/>
        <v>0</v>
      </c>
      <c r="O274" s="337">
        <f t="shared" si="120"/>
        <v>0</v>
      </c>
      <c r="P274" s="337">
        <f t="shared" si="120"/>
        <v>0</v>
      </c>
      <c r="Q274" s="337">
        <f t="shared" si="120"/>
        <v>0</v>
      </c>
      <c r="R274" s="337">
        <f t="shared" si="120"/>
        <v>0</v>
      </c>
      <c r="S274" s="337">
        <f t="shared" si="120"/>
        <v>0</v>
      </c>
      <c r="T274" s="337">
        <f t="shared" si="120"/>
        <v>0</v>
      </c>
      <c r="U274" s="337">
        <f t="shared" si="120"/>
        <v>0</v>
      </c>
      <c r="V274" s="337">
        <f t="shared" si="120"/>
        <v>0</v>
      </c>
      <c r="W274" s="337">
        <f t="shared" si="120"/>
        <v>0</v>
      </c>
      <c r="X274" s="337">
        <f t="shared" si="120"/>
        <v>0</v>
      </c>
      <c r="Y274" s="337">
        <f t="shared" si="120"/>
        <v>0</v>
      </c>
      <c r="Z274" s="337">
        <f t="shared" si="120"/>
        <v>0</v>
      </c>
      <c r="AA274" s="337">
        <f t="shared" si="120"/>
        <v>0</v>
      </c>
      <c r="AB274" s="337">
        <f t="shared" si="120"/>
        <v>0</v>
      </c>
      <c r="AC274" s="337">
        <f t="shared" si="120"/>
        <v>0</v>
      </c>
      <c r="AD274" s="337">
        <f t="shared" si="120"/>
        <v>0</v>
      </c>
      <c r="AE274" s="337">
        <f t="shared" si="120"/>
        <v>0</v>
      </c>
      <c r="AF274" s="337">
        <f t="shared" si="120"/>
        <v>0</v>
      </c>
      <c r="AG274" s="337">
        <f t="shared" si="120"/>
        <v>0</v>
      </c>
      <c r="AH274" s="337">
        <f t="shared" si="120"/>
        <v>0</v>
      </c>
      <c r="AI274" s="337">
        <f t="shared" si="120"/>
        <v>0</v>
      </c>
      <c r="AJ274" s="337">
        <f t="shared" si="120"/>
        <v>0</v>
      </c>
      <c r="AK274" s="337">
        <f t="shared" si="120"/>
        <v>0</v>
      </c>
      <c r="AL274" s="337">
        <f t="shared" si="120"/>
        <v>0</v>
      </c>
      <c r="AM274" s="337">
        <f t="shared" si="120"/>
        <v>0</v>
      </c>
      <c r="AN274" s="337">
        <f t="shared" si="120"/>
        <v>0</v>
      </c>
      <c r="AO274" s="337">
        <f t="shared" si="120"/>
        <v>0</v>
      </c>
    </row>
    <row r="275" spans="3:43" x14ac:dyDescent="0.25">
      <c r="C275" s="86"/>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row>
    <row r="276" spans="3:43" x14ac:dyDescent="0.25">
      <c r="C276" s="86"/>
      <c r="E276" s="75" t="s">
        <v>1012</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25">
      <c r="C277" s="86"/>
      <c r="F277" s="95" t="s">
        <v>1002</v>
      </c>
      <c r="G277" s="95" t="s">
        <v>205</v>
      </c>
      <c r="H277" s="95"/>
      <c r="I277" s="95"/>
      <c r="J277" s="336">
        <f t="shared" ref="J277:AO279" si="121">SUMIF($J$149:$AO$149,J$149,$J272:$AO272)</f>
        <v>0</v>
      </c>
      <c r="K277" s="336">
        <f t="shared" si="121"/>
        <v>0</v>
      </c>
      <c r="L277" s="336">
        <f t="shared" si="121"/>
        <v>0</v>
      </c>
      <c r="M277" s="336">
        <f t="shared" si="121"/>
        <v>0</v>
      </c>
      <c r="N277" s="336">
        <f t="shared" si="121"/>
        <v>0</v>
      </c>
      <c r="O277" s="336">
        <f t="shared" si="121"/>
        <v>0</v>
      </c>
      <c r="P277" s="336">
        <f t="shared" si="121"/>
        <v>0</v>
      </c>
      <c r="Q277" s="336">
        <f t="shared" si="121"/>
        <v>0</v>
      </c>
      <c r="R277" s="336">
        <f t="shared" si="121"/>
        <v>0</v>
      </c>
      <c r="S277" s="336">
        <f t="shared" si="121"/>
        <v>0</v>
      </c>
      <c r="T277" s="336">
        <f t="shared" si="121"/>
        <v>0</v>
      </c>
      <c r="U277" s="336">
        <f t="shared" si="121"/>
        <v>0</v>
      </c>
      <c r="V277" s="336">
        <f t="shared" si="121"/>
        <v>0</v>
      </c>
      <c r="W277" s="336">
        <f t="shared" si="121"/>
        <v>0</v>
      </c>
      <c r="X277" s="336">
        <f t="shared" si="121"/>
        <v>0</v>
      </c>
      <c r="Y277" s="336">
        <f t="shared" si="121"/>
        <v>0</v>
      </c>
      <c r="Z277" s="336">
        <f t="shared" si="121"/>
        <v>0</v>
      </c>
      <c r="AA277" s="336">
        <f t="shared" si="121"/>
        <v>0</v>
      </c>
      <c r="AB277" s="336">
        <f t="shared" si="121"/>
        <v>0</v>
      </c>
      <c r="AC277" s="336">
        <f t="shared" si="121"/>
        <v>0</v>
      </c>
      <c r="AD277" s="336">
        <f t="shared" si="121"/>
        <v>0</v>
      </c>
      <c r="AE277" s="336">
        <f t="shared" si="121"/>
        <v>0</v>
      </c>
      <c r="AF277" s="336">
        <f t="shared" si="121"/>
        <v>0</v>
      </c>
      <c r="AG277" s="336">
        <f t="shared" si="121"/>
        <v>0</v>
      </c>
      <c r="AH277" s="336">
        <f t="shared" si="121"/>
        <v>0</v>
      </c>
      <c r="AI277" s="336">
        <f t="shared" si="121"/>
        <v>0</v>
      </c>
      <c r="AJ277" s="336">
        <f t="shared" si="121"/>
        <v>0</v>
      </c>
      <c r="AK277" s="336">
        <f t="shared" si="121"/>
        <v>0</v>
      </c>
      <c r="AL277" s="336">
        <f t="shared" si="121"/>
        <v>0</v>
      </c>
      <c r="AM277" s="336">
        <f t="shared" si="121"/>
        <v>0</v>
      </c>
      <c r="AN277" s="336">
        <f t="shared" si="121"/>
        <v>0</v>
      </c>
      <c r="AO277" s="336">
        <f t="shared" si="121"/>
        <v>0</v>
      </c>
    </row>
    <row r="278" spans="3:43" x14ac:dyDescent="0.25">
      <c r="C278" s="86"/>
      <c r="F278" t="s">
        <v>1003</v>
      </c>
      <c r="G278" t="s">
        <v>205</v>
      </c>
      <c r="J278" s="260">
        <f t="shared" si="121"/>
        <v>0</v>
      </c>
      <c r="K278" s="260">
        <f t="shared" si="121"/>
        <v>0</v>
      </c>
      <c r="L278" s="260">
        <f t="shared" si="121"/>
        <v>0</v>
      </c>
      <c r="M278" s="260">
        <f t="shared" si="121"/>
        <v>0</v>
      </c>
      <c r="N278" s="260">
        <f t="shared" si="121"/>
        <v>0</v>
      </c>
      <c r="O278" s="260">
        <f t="shared" si="121"/>
        <v>0</v>
      </c>
      <c r="P278" s="260">
        <f t="shared" si="121"/>
        <v>0</v>
      </c>
      <c r="Q278" s="260">
        <f t="shared" si="121"/>
        <v>0</v>
      </c>
      <c r="R278" s="260">
        <f t="shared" si="121"/>
        <v>0</v>
      </c>
      <c r="S278" s="260">
        <f t="shared" si="121"/>
        <v>0</v>
      </c>
      <c r="T278" s="260">
        <f t="shared" si="121"/>
        <v>0</v>
      </c>
      <c r="U278" s="260">
        <f t="shared" si="121"/>
        <v>0</v>
      </c>
      <c r="V278" s="260">
        <f t="shared" si="121"/>
        <v>0</v>
      </c>
      <c r="W278" s="260">
        <f t="shared" si="121"/>
        <v>0</v>
      </c>
      <c r="X278" s="260">
        <f t="shared" si="121"/>
        <v>0</v>
      </c>
      <c r="Y278" s="260">
        <f t="shared" si="121"/>
        <v>0</v>
      </c>
      <c r="Z278" s="260">
        <f t="shared" si="121"/>
        <v>0</v>
      </c>
      <c r="AA278" s="260">
        <f t="shared" si="121"/>
        <v>0</v>
      </c>
      <c r="AB278" s="260">
        <f t="shared" si="121"/>
        <v>0</v>
      </c>
      <c r="AC278" s="260">
        <f t="shared" si="121"/>
        <v>0</v>
      </c>
      <c r="AD278" s="260">
        <f t="shared" si="121"/>
        <v>0</v>
      </c>
      <c r="AE278" s="260">
        <f t="shared" si="121"/>
        <v>0</v>
      </c>
      <c r="AF278" s="260">
        <f t="shared" si="121"/>
        <v>0</v>
      </c>
      <c r="AG278" s="260">
        <f t="shared" si="121"/>
        <v>0</v>
      </c>
      <c r="AH278" s="260">
        <f t="shared" si="121"/>
        <v>0</v>
      </c>
      <c r="AI278" s="260">
        <f t="shared" si="121"/>
        <v>0</v>
      </c>
      <c r="AJ278" s="260">
        <f t="shared" si="121"/>
        <v>0</v>
      </c>
      <c r="AK278" s="260">
        <f t="shared" si="121"/>
        <v>0</v>
      </c>
      <c r="AL278" s="260">
        <f t="shared" si="121"/>
        <v>0</v>
      </c>
      <c r="AM278" s="260">
        <f t="shared" si="121"/>
        <v>0</v>
      </c>
      <c r="AN278" s="260">
        <f t="shared" si="121"/>
        <v>0</v>
      </c>
      <c r="AO278" s="260">
        <f t="shared" si="121"/>
        <v>0</v>
      </c>
    </row>
    <row r="279" spans="3:43" x14ac:dyDescent="0.25">
      <c r="C279" s="86"/>
      <c r="F279" s="96" t="s">
        <v>1004</v>
      </c>
      <c r="G279" s="96" t="s">
        <v>205</v>
      </c>
      <c r="H279" s="96"/>
      <c r="I279" s="96"/>
      <c r="J279" s="337">
        <f t="shared" si="121"/>
        <v>0</v>
      </c>
      <c r="K279" s="337">
        <f t="shared" si="121"/>
        <v>0</v>
      </c>
      <c r="L279" s="337">
        <f t="shared" si="121"/>
        <v>0</v>
      </c>
      <c r="M279" s="337">
        <f t="shared" si="121"/>
        <v>0</v>
      </c>
      <c r="N279" s="337">
        <f t="shared" si="121"/>
        <v>0</v>
      </c>
      <c r="O279" s="337">
        <f t="shared" si="121"/>
        <v>0</v>
      </c>
      <c r="P279" s="337">
        <f t="shared" si="121"/>
        <v>0</v>
      </c>
      <c r="Q279" s="337">
        <f t="shared" si="121"/>
        <v>0</v>
      </c>
      <c r="R279" s="337">
        <f t="shared" si="121"/>
        <v>0</v>
      </c>
      <c r="S279" s="337">
        <f t="shared" si="121"/>
        <v>0</v>
      </c>
      <c r="T279" s="337">
        <f t="shared" si="121"/>
        <v>0</v>
      </c>
      <c r="U279" s="337">
        <f t="shared" si="121"/>
        <v>0</v>
      </c>
      <c r="V279" s="337">
        <f t="shared" si="121"/>
        <v>0</v>
      </c>
      <c r="W279" s="337">
        <f t="shared" si="121"/>
        <v>0</v>
      </c>
      <c r="X279" s="337">
        <f t="shared" si="121"/>
        <v>0</v>
      </c>
      <c r="Y279" s="337">
        <f t="shared" si="121"/>
        <v>0</v>
      </c>
      <c r="Z279" s="337">
        <f t="shared" si="121"/>
        <v>0</v>
      </c>
      <c r="AA279" s="337">
        <f t="shared" si="121"/>
        <v>0</v>
      </c>
      <c r="AB279" s="337">
        <f t="shared" si="121"/>
        <v>0</v>
      </c>
      <c r="AC279" s="337">
        <f t="shared" si="121"/>
        <v>0</v>
      </c>
      <c r="AD279" s="337">
        <f t="shared" si="121"/>
        <v>0</v>
      </c>
      <c r="AE279" s="337">
        <f t="shared" si="121"/>
        <v>0</v>
      </c>
      <c r="AF279" s="337">
        <f t="shared" si="121"/>
        <v>0</v>
      </c>
      <c r="AG279" s="337">
        <f t="shared" si="121"/>
        <v>0</v>
      </c>
      <c r="AH279" s="337">
        <f t="shared" si="121"/>
        <v>0</v>
      </c>
      <c r="AI279" s="337">
        <f t="shared" si="121"/>
        <v>0</v>
      </c>
      <c r="AJ279" s="337">
        <f t="shared" si="121"/>
        <v>0</v>
      </c>
      <c r="AK279" s="337">
        <f t="shared" si="121"/>
        <v>0</v>
      </c>
      <c r="AL279" s="337">
        <f t="shared" si="121"/>
        <v>0</v>
      </c>
      <c r="AM279" s="337">
        <f t="shared" si="121"/>
        <v>0</v>
      </c>
      <c r="AN279" s="337">
        <f t="shared" si="121"/>
        <v>0</v>
      </c>
      <c r="AO279" s="337">
        <f t="shared" si="121"/>
        <v>0</v>
      </c>
    </row>
    <row r="280" spans="3:43" x14ac:dyDescent="0.25">
      <c r="C280" s="86"/>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row>
    <row r="281" spans="3:43" x14ac:dyDescent="0.25">
      <c r="C281" s="86"/>
      <c r="E281" s="75" t="s">
        <v>1013</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25">
      <c r="C282" s="86"/>
      <c r="F282" s="95" t="s">
        <v>1002</v>
      </c>
      <c r="G282" s="95" t="s">
        <v>205</v>
      </c>
      <c r="H282" s="95"/>
      <c r="I282" s="95"/>
      <c r="J282" s="336">
        <f>J277 * J$157</f>
        <v>0</v>
      </c>
      <c r="K282" s="336">
        <f t="shared" ref="K282:AO282" si="122">K277 * K$157</f>
        <v>0</v>
      </c>
      <c r="L282" s="336">
        <f t="shared" si="122"/>
        <v>0</v>
      </c>
      <c r="M282" s="336">
        <f t="shared" si="122"/>
        <v>0</v>
      </c>
      <c r="N282" s="336">
        <f t="shared" si="122"/>
        <v>0</v>
      </c>
      <c r="O282" s="336">
        <f t="shared" si="122"/>
        <v>0</v>
      </c>
      <c r="P282" s="336">
        <f t="shared" si="122"/>
        <v>0</v>
      </c>
      <c r="Q282" s="336">
        <f t="shared" si="122"/>
        <v>0</v>
      </c>
      <c r="R282" s="336">
        <f t="shared" si="122"/>
        <v>0</v>
      </c>
      <c r="S282" s="336">
        <f t="shared" si="122"/>
        <v>0</v>
      </c>
      <c r="T282" s="336">
        <f t="shared" si="122"/>
        <v>0</v>
      </c>
      <c r="U282" s="336">
        <f t="shared" si="122"/>
        <v>0</v>
      </c>
      <c r="V282" s="336">
        <f t="shared" si="122"/>
        <v>0</v>
      </c>
      <c r="W282" s="336">
        <f t="shared" si="122"/>
        <v>0</v>
      </c>
      <c r="X282" s="336">
        <f t="shared" si="122"/>
        <v>0</v>
      </c>
      <c r="Y282" s="336">
        <f t="shared" si="122"/>
        <v>0</v>
      </c>
      <c r="Z282" s="336">
        <f t="shared" si="122"/>
        <v>0</v>
      </c>
      <c r="AA282" s="336">
        <f t="shared" si="122"/>
        <v>0</v>
      </c>
      <c r="AB282" s="336">
        <f t="shared" si="122"/>
        <v>0</v>
      </c>
      <c r="AC282" s="336">
        <f t="shared" si="122"/>
        <v>0</v>
      </c>
      <c r="AD282" s="336">
        <f t="shared" si="122"/>
        <v>0</v>
      </c>
      <c r="AE282" s="336">
        <f t="shared" si="122"/>
        <v>0</v>
      </c>
      <c r="AF282" s="336">
        <f t="shared" si="122"/>
        <v>0</v>
      </c>
      <c r="AG282" s="336">
        <f t="shared" si="122"/>
        <v>0</v>
      </c>
      <c r="AH282" s="336">
        <f t="shared" si="122"/>
        <v>0</v>
      </c>
      <c r="AI282" s="336">
        <f t="shared" si="122"/>
        <v>0</v>
      </c>
      <c r="AJ282" s="336">
        <f t="shared" si="122"/>
        <v>0</v>
      </c>
      <c r="AK282" s="336">
        <f t="shared" si="122"/>
        <v>0</v>
      </c>
      <c r="AL282" s="336">
        <f t="shared" si="122"/>
        <v>0</v>
      </c>
      <c r="AM282" s="336">
        <f t="shared" si="122"/>
        <v>0</v>
      </c>
      <c r="AN282" s="336">
        <f t="shared" si="122"/>
        <v>0</v>
      </c>
      <c r="AO282" s="336">
        <f t="shared" si="122"/>
        <v>0</v>
      </c>
    </row>
    <row r="283" spans="3:43" x14ac:dyDescent="0.25">
      <c r="C283" s="86"/>
      <c r="F283" t="s">
        <v>1003</v>
      </c>
      <c r="G283" t="s">
        <v>205</v>
      </c>
      <c r="J283" s="260">
        <f t="shared" ref="J283:AO284" si="123">J278 * J$157</f>
        <v>0</v>
      </c>
      <c r="K283" s="260">
        <f t="shared" si="123"/>
        <v>0</v>
      </c>
      <c r="L283" s="260">
        <f t="shared" si="123"/>
        <v>0</v>
      </c>
      <c r="M283" s="260">
        <f t="shared" si="123"/>
        <v>0</v>
      </c>
      <c r="N283" s="260">
        <f t="shared" si="123"/>
        <v>0</v>
      </c>
      <c r="O283" s="260">
        <f t="shared" si="123"/>
        <v>0</v>
      </c>
      <c r="P283" s="260">
        <f t="shared" si="123"/>
        <v>0</v>
      </c>
      <c r="Q283" s="260">
        <f t="shared" si="123"/>
        <v>0</v>
      </c>
      <c r="R283" s="260">
        <f t="shared" si="123"/>
        <v>0</v>
      </c>
      <c r="S283" s="260">
        <f t="shared" si="123"/>
        <v>0</v>
      </c>
      <c r="T283" s="260">
        <f t="shared" si="123"/>
        <v>0</v>
      </c>
      <c r="U283" s="260">
        <f t="shared" si="123"/>
        <v>0</v>
      </c>
      <c r="V283" s="260">
        <f t="shared" si="123"/>
        <v>0</v>
      </c>
      <c r="W283" s="260">
        <f t="shared" si="123"/>
        <v>0</v>
      </c>
      <c r="X283" s="260">
        <f t="shared" si="123"/>
        <v>0</v>
      </c>
      <c r="Y283" s="260">
        <f t="shared" si="123"/>
        <v>0</v>
      </c>
      <c r="Z283" s="260">
        <f t="shared" si="123"/>
        <v>0</v>
      </c>
      <c r="AA283" s="260">
        <f t="shared" si="123"/>
        <v>0</v>
      </c>
      <c r="AB283" s="260">
        <f t="shared" si="123"/>
        <v>0</v>
      </c>
      <c r="AC283" s="260">
        <f t="shared" si="123"/>
        <v>0</v>
      </c>
      <c r="AD283" s="260">
        <f t="shared" si="123"/>
        <v>0</v>
      </c>
      <c r="AE283" s="260">
        <f t="shared" si="123"/>
        <v>0</v>
      </c>
      <c r="AF283" s="260">
        <f t="shared" si="123"/>
        <v>0</v>
      </c>
      <c r="AG283" s="260">
        <f t="shared" si="123"/>
        <v>0</v>
      </c>
      <c r="AH283" s="260">
        <f t="shared" si="123"/>
        <v>0</v>
      </c>
      <c r="AI283" s="260">
        <f t="shared" si="123"/>
        <v>0</v>
      </c>
      <c r="AJ283" s="260">
        <f t="shared" si="123"/>
        <v>0</v>
      </c>
      <c r="AK283" s="260">
        <f t="shared" si="123"/>
        <v>0</v>
      </c>
      <c r="AL283" s="260">
        <f t="shared" si="123"/>
        <v>0</v>
      </c>
      <c r="AM283" s="260">
        <f t="shared" si="123"/>
        <v>0</v>
      </c>
      <c r="AN283" s="260">
        <f t="shared" si="123"/>
        <v>0</v>
      </c>
      <c r="AO283" s="260">
        <f t="shared" si="123"/>
        <v>0</v>
      </c>
    </row>
    <row r="284" spans="3:43" x14ac:dyDescent="0.25">
      <c r="C284" s="86"/>
      <c r="F284" s="96" t="s">
        <v>1004</v>
      </c>
      <c r="G284" s="96" t="s">
        <v>205</v>
      </c>
      <c r="H284" s="96"/>
      <c r="I284" s="96"/>
      <c r="J284" s="337">
        <f t="shared" si="123"/>
        <v>0</v>
      </c>
      <c r="K284" s="337">
        <f t="shared" si="123"/>
        <v>0</v>
      </c>
      <c r="L284" s="337">
        <f t="shared" si="123"/>
        <v>0</v>
      </c>
      <c r="M284" s="337">
        <f t="shared" si="123"/>
        <v>0</v>
      </c>
      <c r="N284" s="337">
        <f t="shared" si="123"/>
        <v>0</v>
      </c>
      <c r="O284" s="337">
        <f t="shared" si="123"/>
        <v>0</v>
      </c>
      <c r="P284" s="337">
        <f t="shared" si="123"/>
        <v>0</v>
      </c>
      <c r="Q284" s="337">
        <f t="shared" si="123"/>
        <v>0</v>
      </c>
      <c r="R284" s="337">
        <f t="shared" si="123"/>
        <v>0</v>
      </c>
      <c r="S284" s="337">
        <f t="shared" si="123"/>
        <v>0</v>
      </c>
      <c r="T284" s="337">
        <f t="shared" si="123"/>
        <v>0</v>
      </c>
      <c r="U284" s="337">
        <f t="shared" si="123"/>
        <v>0</v>
      </c>
      <c r="V284" s="337">
        <f t="shared" si="123"/>
        <v>0</v>
      </c>
      <c r="W284" s="337">
        <f t="shared" si="123"/>
        <v>0</v>
      </c>
      <c r="X284" s="337">
        <f t="shared" si="123"/>
        <v>0</v>
      </c>
      <c r="Y284" s="337">
        <f t="shared" si="123"/>
        <v>0</v>
      </c>
      <c r="Z284" s="337">
        <f t="shared" si="123"/>
        <v>0</v>
      </c>
      <c r="AA284" s="337">
        <f t="shared" si="123"/>
        <v>0</v>
      </c>
      <c r="AB284" s="337">
        <f t="shared" si="123"/>
        <v>0</v>
      </c>
      <c r="AC284" s="337">
        <f t="shared" si="123"/>
        <v>0</v>
      </c>
      <c r="AD284" s="337">
        <f t="shared" si="123"/>
        <v>0</v>
      </c>
      <c r="AE284" s="337">
        <f t="shared" si="123"/>
        <v>0</v>
      </c>
      <c r="AF284" s="337">
        <f t="shared" si="123"/>
        <v>0</v>
      </c>
      <c r="AG284" s="337">
        <f t="shared" si="123"/>
        <v>0</v>
      </c>
      <c r="AH284" s="337">
        <f t="shared" si="123"/>
        <v>0</v>
      </c>
      <c r="AI284" s="337">
        <f t="shared" si="123"/>
        <v>0</v>
      </c>
      <c r="AJ284" s="337">
        <f t="shared" si="123"/>
        <v>0</v>
      </c>
      <c r="AK284" s="337">
        <f t="shared" si="123"/>
        <v>0</v>
      </c>
      <c r="AL284" s="337">
        <f t="shared" si="123"/>
        <v>0</v>
      </c>
      <c r="AM284" s="337">
        <f t="shared" si="123"/>
        <v>0</v>
      </c>
      <c r="AN284" s="337">
        <f t="shared" si="123"/>
        <v>0</v>
      </c>
      <c r="AO284" s="337">
        <f t="shared" si="123"/>
        <v>0</v>
      </c>
    </row>
    <row r="285" spans="3:43" x14ac:dyDescent="0.2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25">
      <c r="C286" s="93" t="str">
        <f ca="1">INDEX('Version control'!$H$41:$H$64,MATCH($A$1,'Version control'!$F$41:$F$64,0),1)&amp;"-K: Revenue matching for three timebands"</f>
        <v>Section 116-K: Revenue matching for three timebands</v>
      </c>
      <c r="D286" s="93"/>
      <c r="E286" s="93"/>
      <c r="F286" s="93"/>
      <c r="G286" s="93"/>
      <c r="H286" s="93"/>
      <c r="I286" s="9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253"/>
      <c r="AF286" s="253"/>
      <c r="AG286" s="253"/>
      <c r="AH286" s="253"/>
      <c r="AI286" s="253"/>
      <c r="AJ286" s="253"/>
      <c r="AK286" s="253"/>
      <c r="AL286" s="253"/>
      <c r="AM286" s="253"/>
      <c r="AN286" s="253"/>
      <c r="AO286" s="253"/>
      <c r="AP286" s="93"/>
      <c r="AQ286" s="93"/>
    </row>
    <row r="287" spans="3:43" x14ac:dyDescent="0.2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25">
      <c r="C288" s="86"/>
      <c r="D288" s="86" t="s">
        <v>1014</v>
      </c>
      <c r="E288" s="75"/>
      <c r="I288" t="s">
        <v>152</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1069</v>
      </c>
    </row>
    <row r="289" spans="3:44" x14ac:dyDescent="0.25">
      <c r="C289" s="86"/>
      <c r="D289" s="86" t="s">
        <v>1015</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25">
      <c r="C290" s="86"/>
      <c r="D290" s="86" t="s">
        <v>1016</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2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25">
      <c r="C292" s="86"/>
      <c r="E292" s="75" t="s">
        <v>1017</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25">
      <c r="C293" s="86"/>
      <c r="F293" t="s">
        <v>1018</v>
      </c>
      <c r="G293" t="s">
        <v>877</v>
      </c>
      <c r="J293" s="260">
        <f t="shared" ref="J293:AO293" si="124">SUMIF($J149:$AO149,J149,$J228:$AO228)</f>
        <v>0</v>
      </c>
      <c r="K293" s="260">
        <f t="shared" si="124"/>
        <v>0</v>
      </c>
      <c r="L293" s="260">
        <f t="shared" si="124"/>
        <v>0</v>
      </c>
      <c r="M293" s="260">
        <f t="shared" si="124"/>
        <v>0</v>
      </c>
      <c r="N293" s="260">
        <f t="shared" si="124"/>
        <v>0</v>
      </c>
      <c r="O293" s="260">
        <f t="shared" si="124"/>
        <v>0</v>
      </c>
      <c r="P293" s="260">
        <f t="shared" si="124"/>
        <v>0</v>
      </c>
      <c r="Q293" s="260">
        <f t="shared" si="124"/>
        <v>0</v>
      </c>
      <c r="R293" s="260">
        <f t="shared" si="124"/>
        <v>0</v>
      </c>
      <c r="S293" s="260">
        <f t="shared" si="124"/>
        <v>0</v>
      </c>
      <c r="T293" s="260">
        <f t="shared" si="124"/>
        <v>0</v>
      </c>
      <c r="U293" s="260">
        <f t="shared" si="124"/>
        <v>0</v>
      </c>
      <c r="V293" s="260">
        <f t="shared" si="124"/>
        <v>0</v>
      </c>
      <c r="W293" s="260">
        <f t="shared" si="124"/>
        <v>0</v>
      </c>
      <c r="X293" s="260">
        <f t="shared" si="124"/>
        <v>0</v>
      </c>
      <c r="Y293" s="260">
        <f t="shared" si="124"/>
        <v>0</v>
      </c>
      <c r="Z293" s="260">
        <f t="shared" si="124"/>
        <v>0</v>
      </c>
      <c r="AA293" s="260">
        <f t="shared" si="124"/>
        <v>0</v>
      </c>
      <c r="AB293" s="260">
        <f t="shared" si="124"/>
        <v>0</v>
      </c>
      <c r="AC293" s="260">
        <f t="shared" si="124"/>
        <v>0</v>
      </c>
      <c r="AD293" s="260">
        <f t="shared" si="124"/>
        <v>0</v>
      </c>
      <c r="AE293" s="260">
        <f t="shared" si="124"/>
        <v>0</v>
      </c>
      <c r="AF293" s="260">
        <f t="shared" si="124"/>
        <v>0</v>
      </c>
      <c r="AG293" s="260">
        <f t="shared" si="124"/>
        <v>0</v>
      </c>
      <c r="AH293" s="260">
        <f t="shared" si="124"/>
        <v>0</v>
      </c>
      <c r="AI293" s="260">
        <f t="shared" si="124"/>
        <v>0</v>
      </c>
      <c r="AJ293" s="260">
        <f t="shared" si="124"/>
        <v>0</v>
      </c>
      <c r="AK293" s="260">
        <f t="shared" si="124"/>
        <v>0</v>
      </c>
      <c r="AL293" s="260">
        <f t="shared" si="124"/>
        <v>0</v>
      </c>
      <c r="AM293" s="260">
        <f t="shared" si="124"/>
        <v>0</v>
      </c>
      <c r="AN293" s="260">
        <f t="shared" si="124"/>
        <v>0</v>
      </c>
      <c r="AO293" s="260">
        <f t="shared" si="124"/>
        <v>0</v>
      </c>
    </row>
    <row r="294" spans="3:44" x14ac:dyDescent="0.2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25">
      <c r="C295" s="86"/>
      <c r="F295" t="s">
        <v>1019</v>
      </c>
      <c r="G295" t="s">
        <v>877</v>
      </c>
      <c r="J295" s="260">
        <f t="shared" ref="J295:AO295" si="125" xml:space="preserve"> J293 * J157</f>
        <v>0</v>
      </c>
      <c r="K295" s="260">
        <f t="shared" si="125"/>
        <v>0</v>
      </c>
      <c r="L295" s="260">
        <f t="shared" si="125"/>
        <v>0</v>
      </c>
      <c r="M295" s="260">
        <f t="shared" si="125"/>
        <v>0</v>
      </c>
      <c r="N295" s="260">
        <f t="shared" si="125"/>
        <v>0</v>
      </c>
      <c r="O295" s="260">
        <f t="shared" si="125"/>
        <v>0</v>
      </c>
      <c r="P295" s="260">
        <f t="shared" si="125"/>
        <v>0</v>
      </c>
      <c r="Q295" s="260">
        <f t="shared" si="125"/>
        <v>0</v>
      </c>
      <c r="R295" s="260">
        <f t="shared" si="125"/>
        <v>0</v>
      </c>
      <c r="S295" s="260">
        <f t="shared" si="125"/>
        <v>0</v>
      </c>
      <c r="T295" s="260">
        <f t="shared" si="125"/>
        <v>0</v>
      </c>
      <c r="U295" s="260">
        <f t="shared" si="125"/>
        <v>0</v>
      </c>
      <c r="V295" s="260">
        <f t="shared" si="125"/>
        <v>0</v>
      </c>
      <c r="W295" s="260">
        <f t="shared" si="125"/>
        <v>0</v>
      </c>
      <c r="X295" s="260">
        <f t="shared" si="125"/>
        <v>0</v>
      </c>
      <c r="Y295" s="260">
        <f t="shared" si="125"/>
        <v>0</v>
      </c>
      <c r="Z295" s="260">
        <f t="shared" si="125"/>
        <v>0</v>
      </c>
      <c r="AA295" s="260">
        <f t="shared" si="125"/>
        <v>0</v>
      </c>
      <c r="AB295" s="260">
        <f t="shared" si="125"/>
        <v>0</v>
      </c>
      <c r="AC295" s="260">
        <f t="shared" si="125"/>
        <v>0</v>
      </c>
      <c r="AD295" s="260">
        <f t="shared" si="125"/>
        <v>0</v>
      </c>
      <c r="AE295" s="260">
        <f t="shared" si="125"/>
        <v>0</v>
      </c>
      <c r="AF295" s="260">
        <f t="shared" si="125"/>
        <v>0</v>
      </c>
      <c r="AG295" s="260">
        <f t="shared" si="125"/>
        <v>0</v>
      </c>
      <c r="AH295" s="260">
        <f t="shared" si="125"/>
        <v>0</v>
      </c>
      <c r="AI295" s="260">
        <f t="shared" si="125"/>
        <v>0</v>
      </c>
      <c r="AJ295" s="260">
        <f t="shared" si="125"/>
        <v>0</v>
      </c>
      <c r="AK295" s="260">
        <f t="shared" si="125"/>
        <v>0</v>
      </c>
      <c r="AL295" s="260">
        <f t="shared" si="125"/>
        <v>0</v>
      </c>
      <c r="AM295" s="260">
        <f t="shared" si="125"/>
        <v>0</v>
      </c>
      <c r="AN295" s="260">
        <f t="shared" si="125"/>
        <v>0</v>
      </c>
      <c r="AO295" s="260">
        <f t="shared" si="125"/>
        <v>0</v>
      </c>
    </row>
    <row r="296" spans="3:44" x14ac:dyDescent="0.2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25">
      <c r="C297" s="86"/>
      <c r="E297" s="75" t="s">
        <v>967</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25">
      <c r="C298" s="86"/>
      <c r="F298" s="333" t="s">
        <v>1020</v>
      </c>
      <c r="G298" t="s">
        <v>205</v>
      </c>
      <c r="J298" s="260">
        <f t="shared" ref="J298:AO298" si="126">SUM(J282:J284)</f>
        <v>0</v>
      </c>
      <c r="K298" s="260">
        <f t="shared" si="126"/>
        <v>0</v>
      </c>
      <c r="L298" s="260">
        <f t="shared" si="126"/>
        <v>0</v>
      </c>
      <c r="M298" s="260">
        <f t="shared" si="126"/>
        <v>0</v>
      </c>
      <c r="N298" s="260">
        <f t="shared" si="126"/>
        <v>0</v>
      </c>
      <c r="O298" s="260">
        <f t="shared" si="126"/>
        <v>0</v>
      </c>
      <c r="P298" s="260">
        <f t="shared" si="126"/>
        <v>0</v>
      </c>
      <c r="Q298" s="260">
        <f t="shared" si="126"/>
        <v>0</v>
      </c>
      <c r="R298" s="260">
        <f t="shared" si="126"/>
        <v>0</v>
      </c>
      <c r="S298" s="260">
        <f t="shared" si="126"/>
        <v>0</v>
      </c>
      <c r="T298" s="260">
        <f t="shared" si="126"/>
        <v>0</v>
      </c>
      <c r="U298" s="260">
        <f t="shared" si="126"/>
        <v>0</v>
      </c>
      <c r="V298" s="260">
        <f t="shared" si="126"/>
        <v>0</v>
      </c>
      <c r="W298" s="260">
        <f t="shared" si="126"/>
        <v>0</v>
      </c>
      <c r="X298" s="260">
        <f t="shared" si="126"/>
        <v>0</v>
      </c>
      <c r="Y298" s="260">
        <f t="shared" si="126"/>
        <v>0</v>
      </c>
      <c r="Z298" s="260">
        <f t="shared" si="126"/>
        <v>0</v>
      </c>
      <c r="AA298" s="260">
        <f t="shared" si="126"/>
        <v>0</v>
      </c>
      <c r="AB298" s="260">
        <f t="shared" si="126"/>
        <v>0</v>
      </c>
      <c r="AC298" s="260">
        <f t="shared" si="126"/>
        <v>0</v>
      </c>
      <c r="AD298" s="260">
        <f t="shared" si="126"/>
        <v>0</v>
      </c>
      <c r="AE298" s="260">
        <f t="shared" si="126"/>
        <v>0</v>
      </c>
      <c r="AF298" s="260">
        <f t="shared" si="126"/>
        <v>0</v>
      </c>
      <c r="AG298" s="260">
        <f t="shared" si="126"/>
        <v>0</v>
      </c>
      <c r="AH298" s="260">
        <f t="shared" si="126"/>
        <v>0</v>
      </c>
      <c r="AI298" s="260">
        <f t="shared" si="126"/>
        <v>0</v>
      </c>
      <c r="AJ298" s="260">
        <f t="shared" si="126"/>
        <v>0</v>
      </c>
      <c r="AK298" s="260">
        <f t="shared" si="126"/>
        <v>0</v>
      </c>
      <c r="AL298" s="260">
        <f t="shared" si="126"/>
        <v>0</v>
      </c>
      <c r="AM298" s="260">
        <f t="shared" si="126"/>
        <v>0</v>
      </c>
      <c r="AN298" s="260">
        <f t="shared" si="126"/>
        <v>0</v>
      </c>
      <c r="AO298" s="260">
        <f t="shared" si="126"/>
        <v>0</v>
      </c>
    </row>
    <row r="299" spans="3:44" x14ac:dyDescent="0.2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25">
      <c r="C300" s="86"/>
      <c r="F300" t="s">
        <v>969</v>
      </c>
      <c r="G300" t="s">
        <v>205</v>
      </c>
      <c r="J300" s="260">
        <f t="shared" ref="J300:AO300" si="127">SUMIF($J149:$AO149,J149,$J298:$AOJ298)</f>
        <v>0</v>
      </c>
      <c r="K300" s="260">
        <f t="shared" si="127"/>
        <v>0</v>
      </c>
      <c r="L300" s="260">
        <f t="shared" si="127"/>
        <v>0</v>
      </c>
      <c r="M300" s="260">
        <f t="shared" si="127"/>
        <v>0</v>
      </c>
      <c r="N300" s="260">
        <f t="shared" si="127"/>
        <v>0</v>
      </c>
      <c r="O300" s="260">
        <f t="shared" si="127"/>
        <v>0</v>
      </c>
      <c r="P300" s="260">
        <f t="shared" si="127"/>
        <v>0</v>
      </c>
      <c r="Q300" s="260">
        <f t="shared" si="127"/>
        <v>0</v>
      </c>
      <c r="R300" s="260">
        <f t="shared" si="127"/>
        <v>0</v>
      </c>
      <c r="S300" s="260">
        <f t="shared" si="127"/>
        <v>0</v>
      </c>
      <c r="T300" s="260">
        <f t="shared" si="127"/>
        <v>0</v>
      </c>
      <c r="U300" s="260">
        <f t="shared" si="127"/>
        <v>0</v>
      </c>
      <c r="V300" s="260">
        <f t="shared" si="127"/>
        <v>0</v>
      </c>
      <c r="W300" s="260">
        <f t="shared" si="127"/>
        <v>0</v>
      </c>
      <c r="X300" s="260">
        <f t="shared" si="127"/>
        <v>0</v>
      </c>
      <c r="Y300" s="260">
        <f t="shared" si="127"/>
        <v>0</v>
      </c>
      <c r="Z300" s="260">
        <f t="shared" si="127"/>
        <v>0</v>
      </c>
      <c r="AA300" s="260">
        <f t="shared" si="127"/>
        <v>0</v>
      </c>
      <c r="AB300" s="260">
        <f t="shared" si="127"/>
        <v>0</v>
      </c>
      <c r="AC300" s="260">
        <f t="shared" si="127"/>
        <v>0</v>
      </c>
      <c r="AD300" s="260">
        <f t="shared" si="127"/>
        <v>0</v>
      </c>
      <c r="AE300" s="260">
        <f t="shared" si="127"/>
        <v>0</v>
      </c>
      <c r="AF300" s="260">
        <f t="shared" si="127"/>
        <v>0</v>
      </c>
      <c r="AG300" s="260">
        <f t="shared" si="127"/>
        <v>0</v>
      </c>
      <c r="AH300" s="260">
        <f t="shared" si="127"/>
        <v>0</v>
      </c>
      <c r="AI300" s="260">
        <f t="shared" si="127"/>
        <v>0</v>
      </c>
      <c r="AJ300" s="260">
        <f t="shared" si="127"/>
        <v>0</v>
      </c>
      <c r="AK300" s="260">
        <f t="shared" si="127"/>
        <v>0</v>
      </c>
      <c r="AL300" s="260">
        <f t="shared" si="127"/>
        <v>0</v>
      </c>
      <c r="AM300" s="260">
        <f t="shared" si="127"/>
        <v>0</v>
      </c>
      <c r="AN300" s="260">
        <f t="shared" si="127"/>
        <v>0</v>
      </c>
      <c r="AO300" s="260">
        <f t="shared" si="127"/>
        <v>0</v>
      </c>
    </row>
    <row r="301" spans="3:44" x14ac:dyDescent="0.2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25">
      <c r="C302" s="86"/>
      <c r="F302" t="s">
        <v>971</v>
      </c>
      <c r="G302" t="s">
        <v>205</v>
      </c>
      <c r="J302" s="260">
        <f t="shared" ref="J302:AO302" si="128" xml:space="preserve"> J300 * J157</f>
        <v>0</v>
      </c>
      <c r="K302" s="260">
        <f t="shared" si="128"/>
        <v>0</v>
      </c>
      <c r="L302" s="260">
        <f t="shared" si="128"/>
        <v>0</v>
      </c>
      <c r="M302" s="260">
        <f t="shared" si="128"/>
        <v>0</v>
      </c>
      <c r="N302" s="260">
        <f t="shared" si="128"/>
        <v>0</v>
      </c>
      <c r="O302" s="260">
        <f t="shared" si="128"/>
        <v>0</v>
      </c>
      <c r="P302" s="260">
        <f t="shared" si="128"/>
        <v>0</v>
      </c>
      <c r="Q302" s="260">
        <f t="shared" si="128"/>
        <v>0</v>
      </c>
      <c r="R302" s="260">
        <f t="shared" si="128"/>
        <v>0</v>
      </c>
      <c r="S302" s="260">
        <f t="shared" si="128"/>
        <v>0</v>
      </c>
      <c r="T302" s="260">
        <f t="shared" si="128"/>
        <v>0</v>
      </c>
      <c r="U302" s="260">
        <f t="shared" si="128"/>
        <v>0</v>
      </c>
      <c r="V302" s="260">
        <f t="shared" si="128"/>
        <v>0</v>
      </c>
      <c r="W302" s="260">
        <f t="shared" si="128"/>
        <v>0</v>
      </c>
      <c r="X302" s="260">
        <f t="shared" si="128"/>
        <v>0</v>
      </c>
      <c r="Y302" s="260">
        <f t="shared" si="128"/>
        <v>0</v>
      </c>
      <c r="Z302" s="260">
        <f t="shared" si="128"/>
        <v>0</v>
      </c>
      <c r="AA302" s="260">
        <f t="shared" si="128"/>
        <v>0</v>
      </c>
      <c r="AB302" s="260">
        <f t="shared" si="128"/>
        <v>0</v>
      </c>
      <c r="AC302" s="260">
        <f t="shared" si="128"/>
        <v>0</v>
      </c>
      <c r="AD302" s="260">
        <f t="shared" si="128"/>
        <v>0</v>
      </c>
      <c r="AE302" s="260">
        <f t="shared" si="128"/>
        <v>0</v>
      </c>
      <c r="AF302" s="260">
        <f t="shared" si="128"/>
        <v>0</v>
      </c>
      <c r="AG302" s="260">
        <f t="shared" si="128"/>
        <v>0</v>
      </c>
      <c r="AH302" s="260">
        <f t="shared" si="128"/>
        <v>0</v>
      </c>
      <c r="AI302" s="260">
        <f t="shared" si="128"/>
        <v>0</v>
      </c>
      <c r="AJ302" s="260">
        <f t="shared" si="128"/>
        <v>0</v>
      </c>
      <c r="AK302" s="260">
        <f t="shared" si="128"/>
        <v>0</v>
      </c>
      <c r="AL302" s="260">
        <f t="shared" si="128"/>
        <v>0</v>
      </c>
      <c r="AM302" s="260">
        <f t="shared" si="128"/>
        <v>0</v>
      </c>
      <c r="AN302" s="260">
        <f t="shared" si="128"/>
        <v>0</v>
      </c>
      <c r="AO302" s="260">
        <f t="shared" si="128"/>
        <v>0</v>
      </c>
      <c r="AP302" s="62"/>
      <c r="AQ302" s="62"/>
      <c r="AR302" s="62"/>
    </row>
    <row r="303" spans="3:44" x14ac:dyDescent="0.2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25">
      <c r="C304" s="86"/>
      <c r="E304" s="94" t="s">
        <v>1021</v>
      </c>
      <c r="G304" t="s">
        <v>267</v>
      </c>
      <c r="J304" s="332">
        <f t="shared" ref="J304:AO304" si="129">IF( J298&lt;&gt;0, J295/J302, 0)*hundred/thousand</f>
        <v>0</v>
      </c>
      <c r="K304" s="332">
        <f t="shared" si="129"/>
        <v>0</v>
      </c>
      <c r="L304" s="332">
        <f t="shared" si="129"/>
        <v>0</v>
      </c>
      <c r="M304" s="332">
        <f t="shared" si="129"/>
        <v>0</v>
      </c>
      <c r="N304" s="332">
        <f t="shared" si="129"/>
        <v>0</v>
      </c>
      <c r="O304" s="332">
        <f t="shared" si="129"/>
        <v>0</v>
      </c>
      <c r="P304" s="332">
        <f t="shared" si="129"/>
        <v>0</v>
      </c>
      <c r="Q304" s="332">
        <f t="shared" si="129"/>
        <v>0</v>
      </c>
      <c r="R304" s="332">
        <f t="shared" si="129"/>
        <v>0</v>
      </c>
      <c r="S304" s="332">
        <f t="shared" si="129"/>
        <v>0</v>
      </c>
      <c r="T304" s="332">
        <f t="shared" si="129"/>
        <v>0</v>
      </c>
      <c r="U304" s="332">
        <f t="shared" si="129"/>
        <v>0</v>
      </c>
      <c r="V304" s="332">
        <f t="shared" si="129"/>
        <v>0</v>
      </c>
      <c r="W304" s="332">
        <f t="shared" si="129"/>
        <v>0</v>
      </c>
      <c r="X304" s="332">
        <f t="shared" si="129"/>
        <v>0</v>
      </c>
      <c r="Y304" s="332">
        <f t="shared" si="129"/>
        <v>0</v>
      </c>
      <c r="Z304" s="332">
        <f t="shared" si="129"/>
        <v>0</v>
      </c>
      <c r="AA304" s="332">
        <f t="shared" si="129"/>
        <v>0</v>
      </c>
      <c r="AB304" s="332">
        <f t="shared" si="129"/>
        <v>0</v>
      </c>
      <c r="AC304" s="332">
        <f t="shared" si="129"/>
        <v>0</v>
      </c>
      <c r="AD304" s="332">
        <f t="shared" si="129"/>
        <v>0</v>
      </c>
      <c r="AE304" s="332">
        <f t="shared" si="129"/>
        <v>0</v>
      </c>
      <c r="AF304" s="332">
        <f t="shared" si="129"/>
        <v>0</v>
      </c>
      <c r="AG304" s="332">
        <f t="shared" si="129"/>
        <v>0</v>
      </c>
      <c r="AH304" s="332">
        <f t="shared" si="129"/>
        <v>0</v>
      </c>
      <c r="AI304" s="332">
        <f t="shared" si="129"/>
        <v>0</v>
      </c>
      <c r="AJ304" s="332">
        <f t="shared" si="129"/>
        <v>0</v>
      </c>
      <c r="AK304" s="332">
        <f t="shared" si="129"/>
        <v>0</v>
      </c>
      <c r="AL304" s="332">
        <f t="shared" si="129"/>
        <v>0</v>
      </c>
      <c r="AM304" s="332">
        <f t="shared" si="129"/>
        <v>0</v>
      </c>
      <c r="AN304" s="332">
        <f t="shared" si="129"/>
        <v>0</v>
      </c>
      <c r="AO304" s="332">
        <f t="shared" si="129"/>
        <v>0</v>
      </c>
    </row>
    <row r="305" spans="3:43" x14ac:dyDescent="0.2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25">
      <c r="C306" s="86"/>
      <c r="E306" s="75" t="s">
        <v>1022</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25">
      <c r="C307" s="86"/>
      <c r="F307" s="95" t="s">
        <v>1002</v>
      </c>
      <c r="G307" s="95" t="s">
        <v>859</v>
      </c>
      <c r="H307" s="95"/>
      <c r="I307" s="95"/>
      <c r="J307" s="338" t="b">
        <f t="shared" ref="J307:AO307" si="130">IF(J$32, - J262+J$304&gt;=0, TRUE)</f>
        <v>1</v>
      </c>
      <c r="K307" s="338" t="b">
        <f t="shared" si="130"/>
        <v>1</v>
      </c>
      <c r="L307" s="338" t="b">
        <f t="shared" si="130"/>
        <v>1</v>
      </c>
      <c r="M307" s="338" t="b">
        <f t="shared" si="130"/>
        <v>1</v>
      </c>
      <c r="N307" s="338" t="b">
        <f t="shared" si="130"/>
        <v>1</v>
      </c>
      <c r="O307" s="338" t="b">
        <f t="shared" si="130"/>
        <v>1</v>
      </c>
      <c r="P307" s="338" t="b">
        <f t="shared" si="130"/>
        <v>1</v>
      </c>
      <c r="Q307" s="338" t="b">
        <f t="shared" si="130"/>
        <v>1</v>
      </c>
      <c r="R307" s="338" t="b">
        <f t="shared" si="130"/>
        <v>1</v>
      </c>
      <c r="S307" s="338" t="b">
        <f t="shared" si="130"/>
        <v>1</v>
      </c>
      <c r="T307" s="338" t="b">
        <f t="shared" si="130"/>
        <v>1</v>
      </c>
      <c r="U307" s="338" t="b">
        <f t="shared" si="130"/>
        <v>1</v>
      </c>
      <c r="V307" s="338" t="b">
        <f t="shared" si="130"/>
        <v>1</v>
      </c>
      <c r="W307" s="338" t="b">
        <f t="shared" si="130"/>
        <v>1</v>
      </c>
      <c r="X307" s="338" t="b">
        <f t="shared" si="130"/>
        <v>1</v>
      </c>
      <c r="Y307" s="338" t="b">
        <f t="shared" si="130"/>
        <v>1</v>
      </c>
      <c r="Z307" s="338" t="b">
        <f t="shared" si="130"/>
        <v>1</v>
      </c>
      <c r="AA307" s="338" t="b">
        <f t="shared" si="130"/>
        <v>1</v>
      </c>
      <c r="AB307" s="338" t="b">
        <f t="shared" si="130"/>
        <v>1</v>
      </c>
      <c r="AC307" s="338" t="b">
        <f t="shared" si="130"/>
        <v>1</v>
      </c>
      <c r="AD307" s="338" t="b">
        <f t="shared" si="130"/>
        <v>1</v>
      </c>
      <c r="AE307" s="338" t="b">
        <f t="shared" si="130"/>
        <v>1</v>
      </c>
      <c r="AF307" s="338" t="b">
        <f t="shared" si="130"/>
        <v>1</v>
      </c>
      <c r="AG307" s="338" t="b">
        <f t="shared" si="130"/>
        <v>1</v>
      </c>
      <c r="AH307" s="338" t="b">
        <f t="shared" si="130"/>
        <v>1</v>
      </c>
      <c r="AI307" s="338" t="b">
        <f t="shared" si="130"/>
        <v>1</v>
      </c>
      <c r="AJ307" s="338" t="b">
        <f t="shared" si="130"/>
        <v>1</v>
      </c>
      <c r="AK307" s="338" t="b">
        <f t="shared" si="130"/>
        <v>1</v>
      </c>
      <c r="AL307" s="338" t="b">
        <f t="shared" si="130"/>
        <v>1</v>
      </c>
      <c r="AM307" s="338" t="b">
        <f t="shared" si="130"/>
        <v>1</v>
      </c>
      <c r="AN307" s="338" t="b">
        <f t="shared" si="130"/>
        <v>1</v>
      </c>
      <c r="AO307" s="338" t="b">
        <f t="shared" si="130"/>
        <v>1</v>
      </c>
    </row>
    <row r="308" spans="3:43" x14ac:dyDescent="0.25">
      <c r="C308" s="86"/>
      <c r="F308" t="s">
        <v>1003</v>
      </c>
      <c r="G308" t="s">
        <v>859</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1</v>
      </c>
      <c r="AE308" s="62" t="b">
        <f t="shared" si="131"/>
        <v>1</v>
      </c>
      <c r="AF308" s="62" t="b">
        <f t="shared" si="131"/>
        <v>1</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25">
      <c r="C309" s="86"/>
      <c r="F309" s="96" t="s">
        <v>1004</v>
      </c>
      <c r="G309" s="96" t="s">
        <v>859</v>
      </c>
      <c r="H309" s="96"/>
      <c r="I309" s="96"/>
      <c r="J309" s="339" t="b">
        <f t="shared" ref="J309:AO309" si="132">IF(J$32, - J264+J$304&gt;=0, TRUE)</f>
        <v>1</v>
      </c>
      <c r="K309" s="339" t="b">
        <f t="shared" si="132"/>
        <v>1</v>
      </c>
      <c r="L309" s="339" t="b">
        <f t="shared" si="132"/>
        <v>1</v>
      </c>
      <c r="M309" s="339" t="b">
        <f t="shared" si="132"/>
        <v>1</v>
      </c>
      <c r="N309" s="339" t="b">
        <f t="shared" si="132"/>
        <v>1</v>
      </c>
      <c r="O309" s="339" t="b">
        <f t="shared" si="132"/>
        <v>1</v>
      </c>
      <c r="P309" s="339" t="b">
        <f t="shared" si="132"/>
        <v>1</v>
      </c>
      <c r="Q309" s="339" t="b">
        <f t="shared" si="132"/>
        <v>1</v>
      </c>
      <c r="R309" s="339" t="b">
        <f t="shared" si="132"/>
        <v>1</v>
      </c>
      <c r="S309" s="339" t="b">
        <f t="shared" si="132"/>
        <v>1</v>
      </c>
      <c r="T309" s="339" t="b">
        <f t="shared" si="132"/>
        <v>1</v>
      </c>
      <c r="U309" s="339" t="b">
        <f t="shared" si="132"/>
        <v>1</v>
      </c>
      <c r="V309" s="339" t="b">
        <f t="shared" si="132"/>
        <v>1</v>
      </c>
      <c r="W309" s="339" t="b">
        <f t="shared" si="132"/>
        <v>1</v>
      </c>
      <c r="X309" s="339" t="b">
        <f t="shared" si="132"/>
        <v>1</v>
      </c>
      <c r="Y309" s="339" t="b">
        <f t="shared" si="132"/>
        <v>1</v>
      </c>
      <c r="Z309" s="339" t="b">
        <f t="shared" si="132"/>
        <v>1</v>
      </c>
      <c r="AA309" s="339" t="b">
        <f t="shared" si="132"/>
        <v>1</v>
      </c>
      <c r="AB309" s="339" t="b">
        <f t="shared" si="132"/>
        <v>1</v>
      </c>
      <c r="AC309" s="339" t="b">
        <f t="shared" si="132"/>
        <v>1</v>
      </c>
      <c r="AD309" s="339" t="b">
        <f t="shared" si="132"/>
        <v>1</v>
      </c>
      <c r="AE309" s="339" t="b">
        <f t="shared" si="132"/>
        <v>1</v>
      </c>
      <c r="AF309" s="339" t="b">
        <f t="shared" si="132"/>
        <v>1</v>
      </c>
      <c r="AG309" s="339" t="b">
        <f t="shared" si="132"/>
        <v>1</v>
      </c>
      <c r="AH309" s="339" t="b">
        <f t="shared" si="132"/>
        <v>1</v>
      </c>
      <c r="AI309" s="339" t="b">
        <f t="shared" si="132"/>
        <v>1</v>
      </c>
      <c r="AJ309" s="339" t="b">
        <f t="shared" si="132"/>
        <v>1</v>
      </c>
      <c r="AK309" s="339" t="b">
        <f t="shared" si="132"/>
        <v>1</v>
      </c>
      <c r="AL309" s="339" t="b">
        <f t="shared" si="132"/>
        <v>1</v>
      </c>
      <c r="AM309" s="339" t="b">
        <f t="shared" si="132"/>
        <v>1</v>
      </c>
      <c r="AN309" s="339" t="b">
        <f t="shared" si="132"/>
        <v>1</v>
      </c>
      <c r="AO309" s="339" t="b">
        <f t="shared" si="132"/>
        <v>1</v>
      </c>
    </row>
    <row r="310" spans="3:43" x14ac:dyDescent="0.2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25">
      <c r="C311" s="86"/>
      <c r="E311" t="s">
        <v>1023</v>
      </c>
      <c r="G311" t="s">
        <v>859</v>
      </c>
      <c r="J311" s="62" t="b">
        <f>COUNTIF(J307:J309,TRUE)=3</f>
        <v>1</v>
      </c>
      <c r="K311" s="62" t="b">
        <f t="shared" ref="K311:AO311" si="133">COUNTIF(K307:K309,TRUE)=3</f>
        <v>1</v>
      </c>
      <c r="L311" s="62" t="b">
        <f t="shared" si="133"/>
        <v>1</v>
      </c>
      <c r="M311" s="62" t="b">
        <f t="shared" si="133"/>
        <v>1</v>
      </c>
      <c r="N311" s="62" t="b">
        <f t="shared" si="133"/>
        <v>1</v>
      </c>
      <c r="O311" s="62" t="b">
        <f t="shared" si="133"/>
        <v>1</v>
      </c>
      <c r="P311" s="62" t="b">
        <f t="shared" si="133"/>
        <v>1</v>
      </c>
      <c r="Q311" s="62" t="b">
        <f t="shared" si="133"/>
        <v>1</v>
      </c>
      <c r="R311" s="62" t="b">
        <f t="shared" si="133"/>
        <v>1</v>
      </c>
      <c r="S311" s="62" t="b">
        <f t="shared" si="133"/>
        <v>1</v>
      </c>
      <c r="T311" s="62" t="b">
        <f t="shared" si="133"/>
        <v>1</v>
      </c>
      <c r="U311" s="62" t="b">
        <f t="shared" si="133"/>
        <v>1</v>
      </c>
      <c r="V311" s="62" t="b">
        <f t="shared" si="133"/>
        <v>1</v>
      </c>
      <c r="W311" s="62" t="b">
        <f t="shared" si="133"/>
        <v>1</v>
      </c>
      <c r="X311" s="62" t="b">
        <f t="shared" si="133"/>
        <v>1</v>
      </c>
      <c r="Y311" s="62" t="b">
        <f t="shared" si="133"/>
        <v>1</v>
      </c>
      <c r="Z311" s="62" t="b">
        <f t="shared" si="133"/>
        <v>1</v>
      </c>
      <c r="AA311" s="62" t="b">
        <f t="shared" si="133"/>
        <v>1</v>
      </c>
      <c r="AB311" s="62" t="b">
        <f t="shared" si="133"/>
        <v>1</v>
      </c>
      <c r="AC311" s="62" t="b">
        <f t="shared" si="133"/>
        <v>1</v>
      </c>
      <c r="AD311" s="62" t="b">
        <f t="shared" si="133"/>
        <v>1</v>
      </c>
      <c r="AE311" s="62" t="b">
        <f t="shared" si="133"/>
        <v>1</v>
      </c>
      <c r="AF311" s="62" t="b">
        <f t="shared" si="133"/>
        <v>1</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2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25">
      <c r="C313" s="93" t="str">
        <f ca="1">INDEX('Version control'!$H$41:$H$64,MATCH($A$1,'Version control'!$F$41:$F$64,0),1)&amp;"-L: Revenue matching for two timebands"</f>
        <v>Section 116-L: Revenue matching for two timebands</v>
      </c>
      <c r="D313" s="93"/>
      <c r="E313" s="93"/>
      <c r="F313" s="93"/>
      <c r="G313" s="93"/>
      <c r="H313" s="93"/>
      <c r="I313" s="9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253"/>
      <c r="AF313" s="253"/>
      <c r="AG313" s="253"/>
      <c r="AH313" s="253"/>
      <c r="AI313" s="253"/>
      <c r="AJ313" s="253"/>
      <c r="AK313" s="253"/>
      <c r="AL313" s="253"/>
      <c r="AM313" s="253"/>
      <c r="AN313" s="253"/>
      <c r="AO313" s="253"/>
      <c r="AP313" s="93"/>
      <c r="AQ313" s="93"/>
    </row>
    <row r="314" spans="3:43" x14ac:dyDescent="0.2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25">
      <c r="C315" s="86"/>
      <c r="D315" s="86" t="s">
        <v>1091</v>
      </c>
      <c r="E315" s="75"/>
      <c r="I315" t="s">
        <v>152</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1069</v>
      </c>
    </row>
    <row r="316" spans="3:43" x14ac:dyDescent="0.25">
      <c r="C316" s="86"/>
      <c r="D316" s="86" t="s">
        <v>1024</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25">
      <c r="C317" s="86"/>
      <c r="D317" s="86" t="s">
        <v>1025</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25">
      <c r="C318" s="86"/>
      <c r="D318" s="86" t="s">
        <v>1026</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2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25">
      <c r="C320" s="86"/>
      <c r="E320" s="75" t="s">
        <v>1027</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25">
      <c r="C321" s="86"/>
      <c r="F321" s="109" t="s">
        <v>1028</v>
      </c>
      <c r="G321" t="s">
        <v>877</v>
      </c>
      <c r="J321" s="260">
        <f t="shared" ref="J321:AO321" si="134">J262*J282*thousand/hundred</f>
        <v>0</v>
      </c>
      <c r="K321" s="260">
        <f t="shared" si="134"/>
        <v>0</v>
      </c>
      <c r="L321" s="260">
        <f t="shared" si="134"/>
        <v>0</v>
      </c>
      <c r="M321" s="260">
        <f t="shared" si="134"/>
        <v>0</v>
      </c>
      <c r="N321" s="260">
        <f t="shared" si="134"/>
        <v>0</v>
      </c>
      <c r="O321" s="260">
        <f t="shared" si="134"/>
        <v>0</v>
      </c>
      <c r="P321" s="260">
        <f t="shared" si="134"/>
        <v>0</v>
      </c>
      <c r="Q321" s="260">
        <f t="shared" si="134"/>
        <v>0</v>
      </c>
      <c r="R321" s="260">
        <f t="shared" si="134"/>
        <v>0</v>
      </c>
      <c r="S321" s="260">
        <f t="shared" si="134"/>
        <v>0</v>
      </c>
      <c r="T321" s="260">
        <f t="shared" si="134"/>
        <v>0</v>
      </c>
      <c r="U321" s="260">
        <f t="shared" si="134"/>
        <v>0</v>
      </c>
      <c r="V321" s="260">
        <f t="shared" si="134"/>
        <v>0</v>
      </c>
      <c r="W321" s="260">
        <f t="shared" si="134"/>
        <v>0</v>
      </c>
      <c r="X321" s="260">
        <f t="shared" si="134"/>
        <v>0</v>
      </c>
      <c r="Y321" s="260">
        <f t="shared" si="134"/>
        <v>0</v>
      </c>
      <c r="Z321" s="260">
        <f t="shared" si="134"/>
        <v>0</v>
      </c>
      <c r="AA321" s="260">
        <f t="shared" si="134"/>
        <v>0</v>
      </c>
      <c r="AB321" s="260">
        <f t="shared" si="134"/>
        <v>0</v>
      </c>
      <c r="AC321" s="260">
        <f t="shared" si="134"/>
        <v>0</v>
      </c>
      <c r="AD321" s="260">
        <f t="shared" si="134"/>
        <v>0</v>
      </c>
      <c r="AE321" s="260">
        <f t="shared" si="134"/>
        <v>0</v>
      </c>
      <c r="AF321" s="260">
        <f t="shared" si="134"/>
        <v>0</v>
      </c>
      <c r="AG321" s="260">
        <f t="shared" si="134"/>
        <v>0</v>
      </c>
      <c r="AH321" s="260">
        <f t="shared" si="134"/>
        <v>0</v>
      </c>
      <c r="AI321" s="260">
        <f t="shared" si="134"/>
        <v>0</v>
      </c>
      <c r="AJ321" s="260">
        <f t="shared" si="134"/>
        <v>0</v>
      </c>
      <c r="AK321" s="260">
        <f t="shared" si="134"/>
        <v>0</v>
      </c>
      <c r="AL321" s="260">
        <f t="shared" si="134"/>
        <v>0</v>
      </c>
      <c r="AM321" s="260">
        <f t="shared" si="134"/>
        <v>0</v>
      </c>
      <c r="AN321" s="260">
        <f t="shared" si="134"/>
        <v>0</v>
      </c>
      <c r="AO321" s="260">
        <f t="shared" si="134"/>
        <v>0</v>
      </c>
    </row>
    <row r="322" spans="3:44" x14ac:dyDescent="0.2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25">
      <c r="C323" s="86"/>
      <c r="F323" s="340" t="s">
        <v>1029</v>
      </c>
      <c r="G323" t="s">
        <v>877</v>
      </c>
      <c r="J323" s="260">
        <f t="shared" ref="J323:AO323" si="135">J228 - J321</f>
        <v>0</v>
      </c>
      <c r="K323" s="260">
        <f t="shared" si="135"/>
        <v>0</v>
      </c>
      <c r="L323" s="260">
        <f t="shared" si="135"/>
        <v>0</v>
      </c>
      <c r="M323" s="260">
        <f t="shared" si="135"/>
        <v>0</v>
      </c>
      <c r="N323" s="260">
        <f t="shared" si="135"/>
        <v>0</v>
      </c>
      <c r="O323" s="260">
        <f t="shared" si="135"/>
        <v>0</v>
      </c>
      <c r="P323" s="260">
        <f t="shared" si="135"/>
        <v>0</v>
      </c>
      <c r="Q323" s="260">
        <f t="shared" si="135"/>
        <v>0</v>
      </c>
      <c r="R323" s="260">
        <f t="shared" si="135"/>
        <v>0</v>
      </c>
      <c r="S323" s="260">
        <f t="shared" si="135"/>
        <v>0</v>
      </c>
      <c r="T323" s="260">
        <f t="shared" si="135"/>
        <v>0</v>
      </c>
      <c r="U323" s="260">
        <f t="shared" si="135"/>
        <v>0</v>
      </c>
      <c r="V323" s="260">
        <f t="shared" si="135"/>
        <v>0</v>
      </c>
      <c r="W323" s="260">
        <f t="shared" si="135"/>
        <v>0</v>
      </c>
      <c r="X323" s="260">
        <f t="shared" si="135"/>
        <v>0</v>
      </c>
      <c r="Y323" s="260">
        <f t="shared" si="135"/>
        <v>0</v>
      </c>
      <c r="Z323" s="260">
        <f t="shared" si="135"/>
        <v>0</v>
      </c>
      <c r="AA323" s="260">
        <f t="shared" si="135"/>
        <v>0</v>
      </c>
      <c r="AB323" s="260">
        <f t="shared" si="135"/>
        <v>0</v>
      </c>
      <c r="AC323" s="260">
        <f t="shared" si="135"/>
        <v>0</v>
      </c>
      <c r="AD323" s="260">
        <f t="shared" si="135"/>
        <v>0</v>
      </c>
      <c r="AE323" s="260">
        <f t="shared" si="135"/>
        <v>0</v>
      </c>
      <c r="AF323" s="260">
        <f t="shared" si="135"/>
        <v>0</v>
      </c>
      <c r="AG323" s="260">
        <f t="shared" si="135"/>
        <v>0</v>
      </c>
      <c r="AH323" s="260">
        <f t="shared" si="135"/>
        <v>0</v>
      </c>
      <c r="AI323" s="260">
        <f t="shared" si="135"/>
        <v>0</v>
      </c>
      <c r="AJ323" s="260">
        <f t="shared" si="135"/>
        <v>0</v>
      </c>
      <c r="AK323" s="260">
        <f t="shared" si="135"/>
        <v>0</v>
      </c>
      <c r="AL323" s="260">
        <f t="shared" si="135"/>
        <v>0</v>
      </c>
      <c r="AM323" s="260">
        <f t="shared" si="135"/>
        <v>0</v>
      </c>
      <c r="AN323" s="260">
        <f t="shared" si="135"/>
        <v>0</v>
      </c>
      <c r="AO323" s="260">
        <f t="shared" si="135"/>
        <v>0</v>
      </c>
    </row>
    <row r="324" spans="3:44" x14ac:dyDescent="0.2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25">
      <c r="C325" s="86"/>
      <c r="F325" t="s">
        <v>1018</v>
      </c>
      <c r="G325" t="s">
        <v>877</v>
      </c>
      <c r="J325" s="260">
        <f>SUMIF($J$149:$AO$149,J$149,$J323:$AO323)</f>
        <v>0</v>
      </c>
      <c r="K325" s="260">
        <f t="shared" ref="K325:AO325" si="136">SUMIF($J$149:$AO$149,K$149,$J323:$AO323)</f>
        <v>0</v>
      </c>
      <c r="L325" s="260">
        <f t="shared" si="136"/>
        <v>0</v>
      </c>
      <c r="M325" s="260">
        <f t="shared" si="136"/>
        <v>0</v>
      </c>
      <c r="N325" s="260">
        <f t="shared" si="136"/>
        <v>0</v>
      </c>
      <c r="O325" s="260">
        <f t="shared" si="136"/>
        <v>0</v>
      </c>
      <c r="P325" s="260">
        <f t="shared" si="136"/>
        <v>0</v>
      </c>
      <c r="Q325" s="260">
        <f t="shared" si="136"/>
        <v>0</v>
      </c>
      <c r="R325" s="260">
        <f t="shared" si="136"/>
        <v>0</v>
      </c>
      <c r="S325" s="260">
        <f t="shared" si="136"/>
        <v>0</v>
      </c>
      <c r="T325" s="260">
        <f t="shared" si="136"/>
        <v>0</v>
      </c>
      <c r="U325" s="260">
        <f t="shared" si="136"/>
        <v>0</v>
      </c>
      <c r="V325" s="260">
        <f t="shared" si="136"/>
        <v>0</v>
      </c>
      <c r="W325" s="260">
        <f t="shared" si="136"/>
        <v>0</v>
      </c>
      <c r="X325" s="260">
        <f t="shared" si="136"/>
        <v>0</v>
      </c>
      <c r="Y325" s="260">
        <f t="shared" si="136"/>
        <v>0</v>
      </c>
      <c r="Z325" s="260">
        <f t="shared" si="136"/>
        <v>0</v>
      </c>
      <c r="AA325" s="260">
        <f t="shared" si="136"/>
        <v>0</v>
      </c>
      <c r="AB325" s="260">
        <f t="shared" si="136"/>
        <v>0</v>
      </c>
      <c r="AC325" s="260">
        <f t="shared" si="136"/>
        <v>0</v>
      </c>
      <c r="AD325" s="260">
        <f t="shared" si="136"/>
        <v>0</v>
      </c>
      <c r="AE325" s="260">
        <f t="shared" si="136"/>
        <v>0</v>
      </c>
      <c r="AF325" s="260">
        <f t="shared" si="136"/>
        <v>0</v>
      </c>
      <c r="AG325" s="260">
        <f t="shared" si="136"/>
        <v>0</v>
      </c>
      <c r="AH325" s="260">
        <f t="shared" si="136"/>
        <v>0</v>
      </c>
      <c r="AI325" s="260">
        <f t="shared" si="136"/>
        <v>0</v>
      </c>
      <c r="AJ325" s="260">
        <f t="shared" si="136"/>
        <v>0</v>
      </c>
      <c r="AK325" s="260">
        <f t="shared" si="136"/>
        <v>0</v>
      </c>
      <c r="AL325" s="260">
        <f t="shared" si="136"/>
        <v>0</v>
      </c>
      <c r="AM325" s="260">
        <f t="shared" si="136"/>
        <v>0</v>
      </c>
      <c r="AN325" s="260">
        <f t="shared" si="136"/>
        <v>0</v>
      </c>
      <c r="AO325" s="260">
        <f t="shared" si="136"/>
        <v>0</v>
      </c>
    </row>
    <row r="326" spans="3:44" x14ac:dyDescent="0.2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25">
      <c r="C327" s="86"/>
      <c r="F327" t="s">
        <v>1019</v>
      </c>
      <c r="G327" t="s">
        <v>877</v>
      </c>
      <c r="J327" s="260">
        <f t="shared" ref="J327:AO327" si="137" xml:space="preserve"> J325 * J157</f>
        <v>0</v>
      </c>
      <c r="K327" s="260">
        <f t="shared" si="137"/>
        <v>0</v>
      </c>
      <c r="L327" s="260">
        <f t="shared" si="137"/>
        <v>0</v>
      </c>
      <c r="M327" s="260">
        <f t="shared" si="137"/>
        <v>0</v>
      </c>
      <c r="N327" s="260">
        <f t="shared" si="137"/>
        <v>0</v>
      </c>
      <c r="O327" s="260">
        <f t="shared" si="137"/>
        <v>0</v>
      </c>
      <c r="P327" s="260">
        <f t="shared" si="137"/>
        <v>0</v>
      </c>
      <c r="Q327" s="260">
        <f t="shared" si="137"/>
        <v>0</v>
      </c>
      <c r="R327" s="260">
        <f t="shared" si="137"/>
        <v>0</v>
      </c>
      <c r="S327" s="260">
        <f t="shared" si="137"/>
        <v>0</v>
      </c>
      <c r="T327" s="260">
        <f t="shared" si="137"/>
        <v>0</v>
      </c>
      <c r="U327" s="260">
        <f t="shared" si="137"/>
        <v>0</v>
      </c>
      <c r="V327" s="260">
        <f t="shared" si="137"/>
        <v>0</v>
      </c>
      <c r="W327" s="260">
        <f t="shared" si="137"/>
        <v>0</v>
      </c>
      <c r="X327" s="260">
        <f t="shared" si="137"/>
        <v>0</v>
      </c>
      <c r="Y327" s="260">
        <f t="shared" si="137"/>
        <v>0</v>
      </c>
      <c r="Z327" s="260">
        <f t="shared" si="137"/>
        <v>0</v>
      </c>
      <c r="AA327" s="260">
        <f t="shared" si="137"/>
        <v>0</v>
      </c>
      <c r="AB327" s="260">
        <f t="shared" si="137"/>
        <v>0</v>
      </c>
      <c r="AC327" s="260">
        <f t="shared" si="137"/>
        <v>0</v>
      </c>
      <c r="AD327" s="260">
        <f t="shared" si="137"/>
        <v>0</v>
      </c>
      <c r="AE327" s="260">
        <f t="shared" si="137"/>
        <v>0</v>
      </c>
      <c r="AF327" s="260">
        <f t="shared" si="137"/>
        <v>0</v>
      </c>
      <c r="AG327" s="260">
        <f t="shared" si="137"/>
        <v>0</v>
      </c>
      <c r="AH327" s="260">
        <f t="shared" si="137"/>
        <v>0</v>
      </c>
      <c r="AI327" s="260">
        <f t="shared" si="137"/>
        <v>0</v>
      </c>
      <c r="AJ327" s="260">
        <f t="shared" si="137"/>
        <v>0</v>
      </c>
      <c r="AK327" s="260">
        <f t="shared" si="137"/>
        <v>0</v>
      </c>
      <c r="AL327" s="260">
        <f t="shared" si="137"/>
        <v>0</v>
      </c>
      <c r="AM327" s="260">
        <f t="shared" si="137"/>
        <v>0</v>
      </c>
      <c r="AN327" s="260">
        <f t="shared" si="137"/>
        <v>0</v>
      </c>
      <c r="AO327" s="260">
        <f t="shared" si="137"/>
        <v>0</v>
      </c>
    </row>
    <row r="328" spans="3:44" x14ac:dyDescent="0.2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25">
      <c r="C329" s="86"/>
      <c r="E329" s="75" t="s">
        <v>967</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25">
      <c r="C330" s="86"/>
      <c r="F330" s="333" t="s">
        <v>1030</v>
      </c>
      <c r="G330" t="s">
        <v>205</v>
      </c>
      <c r="J330" s="260">
        <f t="shared" ref="J330:AO330" si="138">SUM(J283:J284)</f>
        <v>0</v>
      </c>
      <c r="K330" s="260">
        <f t="shared" si="138"/>
        <v>0</v>
      </c>
      <c r="L330" s="260">
        <f t="shared" si="138"/>
        <v>0</v>
      </c>
      <c r="M330" s="260">
        <f t="shared" si="138"/>
        <v>0</v>
      </c>
      <c r="N330" s="260">
        <f t="shared" si="138"/>
        <v>0</v>
      </c>
      <c r="O330" s="260">
        <f t="shared" si="138"/>
        <v>0</v>
      </c>
      <c r="P330" s="260">
        <f t="shared" si="138"/>
        <v>0</v>
      </c>
      <c r="Q330" s="260">
        <f t="shared" si="138"/>
        <v>0</v>
      </c>
      <c r="R330" s="260">
        <f t="shared" si="138"/>
        <v>0</v>
      </c>
      <c r="S330" s="260">
        <f t="shared" si="138"/>
        <v>0</v>
      </c>
      <c r="T330" s="260">
        <f t="shared" si="138"/>
        <v>0</v>
      </c>
      <c r="U330" s="260">
        <f t="shared" si="138"/>
        <v>0</v>
      </c>
      <c r="V330" s="260">
        <f t="shared" si="138"/>
        <v>0</v>
      </c>
      <c r="W330" s="260">
        <f t="shared" si="138"/>
        <v>0</v>
      </c>
      <c r="X330" s="260">
        <f t="shared" si="138"/>
        <v>0</v>
      </c>
      <c r="Y330" s="260">
        <f t="shared" si="138"/>
        <v>0</v>
      </c>
      <c r="Z330" s="260">
        <f t="shared" si="138"/>
        <v>0</v>
      </c>
      <c r="AA330" s="260">
        <f t="shared" si="138"/>
        <v>0</v>
      </c>
      <c r="AB330" s="260">
        <f t="shared" si="138"/>
        <v>0</v>
      </c>
      <c r="AC330" s="260">
        <f t="shared" si="138"/>
        <v>0</v>
      </c>
      <c r="AD330" s="260">
        <f t="shared" si="138"/>
        <v>0</v>
      </c>
      <c r="AE330" s="260">
        <f t="shared" si="138"/>
        <v>0</v>
      </c>
      <c r="AF330" s="260">
        <f t="shared" si="138"/>
        <v>0</v>
      </c>
      <c r="AG330" s="260">
        <f t="shared" si="138"/>
        <v>0</v>
      </c>
      <c r="AH330" s="260">
        <f t="shared" si="138"/>
        <v>0</v>
      </c>
      <c r="AI330" s="260">
        <f t="shared" si="138"/>
        <v>0</v>
      </c>
      <c r="AJ330" s="260">
        <f t="shared" si="138"/>
        <v>0</v>
      </c>
      <c r="AK330" s="260">
        <f t="shared" si="138"/>
        <v>0</v>
      </c>
      <c r="AL330" s="260">
        <f t="shared" si="138"/>
        <v>0</v>
      </c>
      <c r="AM330" s="260">
        <f t="shared" si="138"/>
        <v>0</v>
      </c>
      <c r="AN330" s="260">
        <f t="shared" si="138"/>
        <v>0</v>
      </c>
      <c r="AO330" s="260">
        <f t="shared" si="138"/>
        <v>0</v>
      </c>
    </row>
    <row r="331" spans="3:44" x14ac:dyDescent="0.2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25">
      <c r="C332" s="86"/>
      <c r="F332" t="s">
        <v>969</v>
      </c>
      <c r="G332" t="s">
        <v>205</v>
      </c>
      <c r="J332" s="260">
        <f>SUMIF($J$149:$AO$149,J$149,$J330:$AO330)</f>
        <v>0</v>
      </c>
      <c r="K332" s="260">
        <f t="shared" ref="K332:AO332" si="139">SUMIF($J$149:$AO$149,K$149,$J330:$AO330)</f>
        <v>0</v>
      </c>
      <c r="L332" s="260">
        <f t="shared" si="139"/>
        <v>0</v>
      </c>
      <c r="M332" s="260">
        <f t="shared" si="139"/>
        <v>0</v>
      </c>
      <c r="N332" s="260">
        <f t="shared" si="139"/>
        <v>0</v>
      </c>
      <c r="O332" s="260">
        <f t="shared" si="139"/>
        <v>0</v>
      </c>
      <c r="P332" s="260">
        <f t="shared" si="139"/>
        <v>0</v>
      </c>
      <c r="Q332" s="260">
        <f t="shared" si="139"/>
        <v>0</v>
      </c>
      <c r="R332" s="260">
        <f t="shared" si="139"/>
        <v>0</v>
      </c>
      <c r="S332" s="260">
        <f t="shared" si="139"/>
        <v>0</v>
      </c>
      <c r="T332" s="260">
        <f t="shared" si="139"/>
        <v>0</v>
      </c>
      <c r="U332" s="260">
        <f t="shared" si="139"/>
        <v>0</v>
      </c>
      <c r="V332" s="260">
        <f t="shared" si="139"/>
        <v>0</v>
      </c>
      <c r="W332" s="260">
        <f t="shared" si="139"/>
        <v>0</v>
      </c>
      <c r="X332" s="260">
        <f t="shared" si="139"/>
        <v>0</v>
      </c>
      <c r="Y332" s="260">
        <f t="shared" si="139"/>
        <v>0</v>
      </c>
      <c r="Z332" s="260">
        <f t="shared" si="139"/>
        <v>0</v>
      </c>
      <c r="AA332" s="260">
        <f t="shared" si="139"/>
        <v>0</v>
      </c>
      <c r="AB332" s="260">
        <f t="shared" si="139"/>
        <v>0</v>
      </c>
      <c r="AC332" s="260">
        <f t="shared" si="139"/>
        <v>0</v>
      </c>
      <c r="AD332" s="260">
        <f t="shared" si="139"/>
        <v>0</v>
      </c>
      <c r="AE332" s="260">
        <f t="shared" si="139"/>
        <v>0</v>
      </c>
      <c r="AF332" s="260">
        <f t="shared" si="139"/>
        <v>0</v>
      </c>
      <c r="AG332" s="260">
        <f t="shared" si="139"/>
        <v>0</v>
      </c>
      <c r="AH332" s="260">
        <f t="shared" si="139"/>
        <v>0</v>
      </c>
      <c r="AI332" s="260">
        <f t="shared" si="139"/>
        <v>0</v>
      </c>
      <c r="AJ332" s="260">
        <f t="shared" si="139"/>
        <v>0</v>
      </c>
      <c r="AK332" s="260">
        <f t="shared" si="139"/>
        <v>0</v>
      </c>
      <c r="AL332" s="260">
        <f t="shared" si="139"/>
        <v>0</v>
      </c>
      <c r="AM332" s="260">
        <f t="shared" si="139"/>
        <v>0</v>
      </c>
      <c r="AN332" s="260">
        <f t="shared" si="139"/>
        <v>0</v>
      </c>
      <c r="AO332" s="260">
        <f t="shared" si="139"/>
        <v>0</v>
      </c>
    </row>
    <row r="333" spans="3:44" x14ac:dyDescent="0.2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25">
      <c r="C334" s="86"/>
      <c r="F334" t="s">
        <v>971</v>
      </c>
      <c r="G334" t="s">
        <v>205</v>
      </c>
      <c r="J334" s="260">
        <f xml:space="preserve"> J332 * J$157</f>
        <v>0</v>
      </c>
      <c r="K334" s="260">
        <f t="shared" ref="K334:AO334" si="140" xml:space="preserve"> K332 * K$157</f>
        <v>0</v>
      </c>
      <c r="L334" s="260">
        <f t="shared" si="140"/>
        <v>0</v>
      </c>
      <c r="M334" s="260">
        <f t="shared" si="140"/>
        <v>0</v>
      </c>
      <c r="N334" s="260">
        <f t="shared" si="140"/>
        <v>0</v>
      </c>
      <c r="O334" s="260">
        <f t="shared" si="140"/>
        <v>0</v>
      </c>
      <c r="P334" s="260">
        <f t="shared" si="140"/>
        <v>0</v>
      </c>
      <c r="Q334" s="260">
        <f t="shared" si="140"/>
        <v>0</v>
      </c>
      <c r="R334" s="260">
        <f t="shared" si="140"/>
        <v>0</v>
      </c>
      <c r="S334" s="260">
        <f t="shared" si="140"/>
        <v>0</v>
      </c>
      <c r="T334" s="260">
        <f t="shared" si="140"/>
        <v>0</v>
      </c>
      <c r="U334" s="260">
        <f t="shared" si="140"/>
        <v>0</v>
      </c>
      <c r="V334" s="260">
        <f t="shared" si="140"/>
        <v>0</v>
      </c>
      <c r="W334" s="260">
        <f t="shared" si="140"/>
        <v>0</v>
      </c>
      <c r="X334" s="260">
        <f t="shared" si="140"/>
        <v>0</v>
      </c>
      <c r="Y334" s="260">
        <f t="shared" si="140"/>
        <v>0</v>
      </c>
      <c r="Z334" s="260">
        <f t="shared" si="140"/>
        <v>0</v>
      </c>
      <c r="AA334" s="260">
        <f t="shared" si="140"/>
        <v>0</v>
      </c>
      <c r="AB334" s="260">
        <f t="shared" si="140"/>
        <v>0</v>
      </c>
      <c r="AC334" s="260">
        <f t="shared" si="140"/>
        <v>0</v>
      </c>
      <c r="AD334" s="260">
        <f t="shared" si="140"/>
        <v>0</v>
      </c>
      <c r="AE334" s="260">
        <f t="shared" si="140"/>
        <v>0</v>
      </c>
      <c r="AF334" s="260">
        <f t="shared" si="140"/>
        <v>0</v>
      </c>
      <c r="AG334" s="260">
        <f t="shared" si="140"/>
        <v>0</v>
      </c>
      <c r="AH334" s="260">
        <f t="shared" si="140"/>
        <v>0</v>
      </c>
      <c r="AI334" s="260">
        <f t="shared" si="140"/>
        <v>0</v>
      </c>
      <c r="AJ334" s="260">
        <f t="shared" si="140"/>
        <v>0</v>
      </c>
      <c r="AK334" s="260">
        <f t="shared" si="140"/>
        <v>0</v>
      </c>
      <c r="AL334" s="260">
        <f t="shared" si="140"/>
        <v>0</v>
      </c>
      <c r="AM334" s="260">
        <f t="shared" si="140"/>
        <v>0</v>
      </c>
      <c r="AN334" s="260">
        <f t="shared" si="140"/>
        <v>0</v>
      </c>
      <c r="AO334" s="260">
        <f t="shared" si="140"/>
        <v>0</v>
      </c>
      <c r="AP334" s="62"/>
      <c r="AQ334" s="62"/>
      <c r="AR334" s="62"/>
    </row>
    <row r="335" spans="3:44" x14ac:dyDescent="0.2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25">
      <c r="C336" s="86"/>
      <c r="E336" s="333" t="s">
        <v>1031</v>
      </c>
      <c r="G336" t="s">
        <v>267</v>
      </c>
      <c r="J336" s="332">
        <f t="shared" ref="J336:AO336" si="141">IF( J334&lt;&gt;0, J327/J334, 0)*hundred/thousand</f>
        <v>0</v>
      </c>
      <c r="K336" s="332">
        <f t="shared" si="141"/>
        <v>0</v>
      </c>
      <c r="L336" s="332">
        <f t="shared" si="141"/>
        <v>0</v>
      </c>
      <c r="M336" s="332">
        <f t="shared" si="141"/>
        <v>0</v>
      </c>
      <c r="N336" s="332">
        <f t="shared" si="141"/>
        <v>0</v>
      </c>
      <c r="O336" s="332">
        <f t="shared" si="141"/>
        <v>0</v>
      </c>
      <c r="P336" s="332">
        <f t="shared" si="141"/>
        <v>0</v>
      </c>
      <c r="Q336" s="332">
        <f t="shared" si="141"/>
        <v>0</v>
      </c>
      <c r="R336" s="332">
        <f t="shared" si="141"/>
        <v>0</v>
      </c>
      <c r="S336" s="332">
        <f t="shared" si="141"/>
        <v>0</v>
      </c>
      <c r="T336" s="332">
        <f t="shared" si="141"/>
        <v>0</v>
      </c>
      <c r="U336" s="332">
        <f t="shared" si="141"/>
        <v>0</v>
      </c>
      <c r="V336" s="332">
        <f t="shared" si="141"/>
        <v>0</v>
      </c>
      <c r="W336" s="332">
        <f t="shared" si="141"/>
        <v>0</v>
      </c>
      <c r="X336" s="332">
        <f t="shared" si="141"/>
        <v>0</v>
      </c>
      <c r="Y336" s="332">
        <f t="shared" si="141"/>
        <v>0</v>
      </c>
      <c r="Z336" s="332">
        <f t="shared" si="141"/>
        <v>0</v>
      </c>
      <c r="AA336" s="332">
        <f t="shared" si="141"/>
        <v>0</v>
      </c>
      <c r="AB336" s="332">
        <f t="shared" si="141"/>
        <v>0</v>
      </c>
      <c r="AC336" s="332">
        <f t="shared" si="141"/>
        <v>0</v>
      </c>
      <c r="AD336" s="332">
        <f t="shared" si="141"/>
        <v>0</v>
      </c>
      <c r="AE336" s="332">
        <f t="shared" si="141"/>
        <v>0</v>
      </c>
      <c r="AF336" s="332">
        <f t="shared" si="141"/>
        <v>0</v>
      </c>
      <c r="AG336" s="332">
        <f t="shared" si="141"/>
        <v>0</v>
      </c>
      <c r="AH336" s="332">
        <f t="shared" si="141"/>
        <v>0</v>
      </c>
      <c r="AI336" s="332">
        <f t="shared" si="141"/>
        <v>0</v>
      </c>
      <c r="AJ336" s="332">
        <f t="shared" si="141"/>
        <v>0</v>
      </c>
      <c r="AK336" s="332">
        <f t="shared" si="141"/>
        <v>0</v>
      </c>
      <c r="AL336" s="332">
        <f t="shared" si="141"/>
        <v>0</v>
      </c>
      <c r="AM336" s="332">
        <f t="shared" si="141"/>
        <v>0</v>
      </c>
      <c r="AN336" s="332">
        <f t="shared" si="141"/>
        <v>0</v>
      </c>
      <c r="AO336" s="332">
        <f t="shared" si="141"/>
        <v>0</v>
      </c>
    </row>
    <row r="337" spans="3:43" x14ac:dyDescent="0.2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25">
      <c r="C338" s="86"/>
      <c r="E338" s="75" t="s">
        <v>1032</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25">
      <c r="C339" s="86"/>
      <c r="F339" s="95" t="s">
        <v>1002</v>
      </c>
      <c r="G339" s="95" t="s">
        <v>859</v>
      </c>
      <c r="H339" s="95"/>
      <c r="I339" s="95"/>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1"/>
      <c r="AN339" s="341"/>
      <c r="AO339" s="341"/>
    </row>
    <row r="340" spans="3:43" x14ac:dyDescent="0.25">
      <c r="C340" s="86"/>
      <c r="F340" t="s">
        <v>1003</v>
      </c>
      <c r="G340" t="s">
        <v>859</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1</v>
      </c>
      <c r="T340" s="62" t="b">
        <f t="shared" si="142"/>
        <v>1</v>
      </c>
      <c r="U340" s="62" t="b">
        <f t="shared" si="142"/>
        <v>1</v>
      </c>
      <c r="V340" s="62" t="b">
        <f t="shared" si="142"/>
        <v>1</v>
      </c>
      <c r="W340" s="62" t="b">
        <f t="shared" si="142"/>
        <v>1</v>
      </c>
      <c r="X340" s="62" t="b">
        <f t="shared" si="142"/>
        <v>1</v>
      </c>
      <c r="Y340" s="62" t="b">
        <f t="shared" si="142"/>
        <v>1</v>
      </c>
      <c r="Z340" s="62" t="b">
        <f t="shared" si="142"/>
        <v>1</v>
      </c>
      <c r="AA340" s="62" t="b">
        <f t="shared" si="142"/>
        <v>1</v>
      </c>
      <c r="AB340" s="62" t="b">
        <f t="shared" si="142"/>
        <v>1</v>
      </c>
      <c r="AC340" s="62" t="b">
        <f t="shared" si="142"/>
        <v>1</v>
      </c>
      <c r="AD340" s="62" t="b">
        <f t="shared" si="142"/>
        <v>1</v>
      </c>
      <c r="AE340" s="62" t="b">
        <f t="shared" si="142"/>
        <v>1</v>
      </c>
      <c r="AF340" s="62" t="b">
        <f t="shared" si="142"/>
        <v>1</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25">
      <c r="C341" s="86"/>
      <c r="F341" s="96" t="s">
        <v>1004</v>
      </c>
      <c r="G341" s="96" t="s">
        <v>859</v>
      </c>
      <c r="H341" s="96"/>
      <c r="I341" s="96"/>
      <c r="J341" s="339" t="b">
        <f t="shared" ref="J341:AO341" si="143">IF(J$32, -J264+J$336&gt;=0, TRUE)</f>
        <v>1</v>
      </c>
      <c r="K341" s="339" t="b">
        <f t="shared" si="143"/>
        <v>1</v>
      </c>
      <c r="L341" s="339" t="b">
        <f t="shared" si="143"/>
        <v>1</v>
      </c>
      <c r="M341" s="339" t="b">
        <f t="shared" si="143"/>
        <v>1</v>
      </c>
      <c r="N341" s="339" t="b">
        <f t="shared" si="143"/>
        <v>1</v>
      </c>
      <c r="O341" s="339" t="b">
        <f t="shared" si="143"/>
        <v>1</v>
      </c>
      <c r="P341" s="339" t="b">
        <f t="shared" si="143"/>
        <v>1</v>
      </c>
      <c r="Q341" s="339" t="b">
        <f t="shared" si="143"/>
        <v>1</v>
      </c>
      <c r="R341" s="339" t="b">
        <f t="shared" si="143"/>
        <v>1</v>
      </c>
      <c r="S341" s="339" t="b">
        <f t="shared" si="143"/>
        <v>1</v>
      </c>
      <c r="T341" s="339" t="b">
        <f t="shared" si="143"/>
        <v>1</v>
      </c>
      <c r="U341" s="339" t="b">
        <f t="shared" si="143"/>
        <v>1</v>
      </c>
      <c r="V341" s="339" t="b">
        <f t="shared" si="143"/>
        <v>1</v>
      </c>
      <c r="W341" s="339" t="b">
        <f t="shared" si="143"/>
        <v>1</v>
      </c>
      <c r="X341" s="339" t="b">
        <f t="shared" si="143"/>
        <v>1</v>
      </c>
      <c r="Y341" s="339" t="b">
        <f t="shared" si="143"/>
        <v>1</v>
      </c>
      <c r="Z341" s="339" t="b">
        <f t="shared" si="143"/>
        <v>1</v>
      </c>
      <c r="AA341" s="339" t="b">
        <f t="shared" si="143"/>
        <v>1</v>
      </c>
      <c r="AB341" s="339" t="b">
        <f t="shared" si="143"/>
        <v>1</v>
      </c>
      <c r="AC341" s="339" t="b">
        <f t="shared" si="143"/>
        <v>1</v>
      </c>
      <c r="AD341" s="339" t="b">
        <f t="shared" si="143"/>
        <v>1</v>
      </c>
      <c r="AE341" s="339" t="b">
        <f t="shared" si="143"/>
        <v>1</v>
      </c>
      <c r="AF341" s="339" t="b">
        <f t="shared" si="143"/>
        <v>1</v>
      </c>
      <c r="AG341" s="339" t="b">
        <f t="shared" si="143"/>
        <v>1</v>
      </c>
      <c r="AH341" s="339" t="b">
        <f t="shared" si="143"/>
        <v>1</v>
      </c>
      <c r="AI341" s="339" t="b">
        <f t="shared" si="143"/>
        <v>1</v>
      </c>
      <c r="AJ341" s="339" t="b">
        <f t="shared" si="143"/>
        <v>1</v>
      </c>
      <c r="AK341" s="339" t="b">
        <f t="shared" si="143"/>
        <v>1</v>
      </c>
      <c r="AL341" s="339" t="b">
        <f t="shared" si="143"/>
        <v>1</v>
      </c>
      <c r="AM341" s="339" t="b">
        <f t="shared" si="143"/>
        <v>1</v>
      </c>
      <c r="AN341" s="339" t="b">
        <f t="shared" si="143"/>
        <v>1</v>
      </c>
      <c r="AO341" s="339" t="b">
        <f t="shared" si="143"/>
        <v>1</v>
      </c>
    </row>
    <row r="342" spans="3:43" x14ac:dyDescent="0.2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25">
      <c r="C343" s="86"/>
      <c r="E343" t="s">
        <v>1033</v>
      </c>
      <c r="G343" t="s">
        <v>859</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1</v>
      </c>
      <c r="T343" s="62" t="b">
        <f t="shared" si="144"/>
        <v>1</v>
      </c>
      <c r="U343" s="62" t="b">
        <f t="shared" si="144"/>
        <v>1</v>
      </c>
      <c r="V343" s="62" t="b">
        <f t="shared" si="144"/>
        <v>1</v>
      </c>
      <c r="W343" s="62" t="b">
        <f t="shared" si="144"/>
        <v>1</v>
      </c>
      <c r="X343" s="62" t="b">
        <f t="shared" si="144"/>
        <v>1</v>
      </c>
      <c r="Y343" s="62" t="b">
        <f t="shared" si="144"/>
        <v>1</v>
      </c>
      <c r="Z343" s="62" t="b">
        <f t="shared" si="144"/>
        <v>1</v>
      </c>
      <c r="AA343" s="62" t="b">
        <f t="shared" si="144"/>
        <v>1</v>
      </c>
      <c r="AB343" s="62" t="b">
        <f t="shared" si="144"/>
        <v>1</v>
      </c>
      <c r="AC343" s="62" t="b">
        <f t="shared" si="144"/>
        <v>1</v>
      </c>
      <c r="AD343" s="62" t="b">
        <f t="shared" si="144"/>
        <v>1</v>
      </c>
      <c r="AE343" s="62" t="b">
        <f t="shared" si="144"/>
        <v>1</v>
      </c>
      <c r="AF343" s="62" t="b">
        <f t="shared" si="144"/>
        <v>1</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2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25">
      <c r="C345" s="93" t="str">
        <f ca="1">INDEX('Version control'!$H$41:$H$64,MATCH($A$1,'Version control'!$F$41:$F$64,0),1)&amp;"-M: Revenue matching for one timeband"</f>
        <v>Section 116-M: Revenue matching for one timeband</v>
      </c>
      <c r="D345" s="93"/>
      <c r="E345" s="93"/>
      <c r="F345" s="93"/>
      <c r="G345" s="93"/>
      <c r="H345" s="93"/>
      <c r="I345" s="9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253"/>
      <c r="AF345" s="253"/>
      <c r="AG345" s="253"/>
      <c r="AH345" s="253"/>
      <c r="AI345" s="253"/>
      <c r="AJ345" s="253"/>
      <c r="AK345" s="253"/>
      <c r="AL345" s="253"/>
      <c r="AM345" s="253"/>
      <c r="AN345" s="253"/>
      <c r="AO345" s="253"/>
      <c r="AP345" s="93"/>
      <c r="AQ345" s="93"/>
    </row>
    <row r="346" spans="3:43" x14ac:dyDescent="0.2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25">
      <c r="C347" s="86"/>
      <c r="D347" s="86" t="s">
        <v>1091</v>
      </c>
      <c r="E347" s="75"/>
      <c r="I347" t="s">
        <v>152</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1069</v>
      </c>
    </row>
    <row r="348" spans="3:43" x14ac:dyDescent="0.25">
      <c r="C348" s="86"/>
      <c r="D348" s="86" t="s">
        <v>1034</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25">
      <c r="C349" s="86"/>
      <c r="D349" s="86" t="s">
        <v>1025</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25">
      <c r="C350" s="86"/>
      <c r="D350" s="86" t="s">
        <v>1026</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2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25">
      <c r="C352" s="86"/>
      <c r="E352" s="75" t="s">
        <v>1035</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25">
      <c r="C353" s="86"/>
      <c r="F353" s="109" t="s">
        <v>1036</v>
      </c>
      <c r="G353" t="s">
        <v>877</v>
      </c>
      <c r="J353" s="260">
        <f t="shared" ref="J353:AO353" si="145">SUMPRODUCT(J262:J263, J282:J283)*thousand/hundred</f>
        <v>0</v>
      </c>
      <c r="K353" s="260">
        <f t="shared" si="145"/>
        <v>0</v>
      </c>
      <c r="L353" s="260">
        <f t="shared" si="145"/>
        <v>0</v>
      </c>
      <c r="M353" s="260">
        <f t="shared" si="145"/>
        <v>0</v>
      </c>
      <c r="N353" s="260">
        <f t="shared" si="145"/>
        <v>0</v>
      </c>
      <c r="O353" s="260">
        <f t="shared" si="145"/>
        <v>0</v>
      </c>
      <c r="P353" s="260">
        <f t="shared" si="145"/>
        <v>0</v>
      </c>
      <c r="Q353" s="260">
        <f t="shared" si="145"/>
        <v>0</v>
      </c>
      <c r="R353" s="260">
        <f t="shared" si="145"/>
        <v>0</v>
      </c>
      <c r="S353" s="260">
        <f t="shared" si="145"/>
        <v>0</v>
      </c>
      <c r="T353" s="260">
        <f t="shared" si="145"/>
        <v>0</v>
      </c>
      <c r="U353" s="260">
        <f t="shared" si="145"/>
        <v>0</v>
      </c>
      <c r="V353" s="260">
        <f t="shared" si="145"/>
        <v>0</v>
      </c>
      <c r="W353" s="260">
        <f t="shared" si="145"/>
        <v>0</v>
      </c>
      <c r="X353" s="260">
        <f t="shared" si="145"/>
        <v>0</v>
      </c>
      <c r="Y353" s="260">
        <f t="shared" si="145"/>
        <v>0</v>
      </c>
      <c r="Z353" s="260">
        <f t="shared" si="145"/>
        <v>0</v>
      </c>
      <c r="AA353" s="260">
        <f t="shared" si="145"/>
        <v>0</v>
      </c>
      <c r="AB353" s="260">
        <f t="shared" si="145"/>
        <v>0</v>
      </c>
      <c r="AC353" s="260">
        <f t="shared" si="145"/>
        <v>0</v>
      </c>
      <c r="AD353" s="260">
        <f t="shared" si="145"/>
        <v>0</v>
      </c>
      <c r="AE353" s="260">
        <f t="shared" si="145"/>
        <v>0</v>
      </c>
      <c r="AF353" s="260">
        <f t="shared" si="145"/>
        <v>0</v>
      </c>
      <c r="AG353" s="260">
        <f t="shared" si="145"/>
        <v>0</v>
      </c>
      <c r="AH353" s="260">
        <f t="shared" si="145"/>
        <v>0</v>
      </c>
      <c r="AI353" s="260">
        <f t="shared" si="145"/>
        <v>0</v>
      </c>
      <c r="AJ353" s="260">
        <f t="shared" si="145"/>
        <v>0</v>
      </c>
      <c r="AK353" s="260">
        <f t="shared" si="145"/>
        <v>0</v>
      </c>
      <c r="AL353" s="260">
        <f t="shared" si="145"/>
        <v>0</v>
      </c>
      <c r="AM353" s="260">
        <f t="shared" si="145"/>
        <v>0</v>
      </c>
      <c r="AN353" s="260">
        <f t="shared" si="145"/>
        <v>0</v>
      </c>
      <c r="AO353" s="260">
        <f t="shared" si="145"/>
        <v>0</v>
      </c>
    </row>
    <row r="354" spans="3:44" x14ac:dyDescent="0.2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25">
      <c r="C355" s="86"/>
      <c r="F355" s="340" t="s">
        <v>1029</v>
      </c>
      <c r="G355" t="s">
        <v>877</v>
      </c>
      <c r="J355" s="260">
        <f t="shared" ref="J355:AO355" si="146">J228 - J353</f>
        <v>0</v>
      </c>
      <c r="K355" s="260">
        <f t="shared" si="146"/>
        <v>0</v>
      </c>
      <c r="L355" s="260">
        <f t="shared" si="146"/>
        <v>0</v>
      </c>
      <c r="M355" s="260">
        <f t="shared" si="146"/>
        <v>0</v>
      </c>
      <c r="N355" s="260">
        <f t="shared" si="146"/>
        <v>0</v>
      </c>
      <c r="O355" s="260">
        <f t="shared" si="146"/>
        <v>0</v>
      </c>
      <c r="P355" s="260">
        <f t="shared" si="146"/>
        <v>0</v>
      </c>
      <c r="Q355" s="260">
        <f t="shared" si="146"/>
        <v>0</v>
      </c>
      <c r="R355" s="260">
        <f t="shared" si="146"/>
        <v>0</v>
      </c>
      <c r="S355" s="260">
        <f t="shared" si="146"/>
        <v>0</v>
      </c>
      <c r="T355" s="260">
        <f t="shared" si="146"/>
        <v>0</v>
      </c>
      <c r="U355" s="260">
        <f t="shared" si="146"/>
        <v>0</v>
      </c>
      <c r="V355" s="260">
        <f t="shared" si="146"/>
        <v>0</v>
      </c>
      <c r="W355" s="260">
        <f t="shared" si="146"/>
        <v>0</v>
      </c>
      <c r="X355" s="260">
        <f t="shared" si="146"/>
        <v>0</v>
      </c>
      <c r="Y355" s="260">
        <f t="shared" si="146"/>
        <v>0</v>
      </c>
      <c r="Z355" s="260">
        <f t="shared" si="146"/>
        <v>0</v>
      </c>
      <c r="AA355" s="260">
        <f t="shared" si="146"/>
        <v>0</v>
      </c>
      <c r="AB355" s="260">
        <f t="shared" si="146"/>
        <v>0</v>
      </c>
      <c r="AC355" s="260">
        <f t="shared" si="146"/>
        <v>0</v>
      </c>
      <c r="AD355" s="260">
        <f t="shared" si="146"/>
        <v>0</v>
      </c>
      <c r="AE355" s="260">
        <f t="shared" si="146"/>
        <v>0</v>
      </c>
      <c r="AF355" s="260">
        <f t="shared" si="146"/>
        <v>0</v>
      </c>
      <c r="AG355" s="260">
        <f t="shared" si="146"/>
        <v>0</v>
      </c>
      <c r="AH355" s="260">
        <f t="shared" si="146"/>
        <v>0</v>
      </c>
      <c r="AI355" s="260">
        <f t="shared" si="146"/>
        <v>0</v>
      </c>
      <c r="AJ355" s="260">
        <f t="shared" si="146"/>
        <v>0</v>
      </c>
      <c r="AK355" s="260">
        <f t="shared" si="146"/>
        <v>0</v>
      </c>
      <c r="AL355" s="260">
        <f t="shared" si="146"/>
        <v>0</v>
      </c>
      <c r="AM355" s="260">
        <f t="shared" si="146"/>
        <v>0</v>
      </c>
      <c r="AN355" s="260">
        <f t="shared" si="146"/>
        <v>0</v>
      </c>
      <c r="AO355" s="260">
        <f t="shared" si="146"/>
        <v>0</v>
      </c>
    </row>
    <row r="356" spans="3:44" x14ac:dyDescent="0.2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25">
      <c r="C357" s="86"/>
      <c r="F357" t="s">
        <v>1018</v>
      </c>
      <c r="G357" t="s">
        <v>877</v>
      </c>
      <c r="J357" s="260">
        <f>SUMIF($J$149:$AO$149,J$149,$J355:$AO355)</f>
        <v>0</v>
      </c>
      <c r="K357" s="260">
        <f t="shared" ref="K357:AO357" si="147">SUMIF($J$149:$AO$149,K$149,$J355:$AO355)</f>
        <v>0</v>
      </c>
      <c r="L357" s="260">
        <f t="shared" si="147"/>
        <v>0</v>
      </c>
      <c r="M357" s="260">
        <f t="shared" si="147"/>
        <v>0</v>
      </c>
      <c r="N357" s="260">
        <f t="shared" si="147"/>
        <v>0</v>
      </c>
      <c r="O357" s="260">
        <f t="shared" si="147"/>
        <v>0</v>
      </c>
      <c r="P357" s="260">
        <f t="shared" si="147"/>
        <v>0</v>
      </c>
      <c r="Q357" s="260">
        <f t="shared" si="147"/>
        <v>0</v>
      </c>
      <c r="R357" s="260">
        <f t="shared" si="147"/>
        <v>0</v>
      </c>
      <c r="S357" s="260">
        <f t="shared" si="147"/>
        <v>0</v>
      </c>
      <c r="T357" s="260">
        <f t="shared" si="147"/>
        <v>0</v>
      </c>
      <c r="U357" s="260">
        <f t="shared" si="147"/>
        <v>0</v>
      </c>
      <c r="V357" s="260">
        <f t="shared" si="147"/>
        <v>0</v>
      </c>
      <c r="W357" s="260">
        <f t="shared" si="147"/>
        <v>0</v>
      </c>
      <c r="X357" s="260">
        <f t="shared" si="147"/>
        <v>0</v>
      </c>
      <c r="Y357" s="260">
        <f t="shared" si="147"/>
        <v>0</v>
      </c>
      <c r="Z357" s="260">
        <f t="shared" si="147"/>
        <v>0</v>
      </c>
      <c r="AA357" s="260">
        <f t="shared" si="147"/>
        <v>0</v>
      </c>
      <c r="AB357" s="260">
        <f t="shared" si="147"/>
        <v>0</v>
      </c>
      <c r="AC357" s="260">
        <f t="shared" si="147"/>
        <v>0</v>
      </c>
      <c r="AD357" s="260">
        <f t="shared" si="147"/>
        <v>0</v>
      </c>
      <c r="AE357" s="260">
        <f t="shared" si="147"/>
        <v>0</v>
      </c>
      <c r="AF357" s="260">
        <f t="shared" si="147"/>
        <v>0</v>
      </c>
      <c r="AG357" s="260">
        <f t="shared" si="147"/>
        <v>0</v>
      </c>
      <c r="AH357" s="260">
        <f t="shared" si="147"/>
        <v>0</v>
      </c>
      <c r="AI357" s="260">
        <f t="shared" si="147"/>
        <v>0</v>
      </c>
      <c r="AJ357" s="260">
        <f t="shared" si="147"/>
        <v>0</v>
      </c>
      <c r="AK357" s="260">
        <f t="shared" si="147"/>
        <v>0</v>
      </c>
      <c r="AL357" s="260">
        <f t="shared" si="147"/>
        <v>0</v>
      </c>
      <c r="AM357" s="260">
        <f t="shared" si="147"/>
        <v>0</v>
      </c>
      <c r="AN357" s="260">
        <f t="shared" si="147"/>
        <v>0</v>
      </c>
      <c r="AO357" s="260">
        <f t="shared" si="147"/>
        <v>0</v>
      </c>
    </row>
    <row r="358" spans="3:44" x14ac:dyDescent="0.2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25">
      <c r="C359" s="86"/>
      <c r="F359" t="s">
        <v>1019</v>
      </c>
      <c r="G359" t="s">
        <v>877</v>
      </c>
      <c r="J359" s="260">
        <f xml:space="preserve"> J357 * J$157</f>
        <v>0</v>
      </c>
      <c r="K359" s="260">
        <f t="shared" ref="K359:AO359" si="148" xml:space="preserve"> K357 * K$157</f>
        <v>0</v>
      </c>
      <c r="L359" s="260">
        <f t="shared" si="148"/>
        <v>0</v>
      </c>
      <c r="M359" s="260">
        <f t="shared" si="148"/>
        <v>0</v>
      </c>
      <c r="N359" s="260">
        <f t="shared" si="148"/>
        <v>0</v>
      </c>
      <c r="O359" s="260">
        <f t="shared" si="148"/>
        <v>0</v>
      </c>
      <c r="P359" s="260">
        <f t="shared" si="148"/>
        <v>0</v>
      </c>
      <c r="Q359" s="260">
        <f t="shared" si="148"/>
        <v>0</v>
      </c>
      <c r="R359" s="260">
        <f t="shared" si="148"/>
        <v>0</v>
      </c>
      <c r="S359" s="260">
        <f t="shared" si="148"/>
        <v>0</v>
      </c>
      <c r="T359" s="260">
        <f t="shared" si="148"/>
        <v>0</v>
      </c>
      <c r="U359" s="260">
        <f t="shared" si="148"/>
        <v>0</v>
      </c>
      <c r="V359" s="260">
        <f t="shared" si="148"/>
        <v>0</v>
      </c>
      <c r="W359" s="260">
        <f t="shared" si="148"/>
        <v>0</v>
      </c>
      <c r="X359" s="260">
        <f t="shared" si="148"/>
        <v>0</v>
      </c>
      <c r="Y359" s="260">
        <f t="shared" si="148"/>
        <v>0</v>
      </c>
      <c r="Z359" s="260">
        <f t="shared" si="148"/>
        <v>0</v>
      </c>
      <c r="AA359" s="260">
        <f t="shared" si="148"/>
        <v>0</v>
      </c>
      <c r="AB359" s="260">
        <f t="shared" si="148"/>
        <v>0</v>
      </c>
      <c r="AC359" s="260">
        <f t="shared" si="148"/>
        <v>0</v>
      </c>
      <c r="AD359" s="260">
        <f t="shared" si="148"/>
        <v>0</v>
      </c>
      <c r="AE359" s="260">
        <f t="shared" si="148"/>
        <v>0</v>
      </c>
      <c r="AF359" s="260">
        <f t="shared" si="148"/>
        <v>0</v>
      </c>
      <c r="AG359" s="260">
        <f t="shared" si="148"/>
        <v>0</v>
      </c>
      <c r="AH359" s="260">
        <f t="shared" si="148"/>
        <v>0</v>
      </c>
      <c r="AI359" s="260">
        <f t="shared" si="148"/>
        <v>0</v>
      </c>
      <c r="AJ359" s="260">
        <f t="shared" si="148"/>
        <v>0</v>
      </c>
      <c r="AK359" s="260">
        <f t="shared" si="148"/>
        <v>0</v>
      </c>
      <c r="AL359" s="260">
        <f t="shared" si="148"/>
        <v>0</v>
      </c>
      <c r="AM359" s="260">
        <f t="shared" si="148"/>
        <v>0</v>
      </c>
      <c r="AN359" s="260">
        <f t="shared" si="148"/>
        <v>0</v>
      </c>
      <c r="AO359" s="260">
        <f t="shared" si="148"/>
        <v>0</v>
      </c>
    </row>
    <row r="360" spans="3:44" x14ac:dyDescent="0.2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25">
      <c r="C361" s="86"/>
      <c r="E361" s="75" t="s">
        <v>967</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25">
      <c r="C362" s="86"/>
      <c r="F362" s="333" t="s">
        <v>1030</v>
      </c>
      <c r="G362" t="s">
        <v>205</v>
      </c>
      <c r="J362" s="260">
        <f t="shared" ref="J362:AO362" si="149">J284</f>
        <v>0</v>
      </c>
      <c r="K362" s="260">
        <f t="shared" si="149"/>
        <v>0</v>
      </c>
      <c r="L362" s="260">
        <f t="shared" si="149"/>
        <v>0</v>
      </c>
      <c r="M362" s="260">
        <f t="shared" si="149"/>
        <v>0</v>
      </c>
      <c r="N362" s="260">
        <f t="shared" si="149"/>
        <v>0</v>
      </c>
      <c r="O362" s="260">
        <f t="shared" si="149"/>
        <v>0</v>
      </c>
      <c r="P362" s="260">
        <f t="shared" si="149"/>
        <v>0</v>
      </c>
      <c r="Q362" s="260">
        <f t="shared" si="149"/>
        <v>0</v>
      </c>
      <c r="R362" s="260">
        <f t="shared" si="149"/>
        <v>0</v>
      </c>
      <c r="S362" s="260">
        <f t="shared" si="149"/>
        <v>0</v>
      </c>
      <c r="T362" s="260">
        <f t="shared" si="149"/>
        <v>0</v>
      </c>
      <c r="U362" s="260">
        <f t="shared" si="149"/>
        <v>0</v>
      </c>
      <c r="V362" s="260">
        <f t="shared" si="149"/>
        <v>0</v>
      </c>
      <c r="W362" s="260">
        <f t="shared" si="149"/>
        <v>0</v>
      </c>
      <c r="X362" s="260">
        <f t="shared" si="149"/>
        <v>0</v>
      </c>
      <c r="Y362" s="260">
        <f t="shared" si="149"/>
        <v>0</v>
      </c>
      <c r="Z362" s="260">
        <f t="shared" si="149"/>
        <v>0</v>
      </c>
      <c r="AA362" s="260">
        <f t="shared" si="149"/>
        <v>0</v>
      </c>
      <c r="AB362" s="260">
        <f t="shared" si="149"/>
        <v>0</v>
      </c>
      <c r="AC362" s="260">
        <f t="shared" si="149"/>
        <v>0</v>
      </c>
      <c r="AD362" s="260">
        <f t="shared" si="149"/>
        <v>0</v>
      </c>
      <c r="AE362" s="260">
        <f t="shared" si="149"/>
        <v>0</v>
      </c>
      <c r="AF362" s="260">
        <f t="shared" si="149"/>
        <v>0</v>
      </c>
      <c r="AG362" s="260">
        <f t="shared" si="149"/>
        <v>0</v>
      </c>
      <c r="AH362" s="260">
        <f t="shared" si="149"/>
        <v>0</v>
      </c>
      <c r="AI362" s="260">
        <f t="shared" si="149"/>
        <v>0</v>
      </c>
      <c r="AJ362" s="260">
        <f t="shared" si="149"/>
        <v>0</v>
      </c>
      <c r="AK362" s="260">
        <f t="shared" si="149"/>
        <v>0</v>
      </c>
      <c r="AL362" s="260">
        <f t="shared" si="149"/>
        <v>0</v>
      </c>
      <c r="AM362" s="260">
        <f t="shared" si="149"/>
        <v>0</v>
      </c>
      <c r="AN362" s="260">
        <f t="shared" si="149"/>
        <v>0</v>
      </c>
      <c r="AO362" s="260">
        <f t="shared" si="149"/>
        <v>0</v>
      </c>
    </row>
    <row r="363" spans="3:44" x14ac:dyDescent="0.2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25">
      <c r="C364" s="86"/>
      <c r="F364" t="s">
        <v>969</v>
      </c>
      <c r="G364" t="s">
        <v>205</v>
      </c>
      <c r="J364" s="260">
        <f>SUMIF($J$149:$AO$149,J$149,$J362:$AO362)</f>
        <v>0</v>
      </c>
      <c r="K364" s="260">
        <f t="shared" ref="K364:AO364" si="150">SUMIF($J$149:$AO$149,K$149,$J362:$AO362)</f>
        <v>0</v>
      </c>
      <c r="L364" s="260">
        <f t="shared" si="150"/>
        <v>0</v>
      </c>
      <c r="M364" s="260">
        <f t="shared" si="150"/>
        <v>0</v>
      </c>
      <c r="N364" s="260">
        <f t="shared" si="150"/>
        <v>0</v>
      </c>
      <c r="O364" s="260">
        <f t="shared" si="150"/>
        <v>0</v>
      </c>
      <c r="P364" s="260">
        <f t="shared" si="150"/>
        <v>0</v>
      </c>
      <c r="Q364" s="260">
        <f t="shared" si="150"/>
        <v>0</v>
      </c>
      <c r="R364" s="260">
        <f t="shared" si="150"/>
        <v>0</v>
      </c>
      <c r="S364" s="260">
        <f t="shared" si="150"/>
        <v>0</v>
      </c>
      <c r="T364" s="260">
        <f t="shared" si="150"/>
        <v>0</v>
      </c>
      <c r="U364" s="260">
        <f t="shared" si="150"/>
        <v>0</v>
      </c>
      <c r="V364" s="260">
        <f t="shared" si="150"/>
        <v>0</v>
      </c>
      <c r="W364" s="260">
        <f t="shared" si="150"/>
        <v>0</v>
      </c>
      <c r="X364" s="260">
        <f t="shared" si="150"/>
        <v>0</v>
      </c>
      <c r="Y364" s="260">
        <f t="shared" si="150"/>
        <v>0</v>
      </c>
      <c r="Z364" s="260">
        <f t="shared" si="150"/>
        <v>0</v>
      </c>
      <c r="AA364" s="260">
        <f t="shared" si="150"/>
        <v>0</v>
      </c>
      <c r="AB364" s="260">
        <f t="shared" si="150"/>
        <v>0</v>
      </c>
      <c r="AC364" s="260">
        <f t="shared" si="150"/>
        <v>0</v>
      </c>
      <c r="AD364" s="260">
        <f t="shared" si="150"/>
        <v>0</v>
      </c>
      <c r="AE364" s="260">
        <f t="shared" si="150"/>
        <v>0</v>
      </c>
      <c r="AF364" s="260">
        <f t="shared" si="150"/>
        <v>0</v>
      </c>
      <c r="AG364" s="260">
        <f t="shared" si="150"/>
        <v>0</v>
      </c>
      <c r="AH364" s="260">
        <f t="shared" si="150"/>
        <v>0</v>
      </c>
      <c r="AI364" s="260">
        <f t="shared" si="150"/>
        <v>0</v>
      </c>
      <c r="AJ364" s="260">
        <f t="shared" si="150"/>
        <v>0</v>
      </c>
      <c r="AK364" s="260">
        <f t="shared" si="150"/>
        <v>0</v>
      </c>
      <c r="AL364" s="260">
        <f t="shared" si="150"/>
        <v>0</v>
      </c>
      <c r="AM364" s="260">
        <f t="shared" si="150"/>
        <v>0</v>
      </c>
      <c r="AN364" s="260">
        <f t="shared" si="150"/>
        <v>0</v>
      </c>
      <c r="AO364" s="260">
        <f t="shared" si="150"/>
        <v>0</v>
      </c>
    </row>
    <row r="365" spans="3:44" x14ac:dyDescent="0.2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25">
      <c r="C366" s="86"/>
      <c r="F366" t="s">
        <v>971</v>
      </c>
      <c r="G366" t="s">
        <v>205</v>
      </c>
      <c r="J366" s="260">
        <f xml:space="preserve"> J364 * J$157</f>
        <v>0</v>
      </c>
      <c r="K366" s="260">
        <f t="shared" ref="K366:AO366" si="151" xml:space="preserve"> K364 * K$157</f>
        <v>0</v>
      </c>
      <c r="L366" s="260">
        <f t="shared" si="151"/>
        <v>0</v>
      </c>
      <c r="M366" s="260">
        <f t="shared" si="151"/>
        <v>0</v>
      </c>
      <c r="N366" s="260">
        <f t="shared" si="151"/>
        <v>0</v>
      </c>
      <c r="O366" s="260">
        <f t="shared" si="151"/>
        <v>0</v>
      </c>
      <c r="P366" s="260">
        <f t="shared" si="151"/>
        <v>0</v>
      </c>
      <c r="Q366" s="260">
        <f t="shared" si="151"/>
        <v>0</v>
      </c>
      <c r="R366" s="260">
        <f t="shared" si="151"/>
        <v>0</v>
      </c>
      <c r="S366" s="260">
        <f t="shared" si="151"/>
        <v>0</v>
      </c>
      <c r="T366" s="260">
        <f t="shared" si="151"/>
        <v>0</v>
      </c>
      <c r="U366" s="260">
        <f t="shared" si="151"/>
        <v>0</v>
      </c>
      <c r="V366" s="260">
        <f t="shared" si="151"/>
        <v>0</v>
      </c>
      <c r="W366" s="260">
        <f t="shared" si="151"/>
        <v>0</v>
      </c>
      <c r="X366" s="260">
        <f t="shared" si="151"/>
        <v>0</v>
      </c>
      <c r="Y366" s="260">
        <f t="shared" si="151"/>
        <v>0</v>
      </c>
      <c r="Z366" s="260">
        <f t="shared" si="151"/>
        <v>0</v>
      </c>
      <c r="AA366" s="260">
        <f t="shared" si="151"/>
        <v>0</v>
      </c>
      <c r="AB366" s="260">
        <f t="shared" si="151"/>
        <v>0</v>
      </c>
      <c r="AC366" s="260">
        <f t="shared" si="151"/>
        <v>0</v>
      </c>
      <c r="AD366" s="260">
        <f t="shared" si="151"/>
        <v>0</v>
      </c>
      <c r="AE366" s="260">
        <f t="shared" si="151"/>
        <v>0</v>
      </c>
      <c r="AF366" s="260">
        <f t="shared" si="151"/>
        <v>0</v>
      </c>
      <c r="AG366" s="260">
        <f t="shared" si="151"/>
        <v>0</v>
      </c>
      <c r="AH366" s="260">
        <f t="shared" si="151"/>
        <v>0</v>
      </c>
      <c r="AI366" s="260">
        <f t="shared" si="151"/>
        <v>0</v>
      </c>
      <c r="AJ366" s="260">
        <f t="shared" si="151"/>
        <v>0</v>
      </c>
      <c r="AK366" s="260">
        <f t="shared" si="151"/>
        <v>0</v>
      </c>
      <c r="AL366" s="260">
        <f t="shared" si="151"/>
        <v>0</v>
      </c>
      <c r="AM366" s="260">
        <f t="shared" si="151"/>
        <v>0</v>
      </c>
      <c r="AN366" s="260">
        <f t="shared" si="151"/>
        <v>0</v>
      </c>
      <c r="AO366" s="260">
        <f t="shared" si="151"/>
        <v>0</v>
      </c>
      <c r="AP366" s="62"/>
      <c r="AQ366" s="62"/>
      <c r="AR366" s="62"/>
    </row>
    <row r="367" spans="3:44" x14ac:dyDescent="0.2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25">
      <c r="C368" s="86"/>
      <c r="E368" s="94" t="s">
        <v>1037</v>
      </c>
      <c r="G368" t="s">
        <v>267</v>
      </c>
      <c r="J368" s="332">
        <f t="shared" ref="J368:AO368" si="152">IF( J366&lt;&gt;0, J359/J366, 0)*hundred/thousand</f>
        <v>0</v>
      </c>
      <c r="K368" s="332">
        <f t="shared" si="152"/>
        <v>0</v>
      </c>
      <c r="L368" s="332">
        <f t="shared" si="152"/>
        <v>0</v>
      </c>
      <c r="M368" s="332">
        <f t="shared" si="152"/>
        <v>0</v>
      </c>
      <c r="N368" s="332">
        <f t="shared" si="152"/>
        <v>0</v>
      </c>
      <c r="O368" s="332">
        <f t="shared" si="152"/>
        <v>0</v>
      </c>
      <c r="P368" s="332">
        <f t="shared" si="152"/>
        <v>0</v>
      </c>
      <c r="Q368" s="332">
        <f t="shared" si="152"/>
        <v>0</v>
      </c>
      <c r="R368" s="332">
        <f t="shared" si="152"/>
        <v>0</v>
      </c>
      <c r="S368" s="332">
        <f t="shared" si="152"/>
        <v>0</v>
      </c>
      <c r="T368" s="332">
        <f t="shared" si="152"/>
        <v>0</v>
      </c>
      <c r="U368" s="332">
        <f t="shared" si="152"/>
        <v>0</v>
      </c>
      <c r="V368" s="332">
        <f t="shared" si="152"/>
        <v>0</v>
      </c>
      <c r="W368" s="332">
        <f t="shared" si="152"/>
        <v>0</v>
      </c>
      <c r="X368" s="332">
        <f t="shared" si="152"/>
        <v>0</v>
      </c>
      <c r="Y368" s="332">
        <f t="shared" si="152"/>
        <v>0</v>
      </c>
      <c r="Z368" s="332">
        <f t="shared" si="152"/>
        <v>0</v>
      </c>
      <c r="AA368" s="332">
        <f t="shared" si="152"/>
        <v>0</v>
      </c>
      <c r="AB368" s="332">
        <f t="shared" si="152"/>
        <v>0</v>
      </c>
      <c r="AC368" s="332">
        <f t="shared" si="152"/>
        <v>0</v>
      </c>
      <c r="AD368" s="332">
        <f t="shared" si="152"/>
        <v>0</v>
      </c>
      <c r="AE368" s="332">
        <f t="shared" si="152"/>
        <v>0</v>
      </c>
      <c r="AF368" s="332">
        <f t="shared" si="152"/>
        <v>0</v>
      </c>
      <c r="AG368" s="332">
        <f t="shared" si="152"/>
        <v>0</v>
      </c>
      <c r="AH368" s="332">
        <f t="shared" si="152"/>
        <v>0</v>
      </c>
      <c r="AI368" s="332">
        <f t="shared" si="152"/>
        <v>0</v>
      </c>
      <c r="AJ368" s="332">
        <f t="shared" si="152"/>
        <v>0</v>
      </c>
      <c r="AK368" s="332">
        <f t="shared" si="152"/>
        <v>0</v>
      </c>
      <c r="AL368" s="332">
        <f t="shared" si="152"/>
        <v>0</v>
      </c>
      <c r="AM368" s="332">
        <f t="shared" si="152"/>
        <v>0</v>
      </c>
      <c r="AN368" s="332">
        <f t="shared" si="152"/>
        <v>0</v>
      </c>
      <c r="AO368" s="332">
        <f t="shared" si="152"/>
        <v>0</v>
      </c>
    </row>
    <row r="369" spans="3:43" x14ac:dyDescent="0.2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25">
      <c r="C370" s="86"/>
      <c r="E370" s="75" t="s">
        <v>1038</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25">
      <c r="C371" s="86"/>
      <c r="F371" s="95" t="s">
        <v>1002</v>
      </c>
      <c r="G371" s="95" t="s">
        <v>859</v>
      </c>
      <c r="H371" s="95"/>
      <c r="I371" s="95"/>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row>
    <row r="372" spans="3:43" x14ac:dyDescent="0.25">
      <c r="C372" s="86"/>
      <c r="F372" t="s">
        <v>1003</v>
      </c>
      <c r="G372" t="s">
        <v>859</v>
      </c>
      <c r="J372" s="342"/>
      <c r="K372" s="342"/>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42"/>
      <c r="AM372" s="342"/>
      <c r="AN372" s="342"/>
      <c r="AO372" s="342"/>
    </row>
    <row r="373" spans="3:43" x14ac:dyDescent="0.25">
      <c r="C373" s="86"/>
      <c r="F373" s="96" t="s">
        <v>1004</v>
      </c>
      <c r="G373" s="96" t="s">
        <v>859</v>
      </c>
      <c r="H373" s="96"/>
      <c r="I373" s="96"/>
      <c r="J373" s="339" t="b">
        <f t="shared" ref="J373:AO373" si="153">IF(J$32, -J264+J$368&gt;=0, TRUE)</f>
        <v>1</v>
      </c>
      <c r="K373" s="339" t="b">
        <f t="shared" si="153"/>
        <v>1</v>
      </c>
      <c r="L373" s="339" t="b">
        <f t="shared" si="153"/>
        <v>1</v>
      </c>
      <c r="M373" s="339" t="b">
        <f t="shared" si="153"/>
        <v>1</v>
      </c>
      <c r="N373" s="339" t="b">
        <f t="shared" si="153"/>
        <v>1</v>
      </c>
      <c r="O373" s="339" t="b">
        <f t="shared" si="153"/>
        <v>1</v>
      </c>
      <c r="P373" s="339" t="b">
        <f t="shared" si="153"/>
        <v>1</v>
      </c>
      <c r="Q373" s="339" t="b">
        <f t="shared" si="153"/>
        <v>1</v>
      </c>
      <c r="R373" s="339" t="b">
        <f t="shared" si="153"/>
        <v>1</v>
      </c>
      <c r="S373" s="339" t="b">
        <f t="shared" si="153"/>
        <v>1</v>
      </c>
      <c r="T373" s="339" t="b">
        <f t="shared" si="153"/>
        <v>1</v>
      </c>
      <c r="U373" s="339" t="b">
        <f t="shared" si="153"/>
        <v>1</v>
      </c>
      <c r="V373" s="339" t="b">
        <f t="shared" si="153"/>
        <v>1</v>
      </c>
      <c r="W373" s="339" t="b">
        <f t="shared" si="153"/>
        <v>1</v>
      </c>
      <c r="X373" s="339" t="b">
        <f t="shared" si="153"/>
        <v>1</v>
      </c>
      <c r="Y373" s="339" t="b">
        <f t="shared" si="153"/>
        <v>1</v>
      </c>
      <c r="Z373" s="339" t="b">
        <f t="shared" si="153"/>
        <v>1</v>
      </c>
      <c r="AA373" s="339" t="b">
        <f t="shared" si="153"/>
        <v>1</v>
      </c>
      <c r="AB373" s="339" t="b">
        <f t="shared" si="153"/>
        <v>1</v>
      </c>
      <c r="AC373" s="339" t="b">
        <f t="shared" si="153"/>
        <v>1</v>
      </c>
      <c r="AD373" s="339" t="b">
        <f t="shared" si="153"/>
        <v>1</v>
      </c>
      <c r="AE373" s="339" t="b">
        <f t="shared" si="153"/>
        <v>1</v>
      </c>
      <c r="AF373" s="339" t="b">
        <f t="shared" si="153"/>
        <v>1</v>
      </c>
      <c r="AG373" s="339" t="b">
        <f t="shared" si="153"/>
        <v>1</v>
      </c>
      <c r="AH373" s="339" t="b">
        <f t="shared" si="153"/>
        <v>1</v>
      </c>
      <c r="AI373" s="339" t="b">
        <f t="shared" si="153"/>
        <v>1</v>
      </c>
      <c r="AJ373" s="339" t="b">
        <f t="shared" si="153"/>
        <v>1</v>
      </c>
      <c r="AK373" s="339" t="b">
        <f t="shared" si="153"/>
        <v>1</v>
      </c>
      <c r="AL373" s="339" t="b">
        <f t="shared" si="153"/>
        <v>1</v>
      </c>
      <c r="AM373" s="339" t="b">
        <f t="shared" si="153"/>
        <v>1</v>
      </c>
      <c r="AN373" s="339" t="b">
        <f t="shared" si="153"/>
        <v>1</v>
      </c>
      <c r="AO373" s="339" t="b">
        <f t="shared" si="153"/>
        <v>1</v>
      </c>
    </row>
    <row r="374" spans="3:43" x14ac:dyDescent="0.2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25">
      <c r="C375" s="86"/>
      <c r="E375" t="s">
        <v>1039</v>
      </c>
      <c r="G375" t="s">
        <v>859</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2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25">
      <c r="C377" s="93" t="str">
        <f ca="1">INDEX('Version control'!$H$41:$H$64,MATCH($A$1,'Version control'!$F$41:$F$64,0),1)&amp;"-N: Revenue matching adders by timeband"</f>
        <v>Section 116-N: Revenue matching adders by timeband</v>
      </c>
      <c r="D377" s="93"/>
      <c r="E377" s="93"/>
      <c r="F377" s="93"/>
      <c r="G377" s="93"/>
      <c r="H377" s="93"/>
      <c r="I377" s="93"/>
      <c r="J377" s="253"/>
      <c r="K377" s="253"/>
      <c r="L377" s="253"/>
      <c r="M377" s="253"/>
      <c r="N377" s="253"/>
      <c r="O377" s="253"/>
      <c r="P377" s="253"/>
      <c r="Q377" s="253"/>
      <c r="R377" s="253"/>
      <c r="S377" s="253"/>
      <c r="T377" s="253"/>
      <c r="U377" s="253"/>
      <c r="V377" s="253"/>
      <c r="W377" s="253"/>
      <c r="X377" s="253"/>
      <c r="Y377" s="253"/>
      <c r="Z377" s="253"/>
      <c r="AA377" s="253"/>
      <c r="AB377" s="253"/>
      <c r="AC377" s="253"/>
      <c r="AD377" s="253"/>
      <c r="AE377" s="253"/>
      <c r="AF377" s="253"/>
      <c r="AG377" s="253"/>
      <c r="AH377" s="253"/>
      <c r="AI377" s="253"/>
      <c r="AJ377" s="253"/>
      <c r="AK377" s="253"/>
      <c r="AL377" s="253"/>
      <c r="AM377" s="253"/>
      <c r="AN377" s="253"/>
      <c r="AO377" s="253"/>
      <c r="AP377" s="93"/>
      <c r="AQ377" s="93"/>
    </row>
    <row r="378" spans="3:43" x14ac:dyDescent="0.2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25">
      <c r="C379" s="86"/>
      <c r="D379" s="86" t="s">
        <v>1087</v>
      </c>
      <c r="E379" s="75"/>
      <c r="I379" t="s">
        <v>152</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1069</v>
      </c>
    </row>
    <row r="380" spans="3:43" x14ac:dyDescent="0.25">
      <c r="C380" s="86"/>
      <c r="D380" s="86" t="s">
        <v>1040</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25">
      <c r="C381" s="86"/>
      <c r="D381" s="86" t="s">
        <v>1041</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2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25">
      <c r="C383" s="86"/>
      <c r="E383" s="75" t="s">
        <v>1042</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25">
      <c r="C384" s="86"/>
      <c r="F384" s="95" t="s">
        <v>1043</v>
      </c>
      <c r="G384" s="95" t="s">
        <v>859</v>
      </c>
      <c r="H384" s="95"/>
      <c r="I384" s="95"/>
      <c r="J384" s="343" t="b">
        <f t="shared" ref="J384:AO384" si="155">J311</f>
        <v>1</v>
      </c>
      <c r="K384" s="343" t="b">
        <f t="shared" si="155"/>
        <v>1</v>
      </c>
      <c r="L384" s="343" t="b">
        <f t="shared" si="155"/>
        <v>1</v>
      </c>
      <c r="M384" s="343" t="b">
        <f t="shared" si="155"/>
        <v>1</v>
      </c>
      <c r="N384" s="343" t="b">
        <f t="shared" si="155"/>
        <v>1</v>
      </c>
      <c r="O384" s="343" t="b">
        <f t="shared" si="155"/>
        <v>1</v>
      </c>
      <c r="P384" s="343" t="b">
        <f t="shared" si="155"/>
        <v>1</v>
      </c>
      <c r="Q384" s="343" t="b">
        <f t="shared" si="155"/>
        <v>1</v>
      </c>
      <c r="R384" s="343" t="b">
        <f t="shared" si="155"/>
        <v>1</v>
      </c>
      <c r="S384" s="343" t="b">
        <f t="shared" si="155"/>
        <v>1</v>
      </c>
      <c r="T384" s="343" t="b">
        <f t="shared" si="155"/>
        <v>1</v>
      </c>
      <c r="U384" s="343" t="b">
        <f t="shared" si="155"/>
        <v>1</v>
      </c>
      <c r="V384" s="343" t="b">
        <f t="shared" si="155"/>
        <v>1</v>
      </c>
      <c r="W384" s="343" t="b">
        <f t="shared" si="155"/>
        <v>1</v>
      </c>
      <c r="X384" s="343" t="b">
        <f t="shared" si="155"/>
        <v>1</v>
      </c>
      <c r="Y384" s="343" t="b">
        <f t="shared" si="155"/>
        <v>1</v>
      </c>
      <c r="Z384" s="343" t="b">
        <f t="shared" si="155"/>
        <v>1</v>
      </c>
      <c r="AA384" s="343" t="b">
        <f t="shared" si="155"/>
        <v>1</v>
      </c>
      <c r="AB384" s="343" t="b">
        <f t="shared" si="155"/>
        <v>1</v>
      </c>
      <c r="AC384" s="343" t="b">
        <f t="shared" si="155"/>
        <v>1</v>
      </c>
      <c r="AD384" s="343" t="b">
        <f t="shared" si="155"/>
        <v>1</v>
      </c>
      <c r="AE384" s="343" t="b">
        <f t="shared" si="155"/>
        <v>1</v>
      </c>
      <c r="AF384" s="343" t="b">
        <f t="shared" si="155"/>
        <v>1</v>
      </c>
      <c r="AG384" s="343" t="b">
        <f t="shared" si="155"/>
        <v>1</v>
      </c>
      <c r="AH384" s="343" t="b">
        <f t="shared" si="155"/>
        <v>1</v>
      </c>
      <c r="AI384" s="343" t="b">
        <f t="shared" si="155"/>
        <v>1</v>
      </c>
      <c r="AJ384" s="343" t="b">
        <f t="shared" si="155"/>
        <v>1</v>
      </c>
      <c r="AK384" s="343" t="b">
        <f t="shared" si="155"/>
        <v>1</v>
      </c>
      <c r="AL384" s="343" t="b">
        <f t="shared" si="155"/>
        <v>1</v>
      </c>
      <c r="AM384" s="343" t="b">
        <f t="shared" si="155"/>
        <v>1</v>
      </c>
      <c r="AN384" s="343" t="b">
        <f t="shared" si="155"/>
        <v>1</v>
      </c>
      <c r="AO384" s="343" t="b">
        <f t="shared" si="155"/>
        <v>1</v>
      </c>
    </row>
    <row r="385" spans="3:41" x14ac:dyDescent="0.25">
      <c r="C385" s="86"/>
      <c r="F385" t="s">
        <v>1044</v>
      </c>
      <c r="G385" t="s">
        <v>859</v>
      </c>
      <c r="J385" s="343" t="b">
        <f t="shared" ref="J385:AO385" si="156">J343</f>
        <v>1</v>
      </c>
      <c r="K385" s="343" t="b">
        <f t="shared" si="156"/>
        <v>1</v>
      </c>
      <c r="L385" s="343" t="b">
        <f t="shared" si="156"/>
        <v>1</v>
      </c>
      <c r="M385" s="343" t="b">
        <f t="shared" si="156"/>
        <v>1</v>
      </c>
      <c r="N385" s="343" t="b">
        <f t="shared" si="156"/>
        <v>1</v>
      </c>
      <c r="O385" s="343" t="b">
        <f t="shared" si="156"/>
        <v>1</v>
      </c>
      <c r="P385" s="343" t="b">
        <f t="shared" si="156"/>
        <v>1</v>
      </c>
      <c r="Q385" s="343" t="b">
        <f t="shared" si="156"/>
        <v>1</v>
      </c>
      <c r="R385" s="343" t="b">
        <f t="shared" si="156"/>
        <v>1</v>
      </c>
      <c r="S385" s="343" t="b">
        <f t="shared" si="156"/>
        <v>1</v>
      </c>
      <c r="T385" s="343" t="b">
        <f t="shared" si="156"/>
        <v>1</v>
      </c>
      <c r="U385" s="343" t="b">
        <f t="shared" si="156"/>
        <v>1</v>
      </c>
      <c r="V385" s="343" t="b">
        <f t="shared" si="156"/>
        <v>1</v>
      </c>
      <c r="W385" s="343" t="b">
        <f t="shared" si="156"/>
        <v>1</v>
      </c>
      <c r="X385" s="343" t="b">
        <f t="shared" si="156"/>
        <v>1</v>
      </c>
      <c r="Y385" s="343" t="b">
        <f t="shared" si="156"/>
        <v>1</v>
      </c>
      <c r="Z385" s="343" t="b">
        <f t="shared" si="156"/>
        <v>1</v>
      </c>
      <c r="AA385" s="343" t="b">
        <f t="shared" si="156"/>
        <v>1</v>
      </c>
      <c r="AB385" s="343" t="b">
        <f t="shared" si="156"/>
        <v>1</v>
      </c>
      <c r="AC385" s="343" t="b">
        <f t="shared" si="156"/>
        <v>1</v>
      </c>
      <c r="AD385" s="343" t="b">
        <f t="shared" si="156"/>
        <v>1</v>
      </c>
      <c r="AE385" s="343" t="b">
        <f t="shared" si="156"/>
        <v>1</v>
      </c>
      <c r="AF385" s="343" t="b">
        <f t="shared" si="156"/>
        <v>1</v>
      </c>
      <c r="AG385" s="343" t="b">
        <f t="shared" si="156"/>
        <v>1</v>
      </c>
      <c r="AH385" s="343" t="b">
        <f t="shared" si="156"/>
        <v>1</v>
      </c>
      <c r="AI385" s="343" t="b">
        <f t="shared" si="156"/>
        <v>1</v>
      </c>
      <c r="AJ385" s="343" t="b">
        <f t="shared" si="156"/>
        <v>1</v>
      </c>
      <c r="AK385" s="343" t="b">
        <f t="shared" si="156"/>
        <v>1</v>
      </c>
      <c r="AL385" s="343" t="b">
        <f t="shared" si="156"/>
        <v>1</v>
      </c>
      <c r="AM385" s="343" t="b">
        <f t="shared" si="156"/>
        <v>1</v>
      </c>
      <c r="AN385" s="343" t="b">
        <f t="shared" si="156"/>
        <v>1</v>
      </c>
      <c r="AO385" s="343" t="b">
        <f t="shared" si="156"/>
        <v>1</v>
      </c>
    </row>
    <row r="386" spans="3:41" x14ac:dyDescent="0.25">
      <c r="C386" s="86"/>
      <c r="F386" s="96" t="s">
        <v>1045</v>
      </c>
      <c r="G386" s="96" t="s">
        <v>859</v>
      </c>
      <c r="H386" s="96"/>
      <c r="I386" s="96"/>
      <c r="J386" s="339" t="b">
        <f>J375</f>
        <v>1</v>
      </c>
      <c r="K386" s="339" t="b">
        <f t="shared" ref="K386:AO386" si="157">K375</f>
        <v>1</v>
      </c>
      <c r="L386" s="339" t="b">
        <f t="shared" si="157"/>
        <v>1</v>
      </c>
      <c r="M386" s="339" t="b">
        <f t="shared" si="157"/>
        <v>1</v>
      </c>
      <c r="N386" s="339" t="b">
        <f t="shared" si="157"/>
        <v>1</v>
      </c>
      <c r="O386" s="339" t="b">
        <f t="shared" si="157"/>
        <v>1</v>
      </c>
      <c r="P386" s="339" t="b">
        <f t="shared" si="157"/>
        <v>1</v>
      </c>
      <c r="Q386" s="339" t="b">
        <f t="shared" si="157"/>
        <v>1</v>
      </c>
      <c r="R386" s="339" t="b">
        <f t="shared" si="157"/>
        <v>1</v>
      </c>
      <c r="S386" s="339" t="b">
        <f t="shared" si="157"/>
        <v>1</v>
      </c>
      <c r="T386" s="339" t="b">
        <f t="shared" si="157"/>
        <v>1</v>
      </c>
      <c r="U386" s="339" t="b">
        <f t="shared" si="157"/>
        <v>1</v>
      </c>
      <c r="V386" s="339" t="b">
        <f t="shared" si="157"/>
        <v>1</v>
      </c>
      <c r="W386" s="339" t="b">
        <f t="shared" si="157"/>
        <v>1</v>
      </c>
      <c r="X386" s="339" t="b">
        <f t="shared" si="157"/>
        <v>1</v>
      </c>
      <c r="Y386" s="339" t="b">
        <f t="shared" si="157"/>
        <v>1</v>
      </c>
      <c r="Z386" s="339" t="b">
        <f t="shared" si="157"/>
        <v>1</v>
      </c>
      <c r="AA386" s="339" t="b">
        <f t="shared" si="157"/>
        <v>1</v>
      </c>
      <c r="AB386" s="339" t="b">
        <f t="shared" si="157"/>
        <v>1</v>
      </c>
      <c r="AC386" s="339" t="b">
        <f t="shared" si="157"/>
        <v>1</v>
      </c>
      <c r="AD386" s="339" t="b">
        <f t="shared" si="157"/>
        <v>1</v>
      </c>
      <c r="AE386" s="339" t="b">
        <f t="shared" si="157"/>
        <v>1</v>
      </c>
      <c r="AF386" s="339" t="b">
        <f t="shared" si="157"/>
        <v>1</v>
      </c>
      <c r="AG386" s="339" t="b">
        <f t="shared" si="157"/>
        <v>1</v>
      </c>
      <c r="AH386" s="339" t="b">
        <f t="shared" si="157"/>
        <v>1</v>
      </c>
      <c r="AI386" s="339" t="b">
        <f t="shared" si="157"/>
        <v>1</v>
      </c>
      <c r="AJ386" s="339" t="b">
        <f t="shared" si="157"/>
        <v>1</v>
      </c>
      <c r="AK386" s="339" t="b">
        <f t="shared" si="157"/>
        <v>1</v>
      </c>
      <c r="AL386" s="339" t="b">
        <f t="shared" si="157"/>
        <v>1</v>
      </c>
      <c r="AM386" s="339" t="b">
        <f t="shared" si="157"/>
        <v>1</v>
      </c>
      <c r="AN386" s="339" t="b">
        <f t="shared" si="157"/>
        <v>1</v>
      </c>
      <c r="AO386" s="339" t="b">
        <f t="shared" si="157"/>
        <v>1</v>
      </c>
    </row>
    <row r="387" spans="3:41" x14ac:dyDescent="0.2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25">
      <c r="C388" s="86"/>
      <c r="E388" s="75" t="s">
        <v>1046</v>
      </c>
      <c r="G388" t="s">
        <v>147</v>
      </c>
      <c r="J388" s="62">
        <f>COUNTIF(J384:J386, FALSE)+1</f>
        <v>1</v>
      </c>
      <c r="K388" s="62">
        <f t="shared" ref="K388:AO388" si="158">COUNTIF(K384:K386, FALSE)+1</f>
        <v>1</v>
      </c>
      <c r="L388" s="62">
        <f t="shared" si="158"/>
        <v>1</v>
      </c>
      <c r="M388" s="62">
        <f t="shared" si="158"/>
        <v>1</v>
      </c>
      <c r="N388" s="62">
        <f t="shared" si="158"/>
        <v>1</v>
      </c>
      <c r="O388" s="62">
        <f t="shared" si="158"/>
        <v>1</v>
      </c>
      <c r="P388" s="62">
        <f t="shared" si="158"/>
        <v>1</v>
      </c>
      <c r="Q388" s="62">
        <f t="shared" si="158"/>
        <v>1</v>
      </c>
      <c r="R388" s="62">
        <f t="shared" si="158"/>
        <v>1</v>
      </c>
      <c r="S388" s="62">
        <f t="shared" si="158"/>
        <v>1</v>
      </c>
      <c r="T388" s="62">
        <f t="shared" si="158"/>
        <v>1</v>
      </c>
      <c r="U388" s="62">
        <f t="shared" si="158"/>
        <v>1</v>
      </c>
      <c r="V388" s="62">
        <f t="shared" si="158"/>
        <v>1</v>
      </c>
      <c r="W388" s="62">
        <f t="shared" si="158"/>
        <v>1</v>
      </c>
      <c r="X388" s="62">
        <f t="shared" si="158"/>
        <v>1</v>
      </c>
      <c r="Y388" s="62">
        <f t="shared" si="158"/>
        <v>1</v>
      </c>
      <c r="Z388" s="62">
        <f t="shared" si="158"/>
        <v>1</v>
      </c>
      <c r="AA388" s="62">
        <f t="shared" si="158"/>
        <v>1</v>
      </c>
      <c r="AB388" s="62">
        <f t="shared" si="158"/>
        <v>1</v>
      </c>
      <c r="AC388" s="62">
        <f t="shared" si="158"/>
        <v>1</v>
      </c>
      <c r="AD388" s="62">
        <f t="shared" si="158"/>
        <v>1</v>
      </c>
      <c r="AE388" s="62">
        <f t="shared" si="158"/>
        <v>1</v>
      </c>
      <c r="AF388" s="62">
        <f t="shared" si="158"/>
        <v>1</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25">
      <c r="C389" s="86"/>
      <c r="E389" s="94"/>
      <c r="J389" s="332"/>
      <c r="K389" s="332"/>
      <c r="L389" s="332"/>
      <c r="M389" s="332"/>
      <c r="N389" s="332"/>
      <c r="O389" s="332"/>
      <c r="P389" s="332"/>
      <c r="Q389" s="332"/>
      <c r="R389" s="332"/>
      <c r="S389" s="332"/>
      <c r="T389" s="332"/>
      <c r="U389" s="332"/>
      <c r="V389" s="332"/>
      <c r="W389" s="332"/>
      <c r="X389" s="332"/>
      <c r="Y389" s="332"/>
      <c r="Z389" s="332"/>
      <c r="AA389" s="332"/>
      <c r="AB389" s="332"/>
      <c r="AC389" s="332"/>
      <c r="AD389" s="332"/>
      <c r="AE389" s="332"/>
      <c r="AF389" s="332"/>
      <c r="AG389" s="332"/>
      <c r="AH389" s="332"/>
      <c r="AI389" s="332"/>
      <c r="AJ389" s="332"/>
      <c r="AK389" s="332"/>
      <c r="AL389" s="332"/>
      <c r="AM389" s="332"/>
      <c r="AN389" s="332"/>
      <c r="AO389" s="332"/>
    </row>
    <row r="390" spans="3:41" x14ac:dyDescent="0.25">
      <c r="C390" s="86"/>
      <c r="E390" s="75" t="s">
        <v>1047</v>
      </c>
      <c r="F390" s="96"/>
      <c r="G390" s="96"/>
      <c r="H390" s="96"/>
      <c r="I390" s="96"/>
      <c r="J390" s="339"/>
      <c r="K390" s="339"/>
      <c r="L390" s="339"/>
      <c r="M390" s="339"/>
      <c r="N390" s="339"/>
      <c r="O390" s="339"/>
      <c r="P390" s="339"/>
      <c r="Q390" s="339"/>
      <c r="R390" s="339"/>
      <c r="S390" s="339"/>
      <c r="T390" s="339"/>
      <c r="U390" s="339"/>
      <c r="V390" s="339"/>
      <c r="W390" s="339"/>
      <c r="X390" s="339"/>
      <c r="Y390" s="339"/>
      <c r="Z390" s="339"/>
      <c r="AA390" s="339"/>
      <c r="AB390" s="339"/>
      <c r="AC390" s="339"/>
      <c r="AD390" s="339"/>
      <c r="AE390" s="339"/>
      <c r="AF390" s="339"/>
      <c r="AG390" s="339"/>
      <c r="AH390" s="339"/>
      <c r="AI390" s="339"/>
      <c r="AJ390" s="339"/>
      <c r="AK390" s="339"/>
      <c r="AL390" s="339"/>
      <c r="AM390" s="339"/>
      <c r="AN390" s="339"/>
      <c r="AO390" s="339"/>
    </row>
    <row r="391" spans="3:41" x14ac:dyDescent="0.25">
      <c r="C391" s="86"/>
      <c r="F391" s="95" t="s">
        <v>1043</v>
      </c>
      <c r="G391" s="95" t="s">
        <v>859</v>
      </c>
      <c r="H391" s="95"/>
      <c r="I391" s="95"/>
      <c r="J391" s="344">
        <f t="shared" ref="J391:AO391" si="159">J304</f>
        <v>0</v>
      </c>
      <c r="K391" s="344">
        <f t="shared" si="159"/>
        <v>0</v>
      </c>
      <c r="L391" s="344">
        <f t="shared" si="159"/>
        <v>0</v>
      </c>
      <c r="M391" s="344">
        <f t="shared" si="159"/>
        <v>0</v>
      </c>
      <c r="N391" s="344">
        <f t="shared" si="159"/>
        <v>0</v>
      </c>
      <c r="O391" s="344">
        <f t="shared" si="159"/>
        <v>0</v>
      </c>
      <c r="P391" s="344">
        <f t="shared" si="159"/>
        <v>0</v>
      </c>
      <c r="Q391" s="344">
        <f t="shared" si="159"/>
        <v>0</v>
      </c>
      <c r="R391" s="344">
        <f t="shared" si="159"/>
        <v>0</v>
      </c>
      <c r="S391" s="344">
        <f t="shared" si="159"/>
        <v>0</v>
      </c>
      <c r="T391" s="344">
        <f t="shared" si="159"/>
        <v>0</v>
      </c>
      <c r="U391" s="344">
        <f t="shared" si="159"/>
        <v>0</v>
      </c>
      <c r="V391" s="344">
        <f t="shared" si="159"/>
        <v>0</v>
      </c>
      <c r="W391" s="344">
        <f t="shared" si="159"/>
        <v>0</v>
      </c>
      <c r="X391" s="344">
        <f t="shared" si="159"/>
        <v>0</v>
      </c>
      <c r="Y391" s="344">
        <f t="shared" si="159"/>
        <v>0</v>
      </c>
      <c r="Z391" s="344">
        <f t="shared" si="159"/>
        <v>0</v>
      </c>
      <c r="AA391" s="344">
        <f t="shared" si="159"/>
        <v>0</v>
      </c>
      <c r="AB391" s="344">
        <f t="shared" si="159"/>
        <v>0</v>
      </c>
      <c r="AC391" s="344">
        <f t="shared" si="159"/>
        <v>0</v>
      </c>
      <c r="AD391" s="344">
        <f t="shared" si="159"/>
        <v>0</v>
      </c>
      <c r="AE391" s="344">
        <f t="shared" si="159"/>
        <v>0</v>
      </c>
      <c r="AF391" s="344">
        <f t="shared" si="159"/>
        <v>0</v>
      </c>
      <c r="AG391" s="344">
        <f t="shared" si="159"/>
        <v>0</v>
      </c>
      <c r="AH391" s="344">
        <f t="shared" si="159"/>
        <v>0</v>
      </c>
      <c r="AI391" s="344">
        <f t="shared" si="159"/>
        <v>0</v>
      </c>
      <c r="AJ391" s="344">
        <f t="shared" si="159"/>
        <v>0</v>
      </c>
      <c r="AK391" s="344">
        <f t="shared" si="159"/>
        <v>0</v>
      </c>
      <c r="AL391" s="344">
        <f t="shared" si="159"/>
        <v>0</v>
      </c>
      <c r="AM391" s="344">
        <f t="shared" si="159"/>
        <v>0</v>
      </c>
      <c r="AN391" s="344">
        <f t="shared" si="159"/>
        <v>0</v>
      </c>
      <c r="AO391" s="344">
        <f t="shared" si="159"/>
        <v>0</v>
      </c>
    </row>
    <row r="392" spans="3:41" x14ac:dyDescent="0.25">
      <c r="C392" s="86"/>
      <c r="F392" t="s">
        <v>1044</v>
      </c>
      <c r="G392" t="s">
        <v>859</v>
      </c>
      <c r="J392" s="344">
        <f t="shared" ref="J392:AO392" si="160">J336</f>
        <v>0</v>
      </c>
      <c r="K392" s="344">
        <f t="shared" si="160"/>
        <v>0</v>
      </c>
      <c r="L392" s="344">
        <f t="shared" si="160"/>
        <v>0</v>
      </c>
      <c r="M392" s="344">
        <f t="shared" si="160"/>
        <v>0</v>
      </c>
      <c r="N392" s="344">
        <f t="shared" si="160"/>
        <v>0</v>
      </c>
      <c r="O392" s="344">
        <f t="shared" si="160"/>
        <v>0</v>
      </c>
      <c r="P392" s="344">
        <f t="shared" si="160"/>
        <v>0</v>
      </c>
      <c r="Q392" s="344">
        <f t="shared" si="160"/>
        <v>0</v>
      </c>
      <c r="R392" s="344">
        <f t="shared" si="160"/>
        <v>0</v>
      </c>
      <c r="S392" s="344">
        <f t="shared" si="160"/>
        <v>0</v>
      </c>
      <c r="T392" s="344">
        <f t="shared" si="160"/>
        <v>0</v>
      </c>
      <c r="U392" s="344">
        <f t="shared" si="160"/>
        <v>0</v>
      </c>
      <c r="V392" s="344">
        <f t="shared" si="160"/>
        <v>0</v>
      </c>
      <c r="W392" s="344">
        <f t="shared" si="160"/>
        <v>0</v>
      </c>
      <c r="X392" s="344">
        <f t="shared" si="160"/>
        <v>0</v>
      </c>
      <c r="Y392" s="344">
        <f t="shared" si="160"/>
        <v>0</v>
      </c>
      <c r="Z392" s="344">
        <f t="shared" si="160"/>
        <v>0</v>
      </c>
      <c r="AA392" s="344">
        <f t="shared" si="160"/>
        <v>0</v>
      </c>
      <c r="AB392" s="344">
        <f t="shared" si="160"/>
        <v>0</v>
      </c>
      <c r="AC392" s="344">
        <f t="shared" si="160"/>
        <v>0</v>
      </c>
      <c r="AD392" s="344">
        <f t="shared" si="160"/>
        <v>0</v>
      </c>
      <c r="AE392" s="344">
        <f t="shared" si="160"/>
        <v>0</v>
      </c>
      <c r="AF392" s="344">
        <f t="shared" si="160"/>
        <v>0</v>
      </c>
      <c r="AG392" s="344">
        <f t="shared" si="160"/>
        <v>0</v>
      </c>
      <c r="AH392" s="344">
        <f t="shared" si="160"/>
        <v>0</v>
      </c>
      <c r="AI392" s="344">
        <f t="shared" si="160"/>
        <v>0</v>
      </c>
      <c r="AJ392" s="344">
        <f t="shared" si="160"/>
        <v>0</v>
      </c>
      <c r="AK392" s="344">
        <f t="shared" si="160"/>
        <v>0</v>
      </c>
      <c r="AL392" s="344">
        <f t="shared" si="160"/>
        <v>0</v>
      </c>
      <c r="AM392" s="344">
        <f t="shared" si="160"/>
        <v>0</v>
      </c>
      <c r="AN392" s="344">
        <f t="shared" si="160"/>
        <v>0</v>
      </c>
      <c r="AO392" s="344">
        <f t="shared" si="160"/>
        <v>0</v>
      </c>
    </row>
    <row r="393" spans="3:41" x14ac:dyDescent="0.25">
      <c r="C393" s="86"/>
      <c r="F393" s="96" t="s">
        <v>1045</v>
      </c>
      <c r="G393" s="96" t="s">
        <v>859</v>
      </c>
      <c r="H393" s="96"/>
      <c r="I393" s="96"/>
      <c r="J393" s="335">
        <f t="shared" ref="J393:AO393" si="161">J368</f>
        <v>0</v>
      </c>
      <c r="K393" s="335">
        <f t="shared" si="161"/>
        <v>0</v>
      </c>
      <c r="L393" s="335">
        <f t="shared" si="161"/>
        <v>0</v>
      </c>
      <c r="M393" s="335">
        <f t="shared" si="161"/>
        <v>0</v>
      </c>
      <c r="N393" s="335">
        <f t="shared" si="161"/>
        <v>0</v>
      </c>
      <c r="O393" s="335">
        <f t="shared" si="161"/>
        <v>0</v>
      </c>
      <c r="P393" s="335">
        <f t="shared" si="161"/>
        <v>0</v>
      </c>
      <c r="Q393" s="335">
        <f t="shared" si="161"/>
        <v>0</v>
      </c>
      <c r="R393" s="335">
        <f t="shared" si="161"/>
        <v>0</v>
      </c>
      <c r="S393" s="335">
        <f t="shared" si="161"/>
        <v>0</v>
      </c>
      <c r="T393" s="335">
        <f t="shared" si="161"/>
        <v>0</v>
      </c>
      <c r="U393" s="335">
        <f t="shared" si="161"/>
        <v>0</v>
      </c>
      <c r="V393" s="335">
        <f t="shared" si="161"/>
        <v>0</v>
      </c>
      <c r="W393" s="335">
        <f t="shared" si="161"/>
        <v>0</v>
      </c>
      <c r="X393" s="335">
        <f t="shared" si="161"/>
        <v>0</v>
      </c>
      <c r="Y393" s="335">
        <f t="shared" si="161"/>
        <v>0</v>
      </c>
      <c r="Z393" s="335">
        <f t="shared" si="161"/>
        <v>0</v>
      </c>
      <c r="AA393" s="335">
        <f t="shared" si="161"/>
        <v>0</v>
      </c>
      <c r="AB393" s="335">
        <f t="shared" si="161"/>
        <v>0</v>
      </c>
      <c r="AC393" s="335">
        <f t="shared" si="161"/>
        <v>0</v>
      </c>
      <c r="AD393" s="335">
        <f t="shared" si="161"/>
        <v>0</v>
      </c>
      <c r="AE393" s="335">
        <f t="shared" si="161"/>
        <v>0</v>
      </c>
      <c r="AF393" s="335">
        <f t="shared" si="161"/>
        <v>0</v>
      </c>
      <c r="AG393" s="335">
        <f t="shared" si="161"/>
        <v>0</v>
      </c>
      <c r="AH393" s="335">
        <f t="shared" si="161"/>
        <v>0</v>
      </c>
      <c r="AI393" s="335">
        <f t="shared" si="161"/>
        <v>0</v>
      </c>
      <c r="AJ393" s="335">
        <f t="shared" si="161"/>
        <v>0</v>
      </c>
      <c r="AK393" s="335">
        <f t="shared" si="161"/>
        <v>0</v>
      </c>
      <c r="AL393" s="335">
        <f t="shared" si="161"/>
        <v>0</v>
      </c>
      <c r="AM393" s="335">
        <f t="shared" si="161"/>
        <v>0</v>
      </c>
      <c r="AN393" s="335">
        <f t="shared" si="161"/>
        <v>0</v>
      </c>
      <c r="AO393" s="335">
        <f t="shared" si="161"/>
        <v>0</v>
      </c>
    </row>
    <row r="394" spans="3:41" x14ac:dyDescent="0.25">
      <c r="C394" s="86"/>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row>
    <row r="395" spans="3:41" x14ac:dyDescent="0.25">
      <c r="C395" s="86"/>
      <c r="E395" s="333" t="s">
        <v>1048</v>
      </c>
      <c r="G395" t="s">
        <v>267</v>
      </c>
      <c r="J395" s="332">
        <f>INDEX(J391:J393,J388)</f>
        <v>0</v>
      </c>
      <c r="K395" s="332">
        <f t="shared" ref="K395:AO395" si="162">INDEX(K391:K393,K388)</f>
        <v>0</v>
      </c>
      <c r="L395" s="332">
        <f t="shared" si="162"/>
        <v>0</v>
      </c>
      <c r="M395" s="332">
        <f t="shared" si="162"/>
        <v>0</v>
      </c>
      <c r="N395" s="332">
        <f t="shared" si="162"/>
        <v>0</v>
      </c>
      <c r="O395" s="332">
        <f t="shared" si="162"/>
        <v>0</v>
      </c>
      <c r="P395" s="332">
        <f t="shared" si="162"/>
        <v>0</v>
      </c>
      <c r="Q395" s="332">
        <f t="shared" si="162"/>
        <v>0</v>
      </c>
      <c r="R395" s="332">
        <f t="shared" si="162"/>
        <v>0</v>
      </c>
      <c r="S395" s="332">
        <f t="shared" si="162"/>
        <v>0</v>
      </c>
      <c r="T395" s="332">
        <f t="shared" si="162"/>
        <v>0</v>
      </c>
      <c r="U395" s="332">
        <f t="shared" si="162"/>
        <v>0</v>
      </c>
      <c r="V395" s="332">
        <f t="shared" si="162"/>
        <v>0</v>
      </c>
      <c r="W395" s="332">
        <f t="shared" si="162"/>
        <v>0</v>
      </c>
      <c r="X395" s="332">
        <f t="shared" si="162"/>
        <v>0</v>
      </c>
      <c r="Y395" s="332">
        <f t="shared" si="162"/>
        <v>0</v>
      </c>
      <c r="Z395" s="332">
        <f t="shared" si="162"/>
        <v>0</v>
      </c>
      <c r="AA395" s="332">
        <f t="shared" si="162"/>
        <v>0</v>
      </c>
      <c r="AB395" s="332">
        <f t="shared" si="162"/>
        <v>0</v>
      </c>
      <c r="AC395" s="332">
        <f t="shared" si="162"/>
        <v>0</v>
      </c>
      <c r="AD395" s="332">
        <f t="shared" si="162"/>
        <v>0</v>
      </c>
      <c r="AE395" s="332">
        <f t="shared" si="162"/>
        <v>0</v>
      </c>
      <c r="AF395" s="332">
        <f t="shared" si="162"/>
        <v>0</v>
      </c>
      <c r="AG395" s="332">
        <f t="shared" si="162"/>
        <v>0</v>
      </c>
      <c r="AH395" s="332">
        <f t="shared" si="162"/>
        <v>0</v>
      </c>
      <c r="AI395" s="332">
        <f t="shared" si="162"/>
        <v>0</v>
      </c>
      <c r="AJ395" s="332">
        <f t="shared" si="162"/>
        <v>0</v>
      </c>
      <c r="AK395" s="332">
        <f t="shared" si="162"/>
        <v>0</v>
      </c>
      <c r="AL395" s="332">
        <f t="shared" si="162"/>
        <v>0</v>
      </c>
      <c r="AM395" s="332">
        <f t="shared" si="162"/>
        <v>0</v>
      </c>
      <c r="AN395" s="332">
        <f t="shared" si="162"/>
        <v>0</v>
      </c>
      <c r="AO395" s="332">
        <f t="shared" si="162"/>
        <v>0</v>
      </c>
    </row>
    <row r="396" spans="3:41" x14ac:dyDescent="0.2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25">
      <c r="C397" s="86"/>
      <c r="E397" s="75" t="s">
        <v>1049</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25">
      <c r="C398" s="86"/>
      <c r="F398" s="95" t="s">
        <v>1002</v>
      </c>
      <c r="G398" s="95" t="s">
        <v>267</v>
      </c>
      <c r="H398" s="95"/>
      <c r="I398" s="95"/>
      <c r="J398" s="334">
        <f t="shared" ref="J398:AO400" si="163">MAX(J$395, J262)</f>
        <v>0</v>
      </c>
      <c r="K398" s="334">
        <f t="shared" si="163"/>
        <v>0</v>
      </c>
      <c r="L398" s="334">
        <f t="shared" si="163"/>
        <v>0</v>
      </c>
      <c r="M398" s="334">
        <f t="shared" si="163"/>
        <v>0</v>
      </c>
      <c r="N398" s="334">
        <f t="shared" si="163"/>
        <v>0</v>
      </c>
      <c r="O398" s="334">
        <f t="shared" si="163"/>
        <v>0</v>
      </c>
      <c r="P398" s="334">
        <f t="shared" si="163"/>
        <v>0</v>
      </c>
      <c r="Q398" s="334">
        <f t="shared" si="163"/>
        <v>0</v>
      </c>
      <c r="R398" s="334">
        <f t="shared" si="163"/>
        <v>0</v>
      </c>
      <c r="S398" s="334">
        <f t="shared" si="163"/>
        <v>0</v>
      </c>
      <c r="T398" s="334">
        <f t="shared" si="163"/>
        <v>0</v>
      </c>
      <c r="U398" s="334">
        <f t="shared" si="163"/>
        <v>0</v>
      </c>
      <c r="V398" s="334">
        <f t="shared" si="163"/>
        <v>0</v>
      </c>
      <c r="W398" s="334">
        <f t="shared" si="163"/>
        <v>0</v>
      </c>
      <c r="X398" s="334">
        <f t="shared" si="163"/>
        <v>0</v>
      </c>
      <c r="Y398" s="334">
        <f t="shared" si="163"/>
        <v>0</v>
      </c>
      <c r="Z398" s="334">
        <f t="shared" si="163"/>
        <v>0</v>
      </c>
      <c r="AA398" s="334">
        <f t="shared" si="163"/>
        <v>0</v>
      </c>
      <c r="AB398" s="334">
        <f t="shared" si="163"/>
        <v>0</v>
      </c>
      <c r="AC398" s="334">
        <f t="shared" si="163"/>
        <v>0</v>
      </c>
      <c r="AD398" s="334">
        <f t="shared" si="163"/>
        <v>0</v>
      </c>
      <c r="AE398" s="334">
        <f t="shared" si="163"/>
        <v>0</v>
      </c>
      <c r="AF398" s="334">
        <f t="shared" si="163"/>
        <v>0</v>
      </c>
      <c r="AG398" s="334">
        <f t="shared" si="163"/>
        <v>0</v>
      </c>
      <c r="AH398" s="334">
        <f t="shared" si="163"/>
        <v>0</v>
      </c>
      <c r="AI398" s="334">
        <f t="shared" si="163"/>
        <v>0</v>
      </c>
      <c r="AJ398" s="334">
        <f t="shared" si="163"/>
        <v>0</v>
      </c>
      <c r="AK398" s="334">
        <f t="shared" si="163"/>
        <v>0</v>
      </c>
      <c r="AL398" s="334">
        <f t="shared" si="163"/>
        <v>0</v>
      </c>
      <c r="AM398" s="334">
        <f t="shared" si="163"/>
        <v>0</v>
      </c>
      <c r="AN398" s="334">
        <f t="shared" si="163"/>
        <v>0</v>
      </c>
      <c r="AO398" s="334">
        <f t="shared" si="163"/>
        <v>0</v>
      </c>
    </row>
    <row r="399" spans="3:41" x14ac:dyDescent="0.25">
      <c r="C399" s="86"/>
      <c r="F399" t="s">
        <v>1003</v>
      </c>
      <c r="G399" t="s">
        <v>267</v>
      </c>
      <c r="J399" s="332">
        <f t="shared" si="163"/>
        <v>0</v>
      </c>
      <c r="K399" s="332">
        <f t="shared" si="163"/>
        <v>0</v>
      </c>
      <c r="L399" s="332">
        <f t="shared" si="163"/>
        <v>0</v>
      </c>
      <c r="M399" s="332">
        <f t="shared" si="163"/>
        <v>0</v>
      </c>
      <c r="N399" s="332">
        <f t="shared" si="163"/>
        <v>0</v>
      </c>
      <c r="O399" s="332">
        <f t="shared" si="163"/>
        <v>0</v>
      </c>
      <c r="P399" s="332">
        <f t="shared" si="163"/>
        <v>0</v>
      </c>
      <c r="Q399" s="332">
        <f t="shared" si="163"/>
        <v>0</v>
      </c>
      <c r="R399" s="332">
        <f t="shared" si="163"/>
        <v>0</v>
      </c>
      <c r="S399" s="332">
        <f t="shared" si="163"/>
        <v>0</v>
      </c>
      <c r="T399" s="332">
        <f t="shared" si="163"/>
        <v>0</v>
      </c>
      <c r="U399" s="332">
        <f t="shared" si="163"/>
        <v>0</v>
      </c>
      <c r="V399" s="332">
        <f t="shared" si="163"/>
        <v>0</v>
      </c>
      <c r="W399" s="332">
        <f t="shared" si="163"/>
        <v>0</v>
      </c>
      <c r="X399" s="332">
        <f t="shared" si="163"/>
        <v>0</v>
      </c>
      <c r="Y399" s="332">
        <f t="shared" si="163"/>
        <v>0</v>
      </c>
      <c r="Z399" s="332">
        <f t="shared" si="163"/>
        <v>0</v>
      </c>
      <c r="AA399" s="332">
        <f t="shared" si="163"/>
        <v>0</v>
      </c>
      <c r="AB399" s="332">
        <f t="shared" si="163"/>
        <v>0</v>
      </c>
      <c r="AC399" s="332">
        <f t="shared" si="163"/>
        <v>0</v>
      </c>
      <c r="AD399" s="332">
        <f t="shared" si="163"/>
        <v>0</v>
      </c>
      <c r="AE399" s="332">
        <f t="shared" si="163"/>
        <v>0</v>
      </c>
      <c r="AF399" s="332">
        <f t="shared" si="163"/>
        <v>0</v>
      </c>
      <c r="AG399" s="332">
        <f t="shared" si="163"/>
        <v>0</v>
      </c>
      <c r="AH399" s="332">
        <f t="shared" si="163"/>
        <v>0</v>
      </c>
      <c r="AI399" s="332">
        <f t="shared" si="163"/>
        <v>0</v>
      </c>
      <c r="AJ399" s="332">
        <f t="shared" si="163"/>
        <v>0</v>
      </c>
      <c r="AK399" s="332">
        <f t="shared" si="163"/>
        <v>0</v>
      </c>
      <c r="AL399" s="332">
        <f t="shared" si="163"/>
        <v>0</v>
      </c>
      <c r="AM399" s="332">
        <f t="shared" si="163"/>
        <v>0</v>
      </c>
      <c r="AN399" s="332">
        <f t="shared" si="163"/>
        <v>0</v>
      </c>
      <c r="AO399" s="332">
        <f t="shared" si="163"/>
        <v>0</v>
      </c>
    </row>
    <row r="400" spans="3:41" x14ac:dyDescent="0.25">
      <c r="C400" s="86"/>
      <c r="F400" s="96" t="s">
        <v>1004</v>
      </c>
      <c r="G400" s="96" t="s">
        <v>267</v>
      </c>
      <c r="H400" s="96"/>
      <c r="I400" s="96"/>
      <c r="J400" s="335">
        <f t="shared" si="163"/>
        <v>0</v>
      </c>
      <c r="K400" s="335">
        <f t="shared" si="163"/>
        <v>0</v>
      </c>
      <c r="L400" s="335">
        <f t="shared" si="163"/>
        <v>0</v>
      </c>
      <c r="M400" s="335">
        <f t="shared" si="163"/>
        <v>0</v>
      </c>
      <c r="N400" s="335">
        <f t="shared" si="163"/>
        <v>0</v>
      </c>
      <c r="O400" s="335">
        <f t="shared" si="163"/>
        <v>0</v>
      </c>
      <c r="P400" s="335">
        <f t="shared" si="163"/>
        <v>0</v>
      </c>
      <c r="Q400" s="335">
        <f t="shared" si="163"/>
        <v>0</v>
      </c>
      <c r="R400" s="335">
        <f t="shared" si="163"/>
        <v>0</v>
      </c>
      <c r="S400" s="335">
        <f t="shared" si="163"/>
        <v>0</v>
      </c>
      <c r="T400" s="335">
        <f t="shared" si="163"/>
        <v>0</v>
      </c>
      <c r="U400" s="335">
        <f t="shared" si="163"/>
        <v>0</v>
      </c>
      <c r="V400" s="335">
        <f t="shared" si="163"/>
        <v>0</v>
      </c>
      <c r="W400" s="335">
        <f t="shared" si="163"/>
        <v>0</v>
      </c>
      <c r="X400" s="335">
        <f t="shared" si="163"/>
        <v>0</v>
      </c>
      <c r="Y400" s="335">
        <f t="shared" si="163"/>
        <v>0</v>
      </c>
      <c r="Z400" s="335">
        <f t="shared" si="163"/>
        <v>0</v>
      </c>
      <c r="AA400" s="335">
        <f t="shared" si="163"/>
        <v>0</v>
      </c>
      <c r="AB400" s="335">
        <f t="shared" si="163"/>
        <v>0</v>
      </c>
      <c r="AC400" s="335">
        <f t="shared" si="163"/>
        <v>0</v>
      </c>
      <c r="AD400" s="335">
        <f t="shared" si="163"/>
        <v>0</v>
      </c>
      <c r="AE400" s="335">
        <f t="shared" si="163"/>
        <v>0</v>
      </c>
      <c r="AF400" s="335">
        <f t="shared" si="163"/>
        <v>0</v>
      </c>
      <c r="AG400" s="335">
        <f t="shared" si="163"/>
        <v>0</v>
      </c>
      <c r="AH400" s="335">
        <f t="shared" si="163"/>
        <v>0</v>
      </c>
      <c r="AI400" s="335">
        <f t="shared" si="163"/>
        <v>0</v>
      </c>
      <c r="AJ400" s="335">
        <f t="shared" si="163"/>
        <v>0</v>
      </c>
      <c r="AK400" s="335">
        <f t="shared" si="163"/>
        <v>0</v>
      </c>
      <c r="AL400" s="335">
        <f t="shared" si="163"/>
        <v>0</v>
      </c>
      <c r="AM400" s="335">
        <f t="shared" si="163"/>
        <v>0</v>
      </c>
      <c r="AN400" s="335">
        <f t="shared" si="163"/>
        <v>0</v>
      </c>
      <c r="AO400" s="335">
        <f t="shared" si="163"/>
        <v>0</v>
      </c>
    </row>
    <row r="401" spans="2:43" x14ac:dyDescent="0.2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25">
      <c r="C402" s="86"/>
      <c r="E402" s="75" t="s">
        <v>1050</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25">
      <c r="C403" s="86"/>
      <c r="F403" s="95" t="s">
        <v>154</v>
      </c>
      <c r="G403" s="95" t="s">
        <v>267</v>
      </c>
      <c r="H403" s="95"/>
      <c r="I403" s="95"/>
      <c r="J403" s="334">
        <f t="shared" ref="J403:AO405" si="164">IF(J$237, INDEX(J$398:J$400,J267), 0)</f>
        <v>0</v>
      </c>
      <c r="K403" s="334">
        <f t="shared" si="164"/>
        <v>0</v>
      </c>
      <c r="L403" s="334">
        <f t="shared" si="164"/>
        <v>0</v>
      </c>
      <c r="M403" s="334">
        <f t="shared" si="164"/>
        <v>0</v>
      </c>
      <c r="N403" s="334">
        <f t="shared" si="164"/>
        <v>0</v>
      </c>
      <c r="O403" s="334">
        <f t="shared" si="164"/>
        <v>0</v>
      </c>
      <c r="P403" s="334">
        <f t="shared" si="164"/>
        <v>0</v>
      </c>
      <c r="Q403" s="334">
        <f t="shared" si="164"/>
        <v>0</v>
      </c>
      <c r="R403" s="334">
        <f t="shared" si="164"/>
        <v>0</v>
      </c>
      <c r="S403" s="334">
        <f t="shared" si="164"/>
        <v>0</v>
      </c>
      <c r="T403" s="334">
        <f t="shared" si="164"/>
        <v>0</v>
      </c>
      <c r="U403" s="334">
        <f t="shared" si="164"/>
        <v>0</v>
      </c>
      <c r="V403" s="334">
        <f t="shared" si="164"/>
        <v>0</v>
      </c>
      <c r="W403" s="334">
        <f t="shared" si="164"/>
        <v>0</v>
      </c>
      <c r="X403" s="334">
        <f t="shared" si="164"/>
        <v>0</v>
      </c>
      <c r="Y403" s="334">
        <f t="shared" si="164"/>
        <v>0</v>
      </c>
      <c r="Z403" s="334">
        <f t="shared" si="164"/>
        <v>0</v>
      </c>
      <c r="AA403" s="334">
        <f t="shared" si="164"/>
        <v>0</v>
      </c>
      <c r="AB403" s="334">
        <f t="shared" si="164"/>
        <v>0</v>
      </c>
      <c r="AC403" s="334">
        <f t="shared" si="164"/>
        <v>0</v>
      </c>
      <c r="AD403" s="334">
        <f t="shared" si="164"/>
        <v>0</v>
      </c>
      <c r="AE403" s="334">
        <f t="shared" si="164"/>
        <v>0</v>
      </c>
      <c r="AF403" s="334">
        <f t="shared" si="164"/>
        <v>0</v>
      </c>
      <c r="AG403" s="334">
        <f t="shared" si="164"/>
        <v>0</v>
      </c>
      <c r="AH403" s="334">
        <f t="shared" si="164"/>
        <v>0</v>
      </c>
      <c r="AI403" s="334">
        <f t="shared" si="164"/>
        <v>0</v>
      </c>
      <c r="AJ403" s="334">
        <f t="shared" si="164"/>
        <v>0</v>
      </c>
      <c r="AK403" s="334">
        <f t="shared" si="164"/>
        <v>0</v>
      </c>
      <c r="AL403" s="334">
        <f t="shared" si="164"/>
        <v>0</v>
      </c>
      <c r="AM403" s="334">
        <f t="shared" si="164"/>
        <v>0</v>
      </c>
      <c r="AN403" s="334">
        <f t="shared" si="164"/>
        <v>0</v>
      </c>
      <c r="AO403" s="334">
        <f t="shared" si="164"/>
        <v>0</v>
      </c>
    </row>
    <row r="404" spans="2:43" x14ac:dyDescent="0.25">
      <c r="C404" s="86"/>
      <c r="F404" t="s">
        <v>155</v>
      </c>
      <c r="G404" t="s">
        <v>267</v>
      </c>
      <c r="J404" s="332">
        <f t="shared" si="164"/>
        <v>0</v>
      </c>
      <c r="K404" s="332">
        <f t="shared" si="164"/>
        <v>0</v>
      </c>
      <c r="L404" s="332">
        <f t="shared" si="164"/>
        <v>0</v>
      </c>
      <c r="M404" s="332">
        <f t="shared" si="164"/>
        <v>0</v>
      </c>
      <c r="N404" s="332">
        <f t="shared" si="164"/>
        <v>0</v>
      </c>
      <c r="O404" s="332">
        <f t="shared" si="164"/>
        <v>0</v>
      </c>
      <c r="P404" s="332">
        <f t="shared" si="164"/>
        <v>0</v>
      </c>
      <c r="Q404" s="332">
        <f t="shared" si="164"/>
        <v>0</v>
      </c>
      <c r="R404" s="332">
        <f t="shared" si="164"/>
        <v>0</v>
      </c>
      <c r="S404" s="332">
        <f t="shared" si="164"/>
        <v>0</v>
      </c>
      <c r="T404" s="332">
        <f t="shared" si="164"/>
        <v>0</v>
      </c>
      <c r="U404" s="332">
        <f t="shared" si="164"/>
        <v>0</v>
      </c>
      <c r="V404" s="332">
        <f t="shared" si="164"/>
        <v>0</v>
      </c>
      <c r="W404" s="332">
        <f t="shared" si="164"/>
        <v>0</v>
      </c>
      <c r="X404" s="332">
        <f t="shared" si="164"/>
        <v>0</v>
      </c>
      <c r="Y404" s="332">
        <f t="shared" si="164"/>
        <v>0</v>
      </c>
      <c r="Z404" s="332">
        <f t="shared" si="164"/>
        <v>0</v>
      </c>
      <c r="AA404" s="332">
        <f t="shared" si="164"/>
        <v>0</v>
      </c>
      <c r="AB404" s="332">
        <f t="shared" si="164"/>
        <v>0</v>
      </c>
      <c r="AC404" s="332">
        <f t="shared" si="164"/>
        <v>0</v>
      </c>
      <c r="AD404" s="332">
        <f t="shared" si="164"/>
        <v>0</v>
      </c>
      <c r="AE404" s="332">
        <f t="shared" si="164"/>
        <v>0</v>
      </c>
      <c r="AF404" s="332">
        <f t="shared" si="164"/>
        <v>0</v>
      </c>
      <c r="AG404" s="332">
        <f t="shared" si="164"/>
        <v>0</v>
      </c>
      <c r="AH404" s="332">
        <f t="shared" si="164"/>
        <v>0</v>
      </c>
      <c r="AI404" s="332">
        <f t="shared" si="164"/>
        <v>0</v>
      </c>
      <c r="AJ404" s="332">
        <f t="shared" si="164"/>
        <v>0</v>
      </c>
      <c r="AK404" s="332">
        <f t="shared" si="164"/>
        <v>0</v>
      </c>
      <c r="AL404" s="332">
        <f t="shared" si="164"/>
        <v>0</v>
      </c>
      <c r="AM404" s="332">
        <f t="shared" si="164"/>
        <v>0</v>
      </c>
      <c r="AN404" s="332">
        <f t="shared" si="164"/>
        <v>0</v>
      </c>
      <c r="AO404" s="332">
        <f t="shared" si="164"/>
        <v>0</v>
      </c>
    </row>
    <row r="405" spans="2:43" x14ac:dyDescent="0.25">
      <c r="C405" s="86"/>
      <c r="F405" s="96" t="s">
        <v>156</v>
      </c>
      <c r="G405" s="96" t="s">
        <v>267</v>
      </c>
      <c r="H405" s="96"/>
      <c r="I405" s="96"/>
      <c r="J405" s="335">
        <f t="shared" si="164"/>
        <v>0</v>
      </c>
      <c r="K405" s="335">
        <f t="shared" si="164"/>
        <v>0</v>
      </c>
      <c r="L405" s="335">
        <f t="shared" si="164"/>
        <v>0</v>
      </c>
      <c r="M405" s="335">
        <f t="shared" si="164"/>
        <v>0</v>
      </c>
      <c r="N405" s="335">
        <f t="shared" si="164"/>
        <v>0</v>
      </c>
      <c r="O405" s="335">
        <f t="shared" si="164"/>
        <v>0</v>
      </c>
      <c r="P405" s="335">
        <f t="shared" si="164"/>
        <v>0</v>
      </c>
      <c r="Q405" s="335">
        <f t="shared" si="164"/>
        <v>0</v>
      </c>
      <c r="R405" s="335">
        <f t="shared" si="164"/>
        <v>0</v>
      </c>
      <c r="S405" s="335">
        <f t="shared" si="164"/>
        <v>0</v>
      </c>
      <c r="T405" s="335">
        <f t="shared" si="164"/>
        <v>0</v>
      </c>
      <c r="U405" s="335">
        <f t="shared" si="164"/>
        <v>0</v>
      </c>
      <c r="V405" s="335">
        <f t="shared" si="164"/>
        <v>0</v>
      </c>
      <c r="W405" s="335">
        <f t="shared" si="164"/>
        <v>0</v>
      </c>
      <c r="X405" s="335">
        <f t="shared" si="164"/>
        <v>0</v>
      </c>
      <c r="Y405" s="335">
        <f t="shared" si="164"/>
        <v>0</v>
      </c>
      <c r="Z405" s="335">
        <f t="shared" si="164"/>
        <v>0</v>
      </c>
      <c r="AA405" s="335">
        <f t="shared" si="164"/>
        <v>0</v>
      </c>
      <c r="AB405" s="335">
        <f t="shared" si="164"/>
        <v>0</v>
      </c>
      <c r="AC405" s="335">
        <f t="shared" si="164"/>
        <v>0</v>
      </c>
      <c r="AD405" s="335">
        <f t="shared" si="164"/>
        <v>0</v>
      </c>
      <c r="AE405" s="335">
        <f t="shared" si="164"/>
        <v>0</v>
      </c>
      <c r="AF405" s="335">
        <f t="shared" si="164"/>
        <v>0</v>
      </c>
      <c r="AG405" s="335">
        <f t="shared" si="164"/>
        <v>0</v>
      </c>
      <c r="AH405" s="335">
        <f t="shared" si="164"/>
        <v>0</v>
      </c>
      <c r="AI405" s="335">
        <f t="shared" si="164"/>
        <v>0</v>
      </c>
      <c r="AJ405" s="335">
        <f t="shared" si="164"/>
        <v>0</v>
      </c>
      <c r="AK405" s="335">
        <f t="shared" si="164"/>
        <v>0</v>
      </c>
      <c r="AL405" s="335">
        <f t="shared" si="164"/>
        <v>0</v>
      </c>
      <c r="AM405" s="335">
        <f t="shared" si="164"/>
        <v>0</v>
      </c>
      <c r="AN405" s="335">
        <f t="shared" si="164"/>
        <v>0</v>
      </c>
      <c r="AO405" s="335">
        <f t="shared" si="164"/>
        <v>0</v>
      </c>
    </row>
    <row r="406" spans="2:43" x14ac:dyDescent="0.2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25">
      <c r="B407" s="85" t="s">
        <v>968</v>
      </c>
      <c r="C407" s="85"/>
      <c r="D407" s="85"/>
      <c r="E407" s="85"/>
      <c r="F407" s="85"/>
      <c r="G407" s="85"/>
      <c r="H407" s="85"/>
      <c r="I407" s="85"/>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c r="AO407" s="271"/>
      <c r="AP407" s="152"/>
      <c r="AQ407" s="152"/>
    </row>
    <row r="408" spans="2:43" x14ac:dyDescent="0.25">
      <c r="C408" s="86"/>
      <c r="J408" s="62"/>
      <c r="K408" s="62"/>
      <c r="L408" s="62"/>
      <c r="M408" s="62"/>
      <c r="N408" s="33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25">
      <c r="C409" s="93" t="str">
        <f ca="1">INDEX('Version control'!$H$41:$H$64,MATCH($A$1,'Version control'!$F$41:$F$64,0),1)&amp;"-O: Final adders"</f>
        <v>Section 116-O: Final adders</v>
      </c>
      <c r="D409" s="93"/>
      <c r="E409" s="93"/>
      <c r="F409" s="93"/>
      <c r="G409" s="93"/>
      <c r="H409" s="93"/>
      <c r="I409" s="93"/>
      <c r="J409" s="253"/>
      <c r="K409" s="253"/>
      <c r="L409" s="253"/>
      <c r="M409" s="253"/>
      <c r="N409" s="253"/>
      <c r="O409" s="253"/>
      <c r="P409" s="253"/>
      <c r="Q409" s="253"/>
      <c r="R409" s="253"/>
      <c r="S409" s="253"/>
      <c r="T409" s="253"/>
      <c r="U409" s="253"/>
      <c r="V409" s="253"/>
      <c r="W409" s="253"/>
      <c r="X409" s="253"/>
      <c r="Y409" s="253"/>
      <c r="Z409" s="253"/>
      <c r="AA409" s="253"/>
      <c r="AB409" s="253"/>
      <c r="AC409" s="253"/>
      <c r="AD409" s="253"/>
      <c r="AE409" s="253"/>
      <c r="AF409" s="253"/>
      <c r="AG409" s="253"/>
      <c r="AH409" s="253"/>
      <c r="AI409" s="253"/>
      <c r="AJ409" s="253"/>
      <c r="AK409" s="253"/>
      <c r="AL409" s="253"/>
      <c r="AM409" s="253"/>
      <c r="AN409" s="253"/>
      <c r="AO409" s="253"/>
      <c r="AP409" s="93"/>
      <c r="AQ409" s="93"/>
    </row>
    <row r="410" spans="2:43" x14ac:dyDescent="0.2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25">
      <c r="C411" s="86"/>
      <c r="E411" s="105" t="s">
        <v>884</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25">
      <c r="C412" s="86"/>
      <c r="F412" s="95" t="s">
        <v>154</v>
      </c>
      <c r="G412" s="95" t="s">
        <v>267</v>
      </c>
      <c r="H412" s="95"/>
      <c r="I412" s="95"/>
      <c r="J412" s="266">
        <f>J403 + J$207</f>
        <v>0</v>
      </c>
      <c r="K412" s="266">
        <f t="shared" ref="K412:AO412" si="165">K403 + K$207</f>
        <v>0</v>
      </c>
      <c r="L412" s="266">
        <f t="shared" si="165"/>
        <v>0</v>
      </c>
      <c r="M412" s="266">
        <f t="shared" si="165"/>
        <v>0</v>
      </c>
      <c r="N412" s="266">
        <f t="shared" si="165"/>
        <v>0</v>
      </c>
      <c r="O412" s="266">
        <f t="shared" si="165"/>
        <v>0</v>
      </c>
      <c r="P412" s="266">
        <f t="shared" si="165"/>
        <v>0</v>
      </c>
      <c r="Q412" s="266">
        <f t="shared" si="165"/>
        <v>0</v>
      </c>
      <c r="R412" s="266">
        <f t="shared" si="165"/>
        <v>0</v>
      </c>
      <c r="S412" s="266">
        <f t="shared" si="165"/>
        <v>0</v>
      </c>
      <c r="T412" s="266">
        <f t="shared" si="165"/>
        <v>0</v>
      </c>
      <c r="U412" s="266">
        <f t="shared" si="165"/>
        <v>0</v>
      </c>
      <c r="V412" s="266">
        <f t="shared" si="165"/>
        <v>0</v>
      </c>
      <c r="W412" s="266">
        <f t="shared" si="165"/>
        <v>0</v>
      </c>
      <c r="X412" s="266">
        <f t="shared" si="165"/>
        <v>0</v>
      </c>
      <c r="Y412" s="266">
        <f t="shared" si="165"/>
        <v>0</v>
      </c>
      <c r="Z412" s="266">
        <f t="shared" si="165"/>
        <v>0</v>
      </c>
      <c r="AA412" s="266">
        <f t="shared" si="165"/>
        <v>0</v>
      </c>
      <c r="AB412" s="266">
        <f t="shared" si="165"/>
        <v>0</v>
      </c>
      <c r="AC412" s="266">
        <f t="shared" si="165"/>
        <v>0</v>
      </c>
      <c r="AD412" s="266">
        <f t="shared" si="165"/>
        <v>0</v>
      </c>
      <c r="AE412" s="266">
        <f t="shared" si="165"/>
        <v>0</v>
      </c>
      <c r="AF412" s="266">
        <f t="shared" si="165"/>
        <v>0</v>
      </c>
      <c r="AG412" s="266">
        <f t="shared" si="165"/>
        <v>0.25400044160004515</v>
      </c>
      <c r="AH412" s="266">
        <f t="shared" si="165"/>
        <v>0</v>
      </c>
      <c r="AI412" s="266">
        <f t="shared" si="165"/>
        <v>0</v>
      </c>
      <c r="AJ412" s="266">
        <f t="shared" si="165"/>
        <v>0</v>
      </c>
      <c r="AK412" s="266">
        <f t="shared" si="165"/>
        <v>0</v>
      </c>
      <c r="AL412" s="266">
        <f t="shared" si="165"/>
        <v>0</v>
      </c>
      <c r="AM412" s="266">
        <f t="shared" si="165"/>
        <v>0</v>
      </c>
      <c r="AN412" s="266">
        <f t="shared" si="165"/>
        <v>0</v>
      </c>
      <c r="AO412" s="266">
        <f t="shared" si="165"/>
        <v>0</v>
      </c>
    </row>
    <row r="413" spans="2:43" x14ac:dyDescent="0.25">
      <c r="C413" s="86"/>
      <c r="F413" t="s">
        <v>155</v>
      </c>
      <c r="G413" t="s">
        <v>267</v>
      </c>
      <c r="J413" s="268">
        <f t="shared" ref="J413:AO414" si="166">J404 + J$207</f>
        <v>0</v>
      </c>
      <c r="K413" s="268">
        <f t="shared" si="166"/>
        <v>0</v>
      </c>
      <c r="L413" s="268">
        <f t="shared" si="166"/>
        <v>0</v>
      </c>
      <c r="M413" s="268">
        <f t="shared" si="166"/>
        <v>0</v>
      </c>
      <c r="N413" s="268">
        <f t="shared" si="166"/>
        <v>0</v>
      </c>
      <c r="O413" s="268">
        <f t="shared" si="166"/>
        <v>0</v>
      </c>
      <c r="P413" s="268">
        <f t="shared" si="166"/>
        <v>0</v>
      </c>
      <c r="Q413" s="268">
        <f t="shared" si="166"/>
        <v>0</v>
      </c>
      <c r="R413" s="268">
        <f t="shared" si="166"/>
        <v>0</v>
      </c>
      <c r="S413" s="268">
        <f t="shared" si="166"/>
        <v>0</v>
      </c>
      <c r="T413" s="268">
        <f t="shared" si="166"/>
        <v>0</v>
      </c>
      <c r="U413" s="268">
        <f t="shared" si="166"/>
        <v>0</v>
      </c>
      <c r="V413" s="268">
        <f t="shared" si="166"/>
        <v>0</v>
      </c>
      <c r="W413" s="268">
        <f t="shared" si="166"/>
        <v>0</v>
      </c>
      <c r="X413" s="268">
        <f t="shared" si="166"/>
        <v>0</v>
      </c>
      <c r="Y413" s="268">
        <f t="shared" si="166"/>
        <v>0</v>
      </c>
      <c r="Z413" s="268">
        <f t="shared" si="166"/>
        <v>0</v>
      </c>
      <c r="AA413" s="268">
        <f t="shared" si="166"/>
        <v>0</v>
      </c>
      <c r="AB413" s="268">
        <f t="shared" si="166"/>
        <v>0</v>
      </c>
      <c r="AC413" s="268">
        <f t="shared" si="166"/>
        <v>0</v>
      </c>
      <c r="AD413" s="268">
        <f t="shared" si="166"/>
        <v>0</v>
      </c>
      <c r="AE413" s="268">
        <f t="shared" si="166"/>
        <v>0</v>
      </c>
      <c r="AF413" s="268">
        <f t="shared" si="166"/>
        <v>0</v>
      </c>
      <c r="AG413" s="268">
        <f t="shared" si="166"/>
        <v>0.25400044160004515</v>
      </c>
      <c r="AH413" s="268">
        <f t="shared" si="166"/>
        <v>0</v>
      </c>
      <c r="AI413" s="268">
        <f t="shared" si="166"/>
        <v>0</v>
      </c>
      <c r="AJ413" s="268">
        <f t="shared" si="166"/>
        <v>0</v>
      </c>
      <c r="AK413" s="268">
        <f t="shared" si="166"/>
        <v>0</v>
      </c>
      <c r="AL413" s="268">
        <f t="shared" si="166"/>
        <v>0</v>
      </c>
      <c r="AM413" s="268">
        <f t="shared" si="166"/>
        <v>0</v>
      </c>
      <c r="AN413" s="268">
        <f t="shared" si="166"/>
        <v>0</v>
      </c>
      <c r="AO413" s="268">
        <f t="shared" si="166"/>
        <v>0</v>
      </c>
    </row>
    <row r="414" spans="2:43" x14ac:dyDescent="0.25">
      <c r="C414" s="86"/>
      <c r="F414" t="s">
        <v>156</v>
      </c>
      <c r="G414" t="s">
        <v>267</v>
      </c>
      <c r="J414" s="270">
        <f t="shared" si="166"/>
        <v>0</v>
      </c>
      <c r="K414" s="270">
        <f t="shared" si="166"/>
        <v>0</v>
      </c>
      <c r="L414" s="270">
        <f t="shared" si="166"/>
        <v>0</v>
      </c>
      <c r="M414" s="270">
        <f t="shared" si="166"/>
        <v>0</v>
      </c>
      <c r="N414" s="270">
        <f t="shared" si="166"/>
        <v>0</v>
      </c>
      <c r="O414" s="270">
        <f t="shared" si="166"/>
        <v>0</v>
      </c>
      <c r="P414" s="270">
        <f t="shared" si="166"/>
        <v>0</v>
      </c>
      <c r="Q414" s="270">
        <f t="shared" si="166"/>
        <v>0</v>
      </c>
      <c r="R414" s="270">
        <f t="shared" si="166"/>
        <v>0</v>
      </c>
      <c r="S414" s="270">
        <f t="shared" si="166"/>
        <v>0</v>
      </c>
      <c r="T414" s="270">
        <f t="shared" si="166"/>
        <v>0</v>
      </c>
      <c r="U414" s="270">
        <f t="shared" si="166"/>
        <v>0</v>
      </c>
      <c r="V414" s="270">
        <f t="shared" si="166"/>
        <v>0</v>
      </c>
      <c r="W414" s="270">
        <f t="shared" si="166"/>
        <v>0</v>
      </c>
      <c r="X414" s="270">
        <f t="shared" si="166"/>
        <v>0</v>
      </c>
      <c r="Y414" s="270">
        <f t="shared" si="166"/>
        <v>0</v>
      </c>
      <c r="Z414" s="270">
        <f t="shared" si="166"/>
        <v>0</v>
      </c>
      <c r="AA414" s="270">
        <f t="shared" si="166"/>
        <v>0</v>
      </c>
      <c r="AB414" s="270">
        <f t="shared" si="166"/>
        <v>0</v>
      </c>
      <c r="AC414" s="270">
        <f t="shared" si="166"/>
        <v>0</v>
      </c>
      <c r="AD414" s="270">
        <f t="shared" si="166"/>
        <v>0</v>
      </c>
      <c r="AE414" s="270">
        <f t="shared" si="166"/>
        <v>0</v>
      </c>
      <c r="AF414" s="270">
        <f t="shared" si="166"/>
        <v>0</v>
      </c>
      <c r="AG414" s="270">
        <f t="shared" si="166"/>
        <v>0.25400044160004515</v>
      </c>
      <c r="AH414" s="270">
        <f t="shared" si="166"/>
        <v>0</v>
      </c>
      <c r="AI414" s="270">
        <f t="shared" si="166"/>
        <v>0</v>
      </c>
      <c r="AJ414" s="270">
        <f t="shared" si="166"/>
        <v>0</v>
      </c>
      <c r="AK414" s="270">
        <f t="shared" si="166"/>
        <v>0</v>
      </c>
      <c r="AL414" s="270">
        <f t="shared" si="166"/>
        <v>0</v>
      </c>
      <c r="AM414" s="270">
        <f t="shared" si="166"/>
        <v>0</v>
      </c>
      <c r="AN414" s="270">
        <f t="shared" si="166"/>
        <v>0</v>
      </c>
      <c r="AO414" s="270">
        <f t="shared" si="166"/>
        <v>0</v>
      </c>
    </row>
    <row r="415" spans="2:43" x14ac:dyDescent="0.25">
      <c r="C415" s="86"/>
      <c r="F415" t="s">
        <v>157</v>
      </c>
      <c r="G415" t="s">
        <v>268</v>
      </c>
      <c r="J415" s="306">
        <f t="shared" ref="J415:AO415" si="167">J224</f>
        <v>1.9488595512978588</v>
      </c>
      <c r="K415" s="306">
        <f t="shared" si="167"/>
        <v>0</v>
      </c>
      <c r="L415" s="306">
        <f t="shared" si="167"/>
        <v>0</v>
      </c>
      <c r="M415" s="306">
        <f t="shared" si="167"/>
        <v>2.0225278343609547</v>
      </c>
      <c r="N415" s="306">
        <f t="shared" si="167"/>
        <v>5.4997853294918109</v>
      </c>
      <c r="O415" s="306">
        <f t="shared" si="167"/>
        <v>11.829936903803441</v>
      </c>
      <c r="P415" s="306">
        <f t="shared" si="167"/>
        <v>31.869831407835964</v>
      </c>
      <c r="Q415" s="306">
        <f t="shared" si="167"/>
        <v>0</v>
      </c>
      <c r="R415" s="306">
        <f t="shared" si="167"/>
        <v>0</v>
      </c>
      <c r="S415" s="306">
        <f t="shared" si="167"/>
        <v>53.148412759719484</v>
      </c>
      <c r="T415" s="306">
        <f t="shared" si="167"/>
        <v>114.64748155100087</v>
      </c>
      <c r="U415" s="306">
        <f t="shared" si="167"/>
        <v>179.49133897614598</v>
      </c>
      <c r="V415" s="306">
        <f t="shared" si="167"/>
        <v>467.61310548856943</v>
      </c>
      <c r="W415" s="306">
        <f t="shared" si="167"/>
        <v>0</v>
      </c>
      <c r="X415" s="306">
        <f t="shared" si="167"/>
        <v>53.148412759719484</v>
      </c>
      <c r="Y415" s="306">
        <f t="shared" si="167"/>
        <v>114.64748155100087</v>
      </c>
      <c r="Z415" s="306">
        <f t="shared" si="167"/>
        <v>179.49133897614604</v>
      </c>
      <c r="AA415" s="306">
        <f t="shared" si="167"/>
        <v>467.61310548856926</v>
      </c>
      <c r="AB415" s="306">
        <f t="shared" si="167"/>
        <v>0</v>
      </c>
      <c r="AC415" s="306">
        <f t="shared" si="167"/>
        <v>365.03379141446504</v>
      </c>
      <c r="AD415" s="306">
        <f t="shared" si="167"/>
        <v>999.74347089769617</v>
      </c>
      <c r="AE415" s="306">
        <f t="shared" si="167"/>
        <v>1786.763069061979</v>
      </c>
      <c r="AF415" s="306">
        <f t="shared" si="167"/>
        <v>4865.5651518164468</v>
      </c>
      <c r="AG415" s="306">
        <f t="shared" si="167"/>
        <v>0</v>
      </c>
      <c r="AH415" s="306">
        <f t="shared" si="167"/>
        <v>0</v>
      </c>
      <c r="AI415" s="306">
        <f t="shared" si="167"/>
        <v>0</v>
      </c>
      <c r="AJ415" s="306">
        <f t="shared" si="167"/>
        <v>0</v>
      </c>
      <c r="AK415" s="306">
        <f t="shared" si="167"/>
        <v>0</v>
      </c>
      <c r="AL415" s="306">
        <f t="shared" si="167"/>
        <v>0</v>
      </c>
      <c r="AM415" s="306">
        <f t="shared" si="167"/>
        <v>0</v>
      </c>
      <c r="AN415" s="306">
        <f t="shared" si="167"/>
        <v>0</v>
      </c>
      <c r="AO415" s="306">
        <f t="shared" si="167"/>
        <v>0</v>
      </c>
    </row>
    <row r="416" spans="2:43" x14ac:dyDescent="0.25">
      <c r="C416" s="86"/>
      <c r="E416" s="94"/>
      <c r="F416" t="s">
        <v>158</v>
      </c>
      <c r="G416" t="s">
        <v>269</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25">
      <c r="C417" s="86"/>
      <c r="F417" t="s">
        <v>159</v>
      </c>
      <c r="G417" t="s">
        <v>269</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25">
      <c r="C418" s="86"/>
      <c r="E418" s="94"/>
      <c r="F418" s="96" t="s">
        <v>160</v>
      </c>
      <c r="G418" s="96" t="s">
        <v>270</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25">
      <c r="C419" s="86"/>
    </row>
    <row r="420" spans="2:43" x14ac:dyDescent="0.25">
      <c r="B420" s="85" t="s">
        <v>229</v>
      </c>
      <c r="C420" s="85"/>
      <c r="D420" s="85"/>
      <c r="E420" s="85"/>
      <c r="F420" s="85"/>
      <c r="G420" s="85"/>
      <c r="H420" s="85"/>
      <c r="I420" s="85"/>
      <c r="J420" s="271"/>
      <c r="K420" s="27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c r="AI420" s="271"/>
      <c r="AJ420" s="271"/>
      <c r="AK420" s="271"/>
      <c r="AL420" s="271"/>
      <c r="AM420" s="271"/>
      <c r="AN420" s="271"/>
      <c r="AO420" s="271"/>
      <c r="AP420" s="152"/>
      <c r="AQ420" s="152"/>
    </row>
    <row r="421" spans="2:43" x14ac:dyDescent="0.2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25">
      <c r="C422" s="86"/>
      <c r="E422" s="94" t="s">
        <v>1051</v>
      </c>
      <c r="F422" s="94"/>
      <c r="G422" t="s">
        <v>877</v>
      </c>
      <c r="H422" s="106">
        <f>SUM(J422:AO422)</f>
        <v>0</v>
      </c>
      <c r="J422" s="260">
        <f t="shared" ref="J422:AO422" si="168">SUMPRODUCT(J398:J400,J282:J284)*thousand/hundred</f>
        <v>0</v>
      </c>
      <c r="K422" s="260">
        <f t="shared" si="168"/>
        <v>0</v>
      </c>
      <c r="L422" s="260">
        <f t="shared" si="168"/>
        <v>0</v>
      </c>
      <c r="M422" s="260">
        <f t="shared" si="168"/>
        <v>0</v>
      </c>
      <c r="N422" s="260">
        <f t="shared" si="168"/>
        <v>0</v>
      </c>
      <c r="O422" s="260">
        <f t="shared" si="168"/>
        <v>0</v>
      </c>
      <c r="P422" s="260">
        <f t="shared" si="168"/>
        <v>0</v>
      </c>
      <c r="Q422" s="260">
        <f t="shared" si="168"/>
        <v>0</v>
      </c>
      <c r="R422" s="260">
        <f t="shared" si="168"/>
        <v>0</v>
      </c>
      <c r="S422" s="260">
        <f t="shared" si="168"/>
        <v>0</v>
      </c>
      <c r="T422" s="260">
        <f t="shared" si="168"/>
        <v>0</v>
      </c>
      <c r="U422" s="260">
        <f t="shared" si="168"/>
        <v>0</v>
      </c>
      <c r="V422" s="260">
        <f t="shared" si="168"/>
        <v>0</v>
      </c>
      <c r="W422" s="260">
        <f t="shared" si="168"/>
        <v>0</v>
      </c>
      <c r="X422" s="260">
        <f t="shared" si="168"/>
        <v>0</v>
      </c>
      <c r="Y422" s="260">
        <f t="shared" si="168"/>
        <v>0</v>
      </c>
      <c r="Z422" s="260">
        <f t="shared" si="168"/>
        <v>0</v>
      </c>
      <c r="AA422" s="260">
        <f t="shared" si="168"/>
        <v>0</v>
      </c>
      <c r="AB422" s="260">
        <f t="shared" si="168"/>
        <v>0</v>
      </c>
      <c r="AC422" s="260">
        <f t="shared" si="168"/>
        <v>0</v>
      </c>
      <c r="AD422" s="260">
        <f t="shared" si="168"/>
        <v>0</v>
      </c>
      <c r="AE422" s="260">
        <f t="shared" si="168"/>
        <v>0</v>
      </c>
      <c r="AF422" s="260">
        <f t="shared" si="168"/>
        <v>0</v>
      </c>
      <c r="AG422" s="260">
        <f t="shared" si="168"/>
        <v>0</v>
      </c>
      <c r="AH422" s="260">
        <f t="shared" si="168"/>
        <v>0</v>
      </c>
      <c r="AI422" s="260">
        <f t="shared" si="168"/>
        <v>0</v>
      </c>
      <c r="AJ422" s="260">
        <f t="shared" si="168"/>
        <v>0</v>
      </c>
      <c r="AK422" s="260">
        <f t="shared" si="168"/>
        <v>0</v>
      </c>
      <c r="AL422" s="260">
        <f t="shared" si="168"/>
        <v>0</v>
      </c>
      <c r="AM422" s="260">
        <f t="shared" si="168"/>
        <v>0</v>
      </c>
      <c r="AN422" s="260">
        <f t="shared" si="168"/>
        <v>0</v>
      </c>
      <c r="AO422" s="260">
        <f t="shared" si="168"/>
        <v>0</v>
      </c>
    </row>
    <row r="423" spans="2:43" x14ac:dyDescent="0.2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25">
      <c r="C424" s="86"/>
      <c r="E424" s="94" t="s">
        <v>1052</v>
      </c>
      <c r="F424" s="94"/>
      <c r="G424" t="s">
        <v>877</v>
      </c>
      <c r="H424" s="106">
        <f>SUM(J424:AO424)</f>
        <v>0</v>
      </c>
      <c r="J424" s="260">
        <f t="shared" ref="J424:AO424" si="169">J228</f>
        <v>0</v>
      </c>
      <c r="K424" s="260">
        <f t="shared" si="169"/>
        <v>0</v>
      </c>
      <c r="L424" s="260">
        <f t="shared" si="169"/>
        <v>0</v>
      </c>
      <c r="M424" s="260">
        <f t="shared" si="169"/>
        <v>0</v>
      </c>
      <c r="N424" s="260">
        <f t="shared" si="169"/>
        <v>0</v>
      </c>
      <c r="O424" s="260">
        <f t="shared" si="169"/>
        <v>0</v>
      </c>
      <c r="P424" s="260">
        <f t="shared" si="169"/>
        <v>0</v>
      </c>
      <c r="Q424" s="260">
        <f t="shared" si="169"/>
        <v>0</v>
      </c>
      <c r="R424" s="260">
        <f t="shared" si="169"/>
        <v>0</v>
      </c>
      <c r="S424" s="260">
        <f t="shared" si="169"/>
        <v>0</v>
      </c>
      <c r="T424" s="260">
        <f t="shared" si="169"/>
        <v>0</v>
      </c>
      <c r="U424" s="260">
        <f t="shared" si="169"/>
        <v>0</v>
      </c>
      <c r="V424" s="260">
        <f t="shared" si="169"/>
        <v>0</v>
      </c>
      <c r="W424" s="260">
        <f t="shared" si="169"/>
        <v>0</v>
      </c>
      <c r="X424" s="260">
        <f t="shared" si="169"/>
        <v>0</v>
      </c>
      <c r="Y424" s="260">
        <f t="shared" si="169"/>
        <v>0</v>
      </c>
      <c r="Z424" s="260">
        <f t="shared" si="169"/>
        <v>0</v>
      </c>
      <c r="AA424" s="260">
        <f t="shared" si="169"/>
        <v>0</v>
      </c>
      <c r="AB424" s="260">
        <f t="shared" si="169"/>
        <v>0</v>
      </c>
      <c r="AC424" s="260">
        <f t="shared" si="169"/>
        <v>0</v>
      </c>
      <c r="AD424" s="260">
        <f t="shared" si="169"/>
        <v>0</v>
      </c>
      <c r="AE424" s="260">
        <f t="shared" si="169"/>
        <v>0</v>
      </c>
      <c r="AF424" s="260">
        <f t="shared" si="169"/>
        <v>0</v>
      </c>
      <c r="AG424" s="260">
        <f t="shared" si="169"/>
        <v>0</v>
      </c>
      <c r="AH424" s="260">
        <f t="shared" si="169"/>
        <v>0</v>
      </c>
      <c r="AI424" s="260">
        <f t="shared" si="169"/>
        <v>0</v>
      </c>
      <c r="AJ424" s="260">
        <f t="shared" si="169"/>
        <v>0</v>
      </c>
      <c r="AK424" s="260">
        <f t="shared" si="169"/>
        <v>0</v>
      </c>
      <c r="AL424" s="260">
        <f t="shared" si="169"/>
        <v>0</v>
      </c>
      <c r="AM424" s="260">
        <f t="shared" si="169"/>
        <v>0</v>
      </c>
      <c r="AN424" s="260">
        <f t="shared" si="169"/>
        <v>0</v>
      </c>
      <c r="AO424" s="260">
        <f t="shared" si="169"/>
        <v>0</v>
      </c>
    </row>
    <row r="425" spans="2:43" x14ac:dyDescent="0.2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25">
      <c r="C426" s="86"/>
      <c r="E426" s="94" t="s">
        <v>1053</v>
      </c>
      <c r="F426" s="94"/>
      <c r="G426" t="s">
        <v>859</v>
      </c>
      <c r="H426" s="251">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2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25">
      <c r="C428" s="86"/>
      <c r="E428" s="94" t="s">
        <v>1054</v>
      </c>
      <c r="G428" s="6" t="s">
        <v>54</v>
      </c>
      <c r="H428" s="251">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2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25">
      <c r="C430" s="86"/>
      <c r="E430" t="s">
        <v>230</v>
      </c>
      <c r="G430" s="6" t="s">
        <v>54</v>
      </c>
      <c r="H430" s="251">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2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25">
      <c r="C432" s="86"/>
      <c r="E432" s="94" t="s">
        <v>883</v>
      </c>
      <c r="G432" s="6" t="s">
        <v>54</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2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25">
      <c r="B434" s="85" t="s">
        <v>105</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H178 &amp; IF(H178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697</v>
      </c>
      <c r="E9"/>
    </row>
    <row r="10" spans="1:43" x14ac:dyDescent="0.25">
      <c r="C10" s="86" t="s">
        <v>698</v>
      </c>
      <c r="E10"/>
    </row>
    <row r="12" spans="1:43" x14ac:dyDescent="0.25">
      <c r="B12" s="85" t="s">
        <v>699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25">
      <c r="C14" s="86" t="s">
        <v>700</v>
      </c>
    </row>
    <row r="16" spans="1:43" x14ac:dyDescent="0.2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25">
      <c r="E18" s="75" t="s">
        <v>701</v>
      </c>
      <c r="F18" s="75"/>
    </row>
    <row r="19" spans="3:43" x14ac:dyDescent="0.25">
      <c r="E19" s="86" t="s">
        <v>702</v>
      </c>
      <c r="F19" s="2"/>
    </row>
    <row r="20" spans="3:43" x14ac:dyDescent="0.25">
      <c r="C20" s="105"/>
      <c r="F20" s="95" t="s">
        <v>154</v>
      </c>
      <c r="G20" s="95" t="s">
        <v>267</v>
      </c>
      <c r="H20" s="277"/>
      <c r="I20" s="265"/>
      <c r="J20" s="277">
        <f>'Revenue matching'!J40</f>
        <v>11.239126343152897</v>
      </c>
      <c r="K20" s="277">
        <f>'Revenue matching'!K40</f>
        <v>11.239126343152897</v>
      </c>
      <c r="L20" s="277">
        <f>'Revenue matching'!L40</f>
        <v>12.822603869331022</v>
      </c>
      <c r="M20" s="277">
        <f>'Revenue matching'!M40</f>
        <v>12.822603869331022</v>
      </c>
      <c r="N20" s="277">
        <f>'Revenue matching'!N40</f>
        <v>12.822603869331022</v>
      </c>
      <c r="O20" s="277">
        <f>'Revenue matching'!O40</f>
        <v>12.822603869331022</v>
      </c>
      <c r="P20" s="277">
        <f>'Revenue matching'!P40</f>
        <v>12.822603869331022</v>
      </c>
      <c r="Q20" s="277">
        <f>'Revenue matching'!Q40</f>
        <v>12.822603869331022</v>
      </c>
      <c r="R20" s="277">
        <f>'Revenue matching'!R40</f>
        <v>8.5220918944034256</v>
      </c>
      <c r="S20" s="277">
        <f>'Revenue matching'!S40</f>
        <v>8.5220918944034256</v>
      </c>
      <c r="T20" s="277">
        <f>'Revenue matching'!T40</f>
        <v>8.5220918944034256</v>
      </c>
      <c r="U20" s="277">
        <f>'Revenue matching'!U40</f>
        <v>8.5220918944034256</v>
      </c>
      <c r="V20" s="277">
        <f>'Revenue matching'!V40</f>
        <v>8.5220918944034256</v>
      </c>
      <c r="W20" s="277">
        <f>'Revenue matching'!W40</f>
        <v>4.63380659366329</v>
      </c>
      <c r="X20" s="277">
        <f>'Revenue matching'!X40</f>
        <v>4.63380659366329</v>
      </c>
      <c r="Y20" s="277">
        <f>'Revenue matching'!Y40</f>
        <v>4.63380659366329</v>
      </c>
      <c r="Z20" s="277">
        <f>'Revenue matching'!Z40</f>
        <v>4.63380659366329</v>
      </c>
      <c r="AA20" s="277">
        <f>'Revenue matching'!AA40</f>
        <v>4.63380659366329</v>
      </c>
      <c r="AB20" s="277">
        <f>'Revenue matching'!AB40</f>
        <v>3.403264536607697</v>
      </c>
      <c r="AC20" s="277">
        <f>'Revenue matching'!AC40</f>
        <v>3.403264536607697</v>
      </c>
      <c r="AD20" s="277">
        <f>'Revenue matching'!AD40</f>
        <v>3.403264536607697</v>
      </c>
      <c r="AE20" s="277">
        <f>'Revenue matching'!AE40</f>
        <v>3.403264536607697</v>
      </c>
      <c r="AF20" s="277">
        <f>'Revenue matching'!AF40</f>
        <v>3.403264536607697</v>
      </c>
      <c r="AG20" s="277">
        <f>'Revenue matching'!AG40</f>
        <v>33.229532805108299</v>
      </c>
      <c r="AH20" s="277">
        <f>'Revenue matching'!AH40</f>
        <v>-7.7355062211753616</v>
      </c>
      <c r="AI20" s="277">
        <f>'Revenue matching'!AI40</f>
        <v>-6.5177917537082717</v>
      </c>
      <c r="AJ20" s="277">
        <f>'Revenue matching'!AJ40</f>
        <v>-7.7355062211753616</v>
      </c>
      <c r="AK20" s="277">
        <f>'Revenue matching'!AK40</f>
        <v>-7.7355062211753616</v>
      </c>
      <c r="AL20" s="277">
        <f>'Revenue matching'!AL40</f>
        <v>-6.5177917537082717</v>
      </c>
      <c r="AM20" s="277">
        <f>'Revenue matching'!AM40</f>
        <v>-6.5177917537082717</v>
      </c>
      <c r="AN20" s="277">
        <f>'Revenue matching'!AN40</f>
        <v>-3.8842640314732568</v>
      </c>
      <c r="AO20" s="277">
        <f>'Revenue matching'!AO40</f>
        <v>-3.8842640314732568</v>
      </c>
      <c r="AP20" s="267"/>
      <c r="AQ20" s="267"/>
    </row>
    <row r="21" spans="3:43" x14ac:dyDescent="0.25">
      <c r="C21" s="105"/>
      <c r="F21" t="s">
        <v>155</v>
      </c>
      <c r="G21" t="s">
        <v>267</v>
      </c>
      <c r="H21" s="278"/>
      <c r="I21" s="267"/>
      <c r="J21" s="278">
        <f>'Revenue matching'!J41</f>
        <v>1.7019365165233478</v>
      </c>
      <c r="K21" s="278">
        <f>'Revenue matching'!K41</f>
        <v>1.7019365165233478</v>
      </c>
      <c r="L21" s="278">
        <f>'Revenue matching'!L41</f>
        <v>1.9417219004236221</v>
      </c>
      <c r="M21" s="278">
        <f>'Revenue matching'!M41</f>
        <v>1.9417219004236221</v>
      </c>
      <c r="N21" s="278">
        <f>'Revenue matching'!N41</f>
        <v>1.9417219004236221</v>
      </c>
      <c r="O21" s="278">
        <f>'Revenue matching'!O41</f>
        <v>1.9417219004236221</v>
      </c>
      <c r="P21" s="278">
        <f>'Revenue matching'!P41</f>
        <v>1.9417219004236221</v>
      </c>
      <c r="Q21" s="278">
        <f>'Revenue matching'!Q41</f>
        <v>1.9417219004236221</v>
      </c>
      <c r="R21" s="278">
        <f>'Revenue matching'!R41</f>
        <v>1.2552732468687873</v>
      </c>
      <c r="S21" s="278">
        <f>'Revenue matching'!S41</f>
        <v>1.2552732468687873</v>
      </c>
      <c r="T21" s="278">
        <f>'Revenue matching'!T41</f>
        <v>1.2552732468687873</v>
      </c>
      <c r="U21" s="278">
        <f>'Revenue matching'!U41</f>
        <v>1.2552732468687873</v>
      </c>
      <c r="V21" s="278">
        <f>'Revenue matching'!V41</f>
        <v>1.2552732468687873</v>
      </c>
      <c r="W21" s="278">
        <f>'Revenue matching'!W41</f>
        <v>0.62630044190997236</v>
      </c>
      <c r="X21" s="278">
        <f>'Revenue matching'!X41</f>
        <v>0.62630044190997236</v>
      </c>
      <c r="Y21" s="278">
        <f>'Revenue matching'!Y41</f>
        <v>0.62630044190997236</v>
      </c>
      <c r="Z21" s="278">
        <f>'Revenue matching'!Z41</f>
        <v>0.62630044190997236</v>
      </c>
      <c r="AA21" s="278">
        <f>'Revenue matching'!AA41</f>
        <v>0.62630044190997236</v>
      </c>
      <c r="AB21" s="278">
        <f>'Revenue matching'!AB41</f>
        <v>0.426988795557245</v>
      </c>
      <c r="AC21" s="278">
        <f>'Revenue matching'!AC41</f>
        <v>0.426988795557245</v>
      </c>
      <c r="AD21" s="278">
        <f>'Revenue matching'!AD41</f>
        <v>0.426988795557245</v>
      </c>
      <c r="AE21" s="278">
        <f>'Revenue matching'!AE41</f>
        <v>0.426988795557245</v>
      </c>
      <c r="AF21" s="278">
        <f>'Revenue matching'!AF41</f>
        <v>0.426988795557245</v>
      </c>
      <c r="AG21" s="278">
        <f>'Revenue matching'!AG41</f>
        <v>1.5590045687056049</v>
      </c>
      <c r="AH21" s="278">
        <f>'Revenue matching'!AH41</f>
        <v>-1.1713846886001484</v>
      </c>
      <c r="AI21" s="278">
        <f>'Revenue matching'!AI41</f>
        <v>-0.97201750043234769</v>
      </c>
      <c r="AJ21" s="278">
        <f>'Revenue matching'!AJ41</f>
        <v>-1.1713846886001484</v>
      </c>
      <c r="AK21" s="278">
        <f>'Revenue matching'!AK41</f>
        <v>-1.1713846886001484</v>
      </c>
      <c r="AL21" s="278">
        <f>'Revenue matching'!AL41</f>
        <v>-0.97201750043234769</v>
      </c>
      <c r="AM21" s="278">
        <f>'Revenue matching'!AM41</f>
        <v>-0.97201750043234769</v>
      </c>
      <c r="AN21" s="278">
        <f>'Revenue matching'!AN41</f>
        <v>-0.5249930548964733</v>
      </c>
      <c r="AO21" s="278">
        <f>'Revenue matching'!AO41</f>
        <v>-0.5249930548964733</v>
      </c>
      <c r="AP21" s="267"/>
      <c r="AQ21" s="267"/>
    </row>
    <row r="22" spans="3:43" x14ac:dyDescent="0.25">
      <c r="C22" s="105"/>
      <c r="F22" t="s">
        <v>156</v>
      </c>
      <c r="G22" t="s">
        <v>267</v>
      </c>
      <c r="H22" s="278"/>
      <c r="I22" s="267"/>
      <c r="J22" s="278">
        <f>'Revenue matching'!J42</f>
        <v>0.23964140375829796</v>
      </c>
      <c r="K22" s="278">
        <f>'Revenue matching'!K42</f>
        <v>0.23964140375829796</v>
      </c>
      <c r="L22" s="278">
        <f>'Revenue matching'!L42</f>
        <v>0.27340441750217515</v>
      </c>
      <c r="M22" s="278">
        <f>'Revenue matching'!M42</f>
        <v>0.27340441750217515</v>
      </c>
      <c r="N22" s="278">
        <f>'Revenue matching'!N42</f>
        <v>0.27340441750217515</v>
      </c>
      <c r="O22" s="278">
        <f>'Revenue matching'!O42</f>
        <v>0.27340441750217515</v>
      </c>
      <c r="P22" s="278">
        <f>'Revenue matching'!P42</f>
        <v>0.27340441750217515</v>
      </c>
      <c r="Q22" s="278">
        <f>'Revenue matching'!Q42</f>
        <v>0.27340441750217515</v>
      </c>
      <c r="R22" s="278">
        <f>'Revenue matching'!R42</f>
        <v>0.17893320502249527</v>
      </c>
      <c r="S22" s="278">
        <f>'Revenue matching'!S42</f>
        <v>0.17893320502249527</v>
      </c>
      <c r="T22" s="278">
        <f>'Revenue matching'!T42</f>
        <v>0.17893320502249527</v>
      </c>
      <c r="U22" s="278">
        <f>'Revenue matching'!U42</f>
        <v>0.17893320502249527</v>
      </c>
      <c r="V22" s="278">
        <f>'Revenue matching'!V42</f>
        <v>0.17893320502249527</v>
      </c>
      <c r="W22" s="278">
        <f>'Revenue matching'!W42</f>
        <v>9.2861688090222647E-2</v>
      </c>
      <c r="X22" s="278">
        <f>'Revenue matching'!X42</f>
        <v>9.2861688090222647E-2</v>
      </c>
      <c r="Y22" s="278">
        <f>'Revenue matching'!Y42</f>
        <v>9.2861688090222647E-2</v>
      </c>
      <c r="Z22" s="278">
        <f>'Revenue matching'!Z42</f>
        <v>9.2861688090222647E-2</v>
      </c>
      <c r="AA22" s="278">
        <f>'Revenue matching'!AA42</f>
        <v>9.2861688090222647E-2</v>
      </c>
      <c r="AB22" s="278">
        <f>'Revenue matching'!AB42</f>
        <v>6.5601945657101715E-2</v>
      </c>
      <c r="AC22" s="278">
        <f>'Revenue matching'!AC42</f>
        <v>6.5601945657101715E-2</v>
      </c>
      <c r="AD22" s="278">
        <f>'Revenue matching'!AD42</f>
        <v>6.5601945657101715E-2</v>
      </c>
      <c r="AE22" s="278">
        <f>'Revenue matching'!AE42</f>
        <v>6.5601945657101715E-2</v>
      </c>
      <c r="AF22" s="278">
        <f>'Revenue matching'!AF42</f>
        <v>6.5601945657101715E-2</v>
      </c>
      <c r="AG22" s="278">
        <f>'Revenue matching'!AG42</f>
        <v>0.24390708535521802</v>
      </c>
      <c r="AH22" s="278">
        <f>'Revenue matching'!AH42</f>
        <v>-0.16493698113402308</v>
      </c>
      <c r="AI22" s="278">
        <f>'Revenue matching'!AI42</f>
        <v>-0.13779331844062356</v>
      </c>
      <c r="AJ22" s="278">
        <f>'Revenue matching'!AJ42</f>
        <v>-0.16493698113402308</v>
      </c>
      <c r="AK22" s="278">
        <f>'Revenue matching'!AK42</f>
        <v>-0.16493698113402308</v>
      </c>
      <c r="AL22" s="278">
        <f>'Revenue matching'!AL42</f>
        <v>-0.13779331844062356</v>
      </c>
      <c r="AM22" s="278">
        <f>'Revenue matching'!AM42</f>
        <v>-0.13779331844062356</v>
      </c>
      <c r="AN22" s="278">
        <f>'Revenue matching'!AN42</f>
        <v>-7.784082215343105E-2</v>
      </c>
      <c r="AO22" s="278">
        <f>'Revenue matching'!AO42</f>
        <v>-7.784082215343105E-2</v>
      </c>
      <c r="AP22" s="267"/>
      <c r="AQ22" s="267"/>
    </row>
    <row r="23" spans="3:43" x14ac:dyDescent="0.25">
      <c r="C23" s="105"/>
      <c r="F23" t="s">
        <v>157</v>
      </c>
      <c r="G23" t="s">
        <v>268</v>
      </c>
      <c r="H23" s="78"/>
      <c r="J23" s="167">
        <f>'Revenue matching'!J43</f>
        <v>16.017618925955261</v>
      </c>
      <c r="K23" s="167">
        <f>'Revenue matching'!K43</f>
        <v>0</v>
      </c>
      <c r="L23" s="167">
        <f>'Revenue matching'!L43</f>
        <v>14.711610424126482</v>
      </c>
      <c r="M23" s="167">
        <f>'Revenue matching'!M43</f>
        <v>14.711610424126482</v>
      </c>
      <c r="N23" s="167">
        <f>'Revenue matching'!N43</f>
        <v>14.711610424126482</v>
      </c>
      <c r="O23" s="167">
        <f>'Revenue matching'!O43</f>
        <v>14.711610424126482</v>
      </c>
      <c r="P23" s="167">
        <f>'Revenue matching'!P43</f>
        <v>14.711610424126482</v>
      </c>
      <c r="Q23" s="167">
        <f>'Revenue matching'!Q43</f>
        <v>0</v>
      </c>
      <c r="R23" s="167">
        <f>'Revenue matching'!R43</f>
        <v>15.245335464261153</v>
      </c>
      <c r="S23" s="167">
        <f>'Revenue matching'!S43</f>
        <v>15.245335464261153</v>
      </c>
      <c r="T23" s="167">
        <f>'Revenue matching'!T43</f>
        <v>15.245335464261153</v>
      </c>
      <c r="U23" s="167">
        <f>'Revenue matching'!U43</f>
        <v>15.245335464261153</v>
      </c>
      <c r="V23" s="167">
        <f>'Revenue matching'!V43</f>
        <v>15.245335464261153</v>
      </c>
      <c r="W23" s="167">
        <f>'Revenue matching'!W43</f>
        <v>15.245335464261153</v>
      </c>
      <c r="X23" s="167">
        <f>'Revenue matching'!X43</f>
        <v>15.245335464261153</v>
      </c>
      <c r="Y23" s="167">
        <f>'Revenue matching'!Y43</f>
        <v>15.245335464261153</v>
      </c>
      <c r="Z23" s="167">
        <f>'Revenue matching'!Z43</f>
        <v>15.245335464261153</v>
      </c>
      <c r="AA23" s="167">
        <f>'Revenue matching'!AA43</f>
        <v>15.245335464261153</v>
      </c>
      <c r="AB23" s="167">
        <f>'Revenue matching'!AB43</f>
        <v>316.6556440359268</v>
      </c>
      <c r="AC23" s="167">
        <f>'Revenue matching'!AC43</f>
        <v>316.6556440359268</v>
      </c>
      <c r="AD23" s="167">
        <f>'Revenue matching'!AD43</f>
        <v>316.6556440359268</v>
      </c>
      <c r="AE23" s="167">
        <f>'Revenue matching'!AE43</f>
        <v>316.6556440359268</v>
      </c>
      <c r="AF23" s="167">
        <f>'Revenue matching'!AF43</f>
        <v>316.6556440359268</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70.642345390577461</v>
      </c>
      <c r="AO23" s="167">
        <f>'Revenue matching'!AO43</f>
        <v>70.642345390577461</v>
      </c>
    </row>
    <row r="24" spans="3:43" x14ac:dyDescent="0.25">
      <c r="C24" s="105"/>
      <c r="F24" t="s">
        <v>158</v>
      </c>
      <c r="G24" t="s">
        <v>269</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5.4829568334079246</v>
      </c>
      <c r="S24" s="167">
        <f>'Revenue matching'!S44</f>
        <v>5.4829568334079246</v>
      </c>
      <c r="T24" s="167">
        <f>'Revenue matching'!T44</f>
        <v>5.4829568334079246</v>
      </c>
      <c r="U24" s="167">
        <f>'Revenue matching'!U44</f>
        <v>5.4829568334079246</v>
      </c>
      <c r="V24" s="167">
        <f>'Revenue matching'!V44</f>
        <v>5.4829568334079246</v>
      </c>
      <c r="W24" s="167">
        <f>'Revenue matching'!W44</f>
        <v>5.1462397254002887</v>
      </c>
      <c r="X24" s="167">
        <f>'Revenue matching'!X44</f>
        <v>5.1462397254002887</v>
      </c>
      <c r="Y24" s="167">
        <f>'Revenue matching'!Y44</f>
        <v>5.1462397254002887</v>
      </c>
      <c r="Z24" s="167">
        <f>'Revenue matching'!Z44</f>
        <v>5.1462397254002887</v>
      </c>
      <c r="AA24" s="167">
        <f>'Revenue matching'!AA44</f>
        <v>5.1462397254002887</v>
      </c>
      <c r="AB24" s="167">
        <f>'Revenue matching'!AB44</f>
        <v>5.6015504360226798</v>
      </c>
      <c r="AC24" s="167">
        <f>'Revenue matching'!AC44</f>
        <v>5.6015504360226798</v>
      </c>
      <c r="AD24" s="167">
        <f>'Revenue matching'!AD44</f>
        <v>5.6015504360226798</v>
      </c>
      <c r="AE24" s="167">
        <f>'Revenue matching'!AE44</f>
        <v>5.6015504360226798</v>
      </c>
      <c r="AF24" s="167">
        <f>'Revenue matching'!AF44</f>
        <v>5.6015504360226798</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25">
      <c r="C25" s="105"/>
      <c r="F25" t="s">
        <v>159</v>
      </c>
      <c r="G25" t="s">
        <v>269</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5.4829568334079246</v>
      </c>
      <c r="S25" s="167">
        <f>'Revenue matching'!S45</f>
        <v>5.4829568334079246</v>
      </c>
      <c r="T25" s="167">
        <f>'Revenue matching'!T45</f>
        <v>5.4829568334079246</v>
      </c>
      <c r="U25" s="167">
        <f>'Revenue matching'!U45</f>
        <v>5.4829568334079246</v>
      </c>
      <c r="V25" s="167">
        <f>'Revenue matching'!V45</f>
        <v>5.4829568334079246</v>
      </c>
      <c r="W25" s="167">
        <f>'Revenue matching'!W45</f>
        <v>5.1462397254002887</v>
      </c>
      <c r="X25" s="167">
        <f>'Revenue matching'!X45</f>
        <v>5.1462397254002887</v>
      </c>
      <c r="Y25" s="167">
        <f>'Revenue matching'!Y45</f>
        <v>5.1462397254002887</v>
      </c>
      <c r="Z25" s="167">
        <f>'Revenue matching'!Z45</f>
        <v>5.1462397254002887</v>
      </c>
      <c r="AA25" s="167">
        <f>'Revenue matching'!AA45</f>
        <v>5.1462397254002887</v>
      </c>
      <c r="AB25" s="167">
        <f>'Revenue matching'!AB45</f>
        <v>5.6015504360226798</v>
      </c>
      <c r="AC25" s="167">
        <f>'Revenue matching'!AC45</f>
        <v>5.6015504360226798</v>
      </c>
      <c r="AD25" s="167">
        <f>'Revenue matching'!AD45</f>
        <v>5.6015504360226798</v>
      </c>
      <c r="AE25" s="167">
        <f>'Revenue matching'!AE45</f>
        <v>5.6015504360226798</v>
      </c>
      <c r="AF25" s="167">
        <f>'Revenue matching'!AF45</f>
        <v>5.6015504360226798</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25">
      <c r="C26" s="105"/>
      <c r="F26" s="96" t="s">
        <v>160</v>
      </c>
      <c r="G26" s="96" t="s">
        <v>270</v>
      </c>
      <c r="H26" s="310"/>
      <c r="I26" s="269"/>
      <c r="J26" s="310">
        <f>'Revenue matching'!J46</f>
        <v>0</v>
      </c>
      <c r="K26" s="310">
        <f>'Revenue matching'!K46</f>
        <v>0</v>
      </c>
      <c r="L26" s="310">
        <f>'Revenue matching'!L46</f>
        <v>0</v>
      </c>
      <c r="M26" s="310">
        <f>'Revenue matching'!M46</f>
        <v>0</v>
      </c>
      <c r="N26" s="310">
        <f>'Revenue matching'!N46</f>
        <v>0</v>
      </c>
      <c r="O26" s="310">
        <f>'Revenue matching'!O46</f>
        <v>0</v>
      </c>
      <c r="P26" s="310">
        <f>'Revenue matching'!P46</f>
        <v>0</v>
      </c>
      <c r="Q26" s="310">
        <f>'Revenue matching'!Q46</f>
        <v>0</v>
      </c>
      <c r="R26" s="310">
        <f>'Revenue matching'!R46</f>
        <v>0.16262775407449134</v>
      </c>
      <c r="S26" s="310">
        <f>'Revenue matching'!S46</f>
        <v>0.16262775407449134</v>
      </c>
      <c r="T26" s="310">
        <f>'Revenue matching'!T46</f>
        <v>0.16262775407449134</v>
      </c>
      <c r="U26" s="310">
        <f>'Revenue matching'!U46</f>
        <v>0.16262775407449134</v>
      </c>
      <c r="V26" s="310">
        <f>'Revenue matching'!V46</f>
        <v>0.16262775407449134</v>
      </c>
      <c r="W26" s="310">
        <f>'Revenue matching'!W46</f>
        <v>8.7332745999980935E-2</v>
      </c>
      <c r="X26" s="310">
        <f>'Revenue matching'!X46</f>
        <v>8.7332745999980935E-2</v>
      </c>
      <c r="Y26" s="310">
        <f>'Revenue matching'!Y46</f>
        <v>8.7332745999980935E-2</v>
      </c>
      <c r="Z26" s="310">
        <f>'Revenue matching'!Z46</f>
        <v>8.7332745999980935E-2</v>
      </c>
      <c r="AA26" s="310">
        <f>'Revenue matching'!AA46</f>
        <v>8.7332745999980935E-2</v>
      </c>
      <c r="AB26" s="310">
        <f>'Revenue matching'!AB46</f>
        <v>6.3104669794093876E-2</v>
      </c>
      <c r="AC26" s="310">
        <f>'Revenue matching'!AC46</f>
        <v>6.3104669794093876E-2</v>
      </c>
      <c r="AD26" s="310">
        <f>'Revenue matching'!AD46</f>
        <v>6.3104669794093876E-2</v>
      </c>
      <c r="AE26" s="310">
        <f>'Revenue matching'!AE46</f>
        <v>6.3104669794093876E-2</v>
      </c>
      <c r="AF26" s="310">
        <f>'Revenue matching'!AF46</f>
        <v>6.3104669794093876E-2</v>
      </c>
      <c r="AG26" s="310">
        <f>'Revenue matching'!AG46</f>
        <v>0</v>
      </c>
      <c r="AH26" s="310">
        <f>'Revenue matching'!AH46</f>
        <v>0</v>
      </c>
      <c r="AI26" s="310">
        <f>'Revenue matching'!AI46</f>
        <v>0</v>
      </c>
      <c r="AJ26" s="310">
        <f>'Revenue matching'!AJ46</f>
        <v>0.1295170343436588</v>
      </c>
      <c r="AK26" s="310">
        <f>'Revenue matching'!AK46</f>
        <v>0</v>
      </c>
      <c r="AL26" s="310">
        <f>'Revenue matching'!AL46</f>
        <v>0.12223023204846202</v>
      </c>
      <c r="AM26" s="310">
        <f>'Revenue matching'!AM46</f>
        <v>0</v>
      </c>
      <c r="AN26" s="310">
        <f>'Revenue matching'!AN46</f>
        <v>0.10789719559042603</v>
      </c>
      <c r="AO26" s="310">
        <f>'Revenue matching'!AO46</f>
        <v>0</v>
      </c>
      <c r="AP26" s="267"/>
      <c r="AQ26" s="267"/>
    </row>
    <row r="27" spans="3:43" x14ac:dyDescent="0.2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2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2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25">
      <c r="E30" s="105" t="s">
        <v>1074</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25">
      <c r="E31" s="86" t="s">
        <v>1075</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25">
      <c r="E32" s="105"/>
      <c r="F32" s="95" t="s">
        <v>154</v>
      </c>
      <c r="G32" s="95" t="s">
        <v>267</v>
      </c>
      <c r="H32" s="277"/>
      <c r="I32" s="265"/>
      <c r="J32" s="345">
        <f>'Revenue matching'!J412</f>
        <v>0</v>
      </c>
      <c r="K32" s="345">
        <f>'Revenue matching'!K412</f>
        <v>0</v>
      </c>
      <c r="L32" s="345">
        <f>'Revenue matching'!L412</f>
        <v>0</v>
      </c>
      <c r="M32" s="345">
        <f>'Revenue matching'!M412</f>
        <v>0</v>
      </c>
      <c r="N32" s="345">
        <f>'Revenue matching'!N412</f>
        <v>0</v>
      </c>
      <c r="O32" s="345">
        <f>'Revenue matching'!O412</f>
        <v>0</v>
      </c>
      <c r="P32" s="345">
        <f>'Revenue matching'!P412</f>
        <v>0</v>
      </c>
      <c r="Q32" s="345">
        <f>'Revenue matching'!Q412</f>
        <v>0</v>
      </c>
      <c r="R32" s="345">
        <f>'Revenue matching'!R412</f>
        <v>0</v>
      </c>
      <c r="S32" s="345">
        <f>'Revenue matching'!S412</f>
        <v>0</v>
      </c>
      <c r="T32" s="345">
        <f>'Revenue matching'!T412</f>
        <v>0</v>
      </c>
      <c r="U32" s="345">
        <f>'Revenue matching'!U412</f>
        <v>0</v>
      </c>
      <c r="V32" s="345">
        <f>'Revenue matching'!V412</f>
        <v>0</v>
      </c>
      <c r="W32" s="345">
        <f>'Revenue matching'!W412</f>
        <v>0</v>
      </c>
      <c r="X32" s="345">
        <f>'Revenue matching'!X412</f>
        <v>0</v>
      </c>
      <c r="Y32" s="345">
        <f>'Revenue matching'!Y412</f>
        <v>0</v>
      </c>
      <c r="Z32" s="345">
        <f>'Revenue matching'!Z412</f>
        <v>0</v>
      </c>
      <c r="AA32" s="345">
        <f>'Revenue matching'!AA412</f>
        <v>0</v>
      </c>
      <c r="AB32" s="345">
        <f>'Revenue matching'!AB412</f>
        <v>0</v>
      </c>
      <c r="AC32" s="345">
        <f>'Revenue matching'!AC412</f>
        <v>0</v>
      </c>
      <c r="AD32" s="345">
        <f>'Revenue matching'!AD412</f>
        <v>0</v>
      </c>
      <c r="AE32" s="345">
        <f>'Revenue matching'!AE412</f>
        <v>0</v>
      </c>
      <c r="AF32" s="345">
        <f>'Revenue matching'!AF412</f>
        <v>0</v>
      </c>
      <c r="AG32" s="345">
        <f>'Revenue matching'!AG412</f>
        <v>0.25400044160004515</v>
      </c>
      <c r="AH32" s="345">
        <f>'Revenue matching'!AH412</f>
        <v>0</v>
      </c>
      <c r="AI32" s="345">
        <f>'Revenue matching'!AI412</f>
        <v>0</v>
      </c>
      <c r="AJ32" s="345">
        <f>'Revenue matching'!AJ412</f>
        <v>0</v>
      </c>
      <c r="AK32" s="345">
        <f>'Revenue matching'!AK412</f>
        <v>0</v>
      </c>
      <c r="AL32" s="345">
        <f>'Revenue matching'!AL412</f>
        <v>0</v>
      </c>
      <c r="AM32" s="345">
        <f>'Revenue matching'!AM412</f>
        <v>0</v>
      </c>
      <c r="AN32" s="345">
        <f>'Revenue matching'!AN412</f>
        <v>0</v>
      </c>
      <c r="AO32" s="345">
        <f>'Revenue matching'!AO412</f>
        <v>0</v>
      </c>
      <c r="AP32" s="267"/>
      <c r="AQ32" s="267"/>
    </row>
    <row r="33" spans="3:43" x14ac:dyDescent="0.25">
      <c r="E33" s="105"/>
      <c r="F33" t="s">
        <v>155</v>
      </c>
      <c r="G33" t="s">
        <v>267</v>
      </c>
      <c r="H33" s="278"/>
      <c r="I33" s="267"/>
      <c r="J33" s="296">
        <f>'Revenue matching'!J413</f>
        <v>0</v>
      </c>
      <c r="K33" s="296">
        <f>'Revenue matching'!K413</f>
        <v>0</v>
      </c>
      <c r="L33" s="296">
        <f>'Revenue matching'!L413</f>
        <v>0</v>
      </c>
      <c r="M33" s="296">
        <f>'Revenue matching'!M413</f>
        <v>0</v>
      </c>
      <c r="N33" s="296">
        <f>'Revenue matching'!N413</f>
        <v>0</v>
      </c>
      <c r="O33" s="296">
        <f>'Revenue matching'!O413</f>
        <v>0</v>
      </c>
      <c r="P33" s="296">
        <f>'Revenue matching'!P413</f>
        <v>0</v>
      </c>
      <c r="Q33" s="296">
        <f>'Revenue matching'!Q413</f>
        <v>0</v>
      </c>
      <c r="R33" s="296">
        <f>'Revenue matching'!R413</f>
        <v>0</v>
      </c>
      <c r="S33" s="296">
        <f>'Revenue matching'!S413</f>
        <v>0</v>
      </c>
      <c r="T33" s="296">
        <f>'Revenue matching'!T413</f>
        <v>0</v>
      </c>
      <c r="U33" s="296">
        <f>'Revenue matching'!U413</f>
        <v>0</v>
      </c>
      <c r="V33" s="296">
        <f>'Revenue matching'!V413</f>
        <v>0</v>
      </c>
      <c r="W33" s="296">
        <f>'Revenue matching'!W413</f>
        <v>0</v>
      </c>
      <c r="X33" s="296">
        <f>'Revenue matching'!X413</f>
        <v>0</v>
      </c>
      <c r="Y33" s="296">
        <f>'Revenue matching'!Y413</f>
        <v>0</v>
      </c>
      <c r="Z33" s="296">
        <f>'Revenue matching'!Z413</f>
        <v>0</v>
      </c>
      <c r="AA33" s="296">
        <f>'Revenue matching'!AA413</f>
        <v>0</v>
      </c>
      <c r="AB33" s="296">
        <f>'Revenue matching'!AB413</f>
        <v>0</v>
      </c>
      <c r="AC33" s="296">
        <f>'Revenue matching'!AC413</f>
        <v>0</v>
      </c>
      <c r="AD33" s="296">
        <f>'Revenue matching'!AD413</f>
        <v>0</v>
      </c>
      <c r="AE33" s="296">
        <f>'Revenue matching'!AE413</f>
        <v>0</v>
      </c>
      <c r="AF33" s="296">
        <f>'Revenue matching'!AF413</f>
        <v>0</v>
      </c>
      <c r="AG33" s="296">
        <f>'Revenue matching'!AG413</f>
        <v>0.25400044160004515</v>
      </c>
      <c r="AH33" s="296">
        <f>'Revenue matching'!AH413</f>
        <v>0</v>
      </c>
      <c r="AI33" s="296">
        <f>'Revenue matching'!AI413</f>
        <v>0</v>
      </c>
      <c r="AJ33" s="296">
        <f>'Revenue matching'!AJ413</f>
        <v>0</v>
      </c>
      <c r="AK33" s="296">
        <f>'Revenue matching'!AK413</f>
        <v>0</v>
      </c>
      <c r="AL33" s="296">
        <f>'Revenue matching'!AL413</f>
        <v>0</v>
      </c>
      <c r="AM33" s="296">
        <f>'Revenue matching'!AM413</f>
        <v>0</v>
      </c>
      <c r="AN33" s="296">
        <f>'Revenue matching'!AN413</f>
        <v>0</v>
      </c>
      <c r="AO33" s="296">
        <f>'Revenue matching'!AO413</f>
        <v>0</v>
      </c>
      <c r="AP33" s="267"/>
      <c r="AQ33" s="267"/>
    </row>
    <row r="34" spans="3:43" x14ac:dyDescent="0.25">
      <c r="E34" s="105"/>
      <c r="F34" t="s">
        <v>156</v>
      </c>
      <c r="G34" t="s">
        <v>267</v>
      </c>
      <c r="H34" s="278"/>
      <c r="I34" s="267"/>
      <c r="J34" s="296">
        <f>'Revenue matching'!J414</f>
        <v>0</v>
      </c>
      <c r="K34" s="296">
        <f>'Revenue matching'!K414</f>
        <v>0</v>
      </c>
      <c r="L34" s="296">
        <f>'Revenue matching'!L414</f>
        <v>0</v>
      </c>
      <c r="M34" s="296">
        <f>'Revenue matching'!M414</f>
        <v>0</v>
      </c>
      <c r="N34" s="296">
        <f>'Revenue matching'!N414</f>
        <v>0</v>
      </c>
      <c r="O34" s="296">
        <f>'Revenue matching'!O414</f>
        <v>0</v>
      </c>
      <c r="P34" s="296">
        <f>'Revenue matching'!P414</f>
        <v>0</v>
      </c>
      <c r="Q34" s="296">
        <f>'Revenue matching'!Q414</f>
        <v>0</v>
      </c>
      <c r="R34" s="296">
        <f>'Revenue matching'!R414</f>
        <v>0</v>
      </c>
      <c r="S34" s="296">
        <f>'Revenue matching'!S414</f>
        <v>0</v>
      </c>
      <c r="T34" s="296">
        <f>'Revenue matching'!T414</f>
        <v>0</v>
      </c>
      <c r="U34" s="296">
        <f>'Revenue matching'!U414</f>
        <v>0</v>
      </c>
      <c r="V34" s="296">
        <f>'Revenue matching'!V414</f>
        <v>0</v>
      </c>
      <c r="W34" s="296">
        <f>'Revenue matching'!W414</f>
        <v>0</v>
      </c>
      <c r="X34" s="296">
        <f>'Revenue matching'!X414</f>
        <v>0</v>
      </c>
      <c r="Y34" s="296">
        <f>'Revenue matching'!Y414</f>
        <v>0</v>
      </c>
      <c r="Z34" s="296">
        <f>'Revenue matching'!Z414</f>
        <v>0</v>
      </c>
      <c r="AA34" s="296">
        <f>'Revenue matching'!AA414</f>
        <v>0</v>
      </c>
      <c r="AB34" s="296">
        <f>'Revenue matching'!AB414</f>
        <v>0</v>
      </c>
      <c r="AC34" s="296">
        <f>'Revenue matching'!AC414</f>
        <v>0</v>
      </c>
      <c r="AD34" s="296">
        <f>'Revenue matching'!AD414</f>
        <v>0</v>
      </c>
      <c r="AE34" s="296">
        <f>'Revenue matching'!AE414</f>
        <v>0</v>
      </c>
      <c r="AF34" s="296">
        <f>'Revenue matching'!AF414</f>
        <v>0</v>
      </c>
      <c r="AG34" s="296">
        <f>'Revenue matching'!AG414</f>
        <v>0.25400044160004515</v>
      </c>
      <c r="AH34" s="296">
        <f>'Revenue matching'!AH414</f>
        <v>0</v>
      </c>
      <c r="AI34" s="296">
        <f>'Revenue matching'!AI414</f>
        <v>0</v>
      </c>
      <c r="AJ34" s="296">
        <f>'Revenue matching'!AJ414</f>
        <v>0</v>
      </c>
      <c r="AK34" s="296">
        <f>'Revenue matching'!AK414</f>
        <v>0</v>
      </c>
      <c r="AL34" s="296">
        <f>'Revenue matching'!AL414</f>
        <v>0</v>
      </c>
      <c r="AM34" s="296">
        <f>'Revenue matching'!AM414</f>
        <v>0</v>
      </c>
      <c r="AN34" s="296">
        <f>'Revenue matching'!AN414</f>
        <v>0</v>
      </c>
      <c r="AO34" s="296">
        <f>'Revenue matching'!AO414</f>
        <v>0</v>
      </c>
      <c r="AP34" s="267"/>
      <c r="AQ34" s="267"/>
    </row>
    <row r="35" spans="3:43" x14ac:dyDescent="0.25">
      <c r="E35" s="105"/>
      <c r="F35" t="s">
        <v>157</v>
      </c>
      <c r="G35" t="s">
        <v>268</v>
      </c>
      <c r="H35" s="78"/>
      <c r="J35" s="296">
        <f>'Revenue matching'!J415</f>
        <v>1.9488595512978588</v>
      </c>
      <c r="K35" s="296">
        <f>'Revenue matching'!K415</f>
        <v>0</v>
      </c>
      <c r="L35" s="296">
        <f>'Revenue matching'!L415</f>
        <v>0</v>
      </c>
      <c r="M35" s="296">
        <f>'Revenue matching'!M415</f>
        <v>2.0225278343609547</v>
      </c>
      <c r="N35" s="296">
        <f>'Revenue matching'!N415</f>
        <v>5.4997853294918109</v>
      </c>
      <c r="O35" s="296">
        <f>'Revenue matching'!O415</f>
        <v>11.829936903803441</v>
      </c>
      <c r="P35" s="296">
        <f>'Revenue matching'!P415</f>
        <v>31.869831407835964</v>
      </c>
      <c r="Q35" s="296">
        <f>'Revenue matching'!Q415</f>
        <v>0</v>
      </c>
      <c r="R35" s="296">
        <f>'Revenue matching'!R415</f>
        <v>0</v>
      </c>
      <c r="S35" s="296">
        <f>'Revenue matching'!S415</f>
        <v>53.148412759719484</v>
      </c>
      <c r="T35" s="296">
        <f>'Revenue matching'!T415</f>
        <v>114.64748155100087</v>
      </c>
      <c r="U35" s="296">
        <f>'Revenue matching'!U415</f>
        <v>179.49133897614598</v>
      </c>
      <c r="V35" s="296">
        <f>'Revenue matching'!V415</f>
        <v>467.61310548856943</v>
      </c>
      <c r="W35" s="296">
        <f>'Revenue matching'!W415</f>
        <v>0</v>
      </c>
      <c r="X35" s="296">
        <f>'Revenue matching'!X415</f>
        <v>53.148412759719484</v>
      </c>
      <c r="Y35" s="296">
        <f>'Revenue matching'!Y415</f>
        <v>114.64748155100087</v>
      </c>
      <c r="Z35" s="296">
        <f>'Revenue matching'!Z415</f>
        <v>179.49133897614604</v>
      </c>
      <c r="AA35" s="296">
        <f>'Revenue matching'!AA415</f>
        <v>467.61310548856926</v>
      </c>
      <c r="AB35" s="296">
        <f>'Revenue matching'!AB415</f>
        <v>0</v>
      </c>
      <c r="AC35" s="296">
        <f>'Revenue matching'!AC415</f>
        <v>365.03379141446504</v>
      </c>
      <c r="AD35" s="296">
        <f>'Revenue matching'!AD415</f>
        <v>999.74347089769617</v>
      </c>
      <c r="AE35" s="296">
        <f>'Revenue matching'!AE415</f>
        <v>1786.763069061979</v>
      </c>
      <c r="AF35" s="296">
        <f>'Revenue matching'!AF415</f>
        <v>4865.5651518164468</v>
      </c>
      <c r="AG35" s="296">
        <f>'Revenue matching'!AG415</f>
        <v>0</v>
      </c>
      <c r="AH35" s="296">
        <f>'Revenue matching'!AH415</f>
        <v>0</v>
      </c>
      <c r="AI35" s="296">
        <f>'Revenue matching'!AI415</f>
        <v>0</v>
      </c>
      <c r="AJ35" s="296">
        <f>'Revenue matching'!AJ415</f>
        <v>0</v>
      </c>
      <c r="AK35" s="296">
        <f>'Revenue matching'!AK415</f>
        <v>0</v>
      </c>
      <c r="AL35" s="296">
        <f>'Revenue matching'!AL415</f>
        <v>0</v>
      </c>
      <c r="AM35" s="296">
        <f>'Revenue matching'!AM415</f>
        <v>0</v>
      </c>
      <c r="AN35" s="296">
        <f>'Revenue matching'!AN415</f>
        <v>0</v>
      </c>
      <c r="AO35" s="296">
        <f>'Revenue matching'!AO415</f>
        <v>0</v>
      </c>
    </row>
    <row r="36" spans="3:43" x14ac:dyDescent="0.25">
      <c r="E36" s="105"/>
      <c r="F36" t="s">
        <v>158</v>
      </c>
      <c r="G36" t="s">
        <v>269</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25">
      <c r="E37" s="105"/>
      <c r="F37" t="s">
        <v>159</v>
      </c>
      <c r="G37" t="s">
        <v>269</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25">
      <c r="E38" s="105"/>
      <c r="F38" s="96" t="s">
        <v>160</v>
      </c>
      <c r="G38" s="96" t="s">
        <v>270</v>
      </c>
      <c r="H38" s="310"/>
      <c r="I38" s="269"/>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67"/>
      <c r="AQ38" s="267"/>
    </row>
    <row r="39" spans="3:43" x14ac:dyDescent="0.25">
      <c r="D39" s="105"/>
      <c r="E39"/>
    </row>
    <row r="40" spans="3:43" x14ac:dyDescent="0.2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25">
      <c r="E42" s="105" t="s">
        <v>827</v>
      </c>
    </row>
    <row r="43" spans="3:43" x14ac:dyDescent="0.25">
      <c r="E43" s="86" t="s">
        <v>839</v>
      </c>
    </row>
    <row r="44" spans="3:43" x14ac:dyDescent="0.25">
      <c r="E44" s="105"/>
      <c r="F44" s="95" t="s">
        <v>154</v>
      </c>
      <c r="G44" s="95" t="s">
        <v>267</v>
      </c>
      <c r="H44" s="277"/>
      <c r="I44" s="265"/>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25">
      <c r="E45" s="105"/>
      <c r="F45" t="s">
        <v>155</v>
      </c>
      <c r="G45" t="s">
        <v>267</v>
      </c>
      <c r="H45" s="278"/>
      <c r="I45" s="267"/>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25">
      <c r="E46" s="105"/>
      <c r="F46" t="s">
        <v>156</v>
      </c>
      <c r="G46" t="s">
        <v>267</v>
      </c>
      <c r="H46" s="278"/>
      <c r="I46" s="267"/>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25">
      <c r="E47" s="105"/>
      <c r="F47" t="s">
        <v>157</v>
      </c>
      <c r="G47" t="s">
        <v>268</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25">
      <c r="E48" s="105"/>
      <c r="F48" t="s">
        <v>158</v>
      </c>
      <c r="G48" t="s">
        <v>269</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25">
      <c r="E49" s="105"/>
      <c r="F49" t="s">
        <v>159</v>
      </c>
      <c r="G49" t="s">
        <v>269</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25">
      <c r="E50" s="105"/>
      <c r="F50" s="96" t="s">
        <v>160</v>
      </c>
      <c r="G50" s="96" t="s">
        <v>270</v>
      </c>
      <c r="H50" s="310"/>
      <c r="I50" s="269"/>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row>
    <row r="51" spans="3:43" x14ac:dyDescent="0.25">
      <c r="D51" s="105"/>
      <c r="E51"/>
    </row>
    <row r="52" spans="3:43" x14ac:dyDescent="0.2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25">
      <c r="E54" s="78"/>
      <c r="F54" s="346" t="s">
        <v>951</v>
      </c>
      <c r="G54" s="346" t="s">
        <v>147</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60" x14ac:dyDescent="0.25">
      <c r="E56" s="105" t="s">
        <v>703</v>
      </c>
      <c r="I56" t="s">
        <v>152</v>
      </c>
      <c r="J56" s="308" t="s">
        <v>1112</v>
      </c>
      <c r="K56" s="308" t="s">
        <v>783</v>
      </c>
      <c r="L56" s="308" t="s">
        <v>1113</v>
      </c>
      <c r="M56" s="308" t="s">
        <v>784</v>
      </c>
      <c r="N56" s="308" t="s">
        <v>790</v>
      </c>
      <c r="O56" s="308" t="s">
        <v>791</v>
      </c>
      <c r="P56" s="308" t="s">
        <v>792</v>
      </c>
      <c r="Q56" s="308" t="s">
        <v>793</v>
      </c>
      <c r="R56" s="308" t="s">
        <v>785</v>
      </c>
      <c r="S56" s="308" t="s">
        <v>786</v>
      </c>
      <c r="T56" s="308" t="s">
        <v>787</v>
      </c>
      <c r="U56" s="308" t="s">
        <v>796</v>
      </c>
      <c r="V56" s="308" t="s">
        <v>788</v>
      </c>
      <c r="W56" s="308" t="s">
        <v>795</v>
      </c>
      <c r="X56" s="308" t="s">
        <v>789</v>
      </c>
      <c r="Y56" s="308" t="s">
        <v>794</v>
      </c>
    </row>
    <row r="57" spans="3:43" x14ac:dyDescent="0.25">
      <c r="E57" s="105"/>
      <c r="F57" s="95" t="s">
        <v>154</v>
      </c>
      <c r="G57" s="95" t="s">
        <v>165</v>
      </c>
      <c r="H57" s="236"/>
      <c r="I57" s="95"/>
      <c r="J57" s="203">
        <f>'Volume adjustments'!J315</f>
        <v>0.40999688257340583</v>
      </c>
      <c r="K57" s="203">
        <f>'Volume adjustments'!K315</f>
        <v>0.40999688257340583</v>
      </c>
      <c r="L57" s="203">
        <f>'Volume adjustments'!L315</f>
        <v>0.40999688257340583</v>
      </c>
      <c r="M57" s="203">
        <f>'Volume adjustments'!M315</f>
        <v>0.40999688257340583</v>
      </c>
      <c r="N57" s="203">
        <f>'Volume adjustments'!N315</f>
        <v>0.40999688257340583</v>
      </c>
      <c r="O57" s="203">
        <f>'Volume adjustments'!O315</f>
        <v>0</v>
      </c>
      <c r="P57" s="203">
        <f>'Volume adjustments'!P315</f>
        <v>0</v>
      </c>
      <c r="Q57" s="203">
        <f>'Volume adjustments'!Q315</f>
        <v>0.40999688257340583</v>
      </c>
      <c r="R57" s="203">
        <f>'Volume adjustments'!R315</f>
        <v>0</v>
      </c>
      <c r="S57" s="203">
        <f>'Volume adjustments'!S315</f>
        <v>0</v>
      </c>
      <c r="T57" s="203">
        <f>'Volume adjustments'!T315</f>
        <v>0</v>
      </c>
      <c r="U57" s="203">
        <f>'Volume adjustments'!U315</f>
        <v>0</v>
      </c>
      <c r="V57" s="203">
        <f>'Volume adjustments'!V315</f>
        <v>0</v>
      </c>
      <c r="W57" s="203">
        <f>'Volume adjustments'!W315</f>
        <v>0</v>
      </c>
      <c r="X57" s="203">
        <f>'Volume adjustments'!X315</f>
        <v>0</v>
      </c>
      <c r="Y57" s="203">
        <f>'Volume adjustments'!Y315</f>
        <v>0</v>
      </c>
    </row>
    <row r="58" spans="3:43" x14ac:dyDescent="0.25">
      <c r="E58" s="105"/>
      <c r="F58" t="s">
        <v>155</v>
      </c>
      <c r="G58" t="s">
        <v>165</v>
      </c>
      <c r="H58" s="78"/>
      <c r="J58" s="204">
        <f>'Volume adjustments'!J316</f>
        <v>0.40999688257340583</v>
      </c>
      <c r="K58" s="204">
        <f>'Volume adjustments'!K316</f>
        <v>0.40999688257340583</v>
      </c>
      <c r="L58" s="204">
        <f>'Volume adjustments'!L316</f>
        <v>0.40999688257340583</v>
      </c>
      <c r="M58" s="204">
        <f>'Volume adjustments'!M316</f>
        <v>0.40999688257340583</v>
      </c>
      <c r="N58" s="204">
        <f>'Volume adjustments'!N316</f>
        <v>0.40999688257340583</v>
      </c>
      <c r="O58" s="204">
        <f>'Volume adjustments'!O316</f>
        <v>0</v>
      </c>
      <c r="P58" s="204">
        <f>'Volume adjustments'!P316</f>
        <v>0</v>
      </c>
      <c r="Q58" s="204">
        <f>'Volume adjustments'!Q316</f>
        <v>0.40999688257340583</v>
      </c>
      <c r="R58" s="204">
        <f>'Volume adjustments'!R316</f>
        <v>0</v>
      </c>
      <c r="S58" s="204">
        <f>'Volume adjustments'!S316</f>
        <v>0</v>
      </c>
      <c r="T58" s="204">
        <f>'Volume adjustments'!T316</f>
        <v>0</v>
      </c>
      <c r="U58" s="204">
        <f>'Volume adjustments'!U316</f>
        <v>0</v>
      </c>
      <c r="V58" s="204">
        <f>'Volume adjustments'!V316</f>
        <v>0</v>
      </c>
      <c r="W58" s="204">
        <f>'Volume adjustments'!W316</f>
        <v>0</v>
      </c>
      <c r="X58" s="204">
        <f>'Volume adjustments'!X316</f>
        <v>0</v>
      </c>
      <c r="Y58" s="204">
        <f>'Volume adjustments'!Y316</f>
        <v>0</v>
      </c>
    </row>
    <row r="59" spans="3:43" x14ac:dyDescent="0.25">
      <c r="E59" s="105"/>
      <c r="F59" t="s">
        <v>156</v>
      </c>
      <c r="G59" t="s">
        <v>165</v>
      </c>
      <c r="H59" s="78"/>
      <c r="J59" s="204">
        <f>'Volume adjustments'!J317</f>
        <v>0.40999688257340583</v>
      </c>
      <c r="K59" s="204">
        <f>'Volume adjustments'!K317</f>
        <v>0.40999688257340583</v>
      </c>
      <c r="L59" s="204">
        <f>'Volume adjustments'!L317</f>
        <v>0.40999688257340583</v>
      </c>
      <c r="M59" s="204">
        <f>'Volume adjustments'!M317</f>
        <v>0.40999688257340583</v>
      </c>
      <c r="N59" s="204">
        <f>'Volume adjustments'!N317</f>
        <v>0.40999688257340583</v>
      </c>
      <c r="O59" s="204">
        <f>'Volume adjustments'!O317</f>
        <v>0</v>
      </c>
      <c r="P59" s="204">
        <f>'Volume adjustments'!P317</f>
        <v>0</v>
      </c>
      <c r="Q59" s="204">
        <f>'Volume adjustments'!Q317</f>
        <v>0.40999688257340583</v>
      </c>
      <c r="R59" s="204">
        <f>'Volume adjustments'!R317</f>
        <v>0</v>
      </c>
      <c r="S59" s="204">
        <f>'Volume adjustments'!S317</f>
        <v>0</v>
      </c>
      <c r="T59" s="204">
        <f>'Volume adjustments'!T317</f>
        <v>0</v>
      </c>
      <c r="U59" s="204">
        <f>'Volume adjustments'!U317</f>
        <v>0</v>
      </c>
      <c r="V59" s="204">
        <f>'Volume adjustments'!V317</f>
        <v>0</v>
      </c>
      <c r="W59" s="204">
        <f>'Volume adjustments'!W317</f>
        <v>0</v>
      </c>
      <c r="X59" s="204">
        <f>'Volume adjustments'!X317</f>
        <v>0</v>
      </c>
      <c r="Y59" s="204">
        <f>'Volume adjustments'!Y317</f>
        <v>0</v>
      </c>
    </row>
    <row r="60" spans="3:43" x14ac:dyDescent="0.25">
      <c r="E60" s="105"/>
      <c r="F60" t="s">
        <v>157</v>
      </c>
      <c r="G60" t="s">
        <v>165</v>
      </c>
      <c r="H60" s="78"/>
      <c r="J60" s="204">
        <f>'Volume adjustments'!J318</f>
        <v>0.40999688257340583</v>
      </c>
      <c r="K60" s="204">
        <f>'Volume adjustments'!K318</f>
        <v>0.40999688257340583</v>
      </c>
      <c r="L60" s="204">
        <f>'Volume adjustments'!L318</f>
        <v>0.40999688257340583</v>
      </c>
      <c r="M60" s="204">
        <f>'Volume adjustments'!M318</f>
        <v>0.40999688257340583</v>
      </c>
      <c r="N60" s="204">
        <f>'Volume adjustments'!N318</f>
        <v>0.40999688257340583</v>
      </c>
      <c r="O60" s="204">
        <f>'Volume adjustments'!O318</f>
        <v>0</v>
      </c>
      <c r="P60" s="204">
        <f>'Volume adjustments'!P318</f>
        <v>0</v>
      </c>
      <c r="Q60" s="204">
        <f>'Volume adjustments'!Q318</f>
        <v>0.40999688257340583</v>
      </c>
      <c r="R60" s="204">
        <f>'Volume adjustments'!R318</f>
        <v>1</v>
      </c>
      <c r="S60" s="204">
        <f>'Volume adjustments'!S318</f>
        <v>1</v>
      </c>
      <c r="T60" s="204">
        <f>'Volume adjustments'!T318</f>
        <v>1</v>
      </c>
      <c r="U60" s="204">
        <f>'Volume adjustments'!U318</f>
        <v>1</v>
      </c>
      <c r="V60" s="204">
        <f>'Volume adjustments'!V318</f>
        <v>1</v>
      </c>
      <c r="W60" s="204">
        <f>'Volume adjustments'!W318</f>
        <v>1</v>
      </c>
      <c r="X60" s="204">
        <f>'Volume adjustments'!X318</f>
        <v>1</v>
      </c>
      <c r="Y60" s="204">
        <f>'Volume adjustments'!Y318</f>
        <v>1</v>
      </c>
    </row>
    <row r="61" spans="3:43" x14ac:dyDescent="0.25">
      <c r="E61" s="105"/>
      <c r="F61" t="s">
        <v>158</v>
      </c>
      <c r="G61" t="s">
        <v>165</v>
      </c>
      <c r="H61" s="78"/>
      <c r="J61" s="204">
        <f>'Volume adjustments'!J319</f>
        <v>0.40999688257340583</v>
      </c>
      <c r="K61" s="204">
        <f>'Volume adjustments'!K319</f>
        <v>0.40999688257340583</v>
      </c>
      <c r="L61" s="204">
        <f>'Volume adjustments'!L319</f>
        <v>0.40999688257340583</v>
      </c>
      <c r="M61" s="204">
        <f>'Volume adjustments'!M319</f>
        <v>0.40999688257340583</v>
      </c>
      <c r="N61" s="204">
        <f>'Volume adjustments'!N319</f>
        <v>0.40999688257340583</v>
      </c>
      <c r="O61" s="204">
        <f>'Volume adjustments'!O319</f>
        <v>0</v>
      </c>
      <c r="P61" s="204">
        <f>'Volume adjustments'!P319</f>
        <v>0</v>
      </c>
      <c r="Q61" s="204">
        <f>'Volume adjustments'!Q319</f>
        <v>0.40999688257340583</v>
      </c>
      <c r="R61" s="204">
        <f>'Volume adjustments'!R319</f>
        <v>0</v>
      </c>
      <c r="S61" s="204">
        <f>'Volume adjustments'!S319</f>
        <v>0</v>
      </c>
      <c r="T61" s="204">
        <f>'Volume adjustments'!T319</f>
        <v>0</v>
      </c>
      <c r="U61" s="204">
        <f>'Volume adjustments'!U319</f>
        <v>0</v>
      </c>
      <c r="V61" s="204">
        <f>'Volume adjustments'!V319</f>
        <v>0</v>
      </c>
      <c r="W61" s="204">
        <f>'Volume adjustments'!W319</f>
        <v>0</v>
      </c>
      <c r="X61" s="204">
        <f>'Volume adjustments'!X319</f>
        <v>0</v>
      </c>
      <c r="Y61" s="204">
        <f>'Volume adjustments'!Y319</f>
        <v>0</v>
      </c>
    </row>
    <row r="62" spans="3:43" x14ac:dyDescent="0.25">
      <c r="E62" s="105"/>
      <c r="F62" t="s">
        <v>159</v>
      </c>
      <c r="G62" t="s">
        <v>165</v>
      </c>
      <c r="H62" s="78"/>
      <c r="J62" s="204">
        <f>'Volume adjustments'!J320</f>
        <v>0.40999688257340583</v>
      </c>
      <c r="K62" s="204">
        <f>'Volume adjustments'!K320</f>
        <v>0.40999688257340583</v>
      </c>
      <c r="L62" s="204">
        <f>'Volume adjustments'!L320</f>
        <v>0.40999688257340583</v>
      </c>
      <c r="M62" s="204">
        <f>'Volume adjustments'!M320</f>
        <v>0.40999688257340583</v>
      </c>
      <c r="N62" s="204">
        <f>'Volume adjustments'!N320</f>
        <v>0.40999688257340583</v>
      </c>
      <c r="O62" s="204">
        <f>'Volume adjustments'!O320</f>
        <v>0</v>
      </c>
      <c r="P62" s="204">
        <f>'Volume adjustments'!P320</f>
        <v>0</v>
      </c>
      <c r="Q62" s="204">
        <f>'Volume adjustments'!Q320</f>
        <v>0.40999688257340583</v>
      </c>
      <c r="R62" s="204">
        <f>'Volume adjustments'!R320</f>
        <v>0</v>
      </c>
      <c r="S62" s="204">
        <f>'Volume adjustments'!S320</f>
        <v>0</v>
      </c>
      <c r="T62" s="204">
        <f>'Volume adjustments'!T320</f>
        <v>0</v>
      </c>
      <c r="U62" s="204">
        <f>'Volume adjustments'!U320</f>
        <v>0</v>
      </c>
      <c r="V62" s="204">
        <f>'Volume adjustments'!V320</f>
        <v>0</v>
      </c>
      <c r="W62" s="204">
        <f>'Volume adjustments'!W320</f>
        <v>0</v>
      </c>
      <c r="X62" s="204">
        <f>'Volume adjustments'!X320</f>
        <v>0</v>
      </c>
      <c r="Y62" s="204">
        <f>'Volume adjustments'!Y320</f>
        <v>0</v>
      </c>
    </row>
    <row r="63" spans="3:43" x14ac:dyDescent="0.25">
      <c r="E63" s="105"/>
      <c r="F63" s="96" t="s">
        <v>160</v>
      </c>
      <c r="G63" s="96" t="s">
        <v>165</v>
      </c>
      <c r="H63" s="297"/>
      <c r="I63" s="96"/>
      <c r="J63" s="205">
        <f>'Volume adjustments'!J321</f>
        <v>0.40999688257340583</v>
      </c>
      <c r="K63" s="205">
        <f>'Volume adjustments'!K321</f>
        <v>0.40999688257340583</v>
      </c>
      <c r="L63" s="205">
        <f>'Volume adjustments'!L321</f>
        <v>0.40999688257340583</v>
      </c>
      <c r="M63" s="205">
        <f>'Volume adjustments'!M321</f>
        <v>0.40999688257340583</v>
      </c>
      <c r="N63" s="205">
        <f>'Volume adjustments'!N321</f>
        <v>0.40999688257340583</v>
      </c>
      <c r="O63" s="205">
        <f>'Volume adjustments'!O321</f>
        <v>0</v>
      </c>
      <c r="P63" s="205">
        <f>'Volume adjustments'!P321</f>
        <v>0</v>
      </c>
      <c r="Q63" s="205">
        <f>'Volume adjustments'!Q321</f>
        <v>0.40999688257340583</v>
      </c>
      <c r="R63" s="205">
        <f>'Volume adjustments'!R321</f>
        <v>0</v>
      </c>
      <c r="S63" s="205">
        <f>'Volume adjustments'!S321</f>
        <v>0</v>
      </c>
      <c r="T63" s="205">
        <f>'Volume adjustments'!T321</f>
        <v>0</v>
      </c>
      <c r="U63" s="205">
        <f>'Volume adjustments'!U321</f>
        <v>0</v>
      </c>
      <c r="V63" s="205">
        <f>'Volume adjustments'!V321</f>
        <v>0</v>
      </c>
      <c r="W63" s="205">
        <f>'Volume adjustments'!W321</f>
        <v>0</v>
      </c>
      <c r="X63" s="205">
        <f>'Volume adjustments'!X321</f>
        <v>0</v>
      </c>
      <c r="Y63" s="205">
        <f>'Volume adjustments'!Y321</f>
        <v>0</v>
      </c>
    </row>
    <row r="64" spans="3:43" x14ac:dyDescent="0.25">
      <c r="E64"/>
    </row>
    <row r="65" spans="4:43" ht="60" x14ac:dyDescent="0.25">
      <c r="E65" s="105" t="s">
        <v>704</v>
      </c>
      <c r="I65" t="s">
        <v>152</v>
      </c>
      <c r="J65" s="308" t="s">
        <v>1112</v>
      </c>
      <c r="K65" s="308" t="s">
        <v>783</v>
      </c>
      <c r="L65" s="308" t="s">
        <v>1113</v>
      </c>
      <c r="M65" s="308" t="s">
        <v>784</v>
      </c>
      <c r="N65" s="308" t="s">
        <v>790</v>
      </c>
      <c r="O65" s="308" t="s">
        <v>791</v>
      </c>
      <c r="P65" s="308" t="s">
        <v>792</v>
      </c>
      <c r="Q65" s="308" t="s">
        <v>793</v>
      </c>
      <c r="R65" s="308" t="s">
        <v>785</v>
      </c>
      <c r="S65" s="308" t="s">
        <v>786</v>
      </c>
      <c r="T65" s="308" t="s">
        <v>787</v>
      </c>
      <c r="U65" s="308" t="s">
        <v>796</v>
      </c>
      <c r="V65" s="308" t="s">
        <v>788</v>
      </c>
      <c r="W65" s="308" t="s">
        <v>795</v>
      </c>
      <c r="X65" s="308" t="s">
        <v>789</v>
      </c>
      <c r="Y65" s="308" t="s">
        <v>794</v>
      </c>
    </row>
    <row r="66" spans="4:43" x14ac:dyDescent="0.25">
      <c r="E66" s="105"/>
      <c r="F66" s="95" t="s">
        <v>154</v>
      </c>
      <c r="G66" s="95" t="s">
        <v>165</v>
      </c>
      <c r="H66" s="236"/>
      <c r="I66" s="95"/>
      <c r="J66" s="203">
        <f>'Volume adjustments'!J324</f>
        <v>0.60376444392351947</v>
      </c>
      <c r="K66" s="203">
        <f>'Volume adjustments'!K324</f>
        <v>0.60376444392351947</v>
      </c>
      <c r="L66" s="203">
        <f>'Volume adjustments'!L324</f>
        <v>0.60376444392351947</v>
      </c>
      <c r="M66" s="203">
        <f>'Volume adjustments'!M324</f>
        <v>0.60376444392351947</v>
      </c>
      <c r="N66" s="203">
        <f>'Volume adjustments'!N324</f>
        <v>0.60376444392351947</v>
      </c>
      <c r="O66" s="203">
        <f>'Volume adjustments'!O324</f>
        <v>0.32468019364035799</v>
      </c>
      <c r="P66" s="203">
        <f>'Volume adjustments'!P324</f>
        <v>0.16961170739746073</v>
      </c>
      <c r="Q66" s="203">
        <f>'Volume adjustments'!Q324</f>
        <v>0.60376444392351947</v>
      </c>
      <c r="R66" s="203">
        <f>'Volume adjustments'!R324</f>
        <v>0</v>
      </c>
      <c r="S66" s="203">
        <f>'Volume adjustments'!S324</f>
        <v>0</v>
      </c>
      <c r="T66" s="203">
        <f>'Volume adjustments'!T324</f>
        <v>0</v>
      </c>
      <c r="U66" s="203">
        <f>'Volume adjustments'!U324</f>
        <v>0</v>
      </c>
      <c r="V66" s="203">
        <f>'Volume adjustments'!V324</f>
        <v>0</v>
      </c>
      <c r="W66" s="203">
        <f>'Volume adjustments'!W324</f>
        <v>0</v>
      </c>
      <c r="X66" s="203">
        <f>'Volume adjustments'!X324</f>
        <v>0</v>
      </c>
      <c r="Y66" s="203">
        <f>'Volume adjustments'!Y324</f>
        <v>0</v>
      </c>
    </row>
    <row r="67" spans="4:43" x14ac:dyDescent="0.25">
      <c r="E67" s="105"/>
      <c r="F67" t="s">
        <v>155</v>
      </c>
      <c r="G67" t="s">
        <v>165</v>
      </c>
      <c r="H67" s="78"/>
      <c r="J67" s="204">
        <f>'Volume adjustments'!J325</f>
        <v>0.60376444392351947</v>
      </c>
      <c r="K67" s="204">
        <f>'Volume adjustments'!K325</f>
        <v>0.60376444392351947</v>
      </c>
      <c r="L67" s="204">
        <f>'Volume adjustments'!L325</f>
        <v>0.60376444392351947</v>
      </c>
      <c r="M67" s="204">
        <f>'Volume adjustments'!M325</f>
        <v>0.60376444392351947</v>
      </c>
      <c r="N67" s="204">
        <f>'Volume adjustments'!N325</f>
        <v>0.60376444392351947</v>
      </c>
      <c r="O67" s="204">
        <f>'Volume adjustments'!O325</f>
        <v>0.32468019364035799</v>
      </c>
      <c r="P67" s="204">
        <f>'Volume adjustments'!P325</f>
        <v>0.16961170739746073</v>
      </c>
      <c r="Q67" s="204">
        <f>'Volume adjustments'!Q325</f>
        <v>0.60376444392351947</v>
      </c>
      <c r="R67" s="204">
        <f>'Volume adjustments'!R325</f>
        <v>0</v>
      </c>
      <c r="S67" s="204">
        <f>'Volume adjustments'!S325</f>
        <v>0</v>
      </c>
      <c r="T67" s="204">
        <f>'Volume adjustments'!T325</f>
        <v>0</v>
      </c>
      <c r="U67" s="204">
        <f>'Volume adjustments'!U325</f>
        <v>0</v>
      </c>
      <c r="V67" s="204">
        <f>'Volume adjustments'!V325</f>
        <v>0</v>
      </c>
      <c r="W67" s="204">
        <f>'Volume adjustments'!W325</f>
        <v>0</v>
      </c>
      <c r="X67" s="204">
        <f>'Volume adjustments'!X325</f>
        <v>0</v>
      </c>
      <c r="Y67" s="204">
        <f>'Volume adjustments'!Y325</f>
        <v>0</v>
      </c>
    </row>
    <row r="68" spans="4:43" x14ac:dyDescent="0.25">
      <c r="E68" s="105"/>
      <c r="F68" t="s">
        <v>156</v>
      </c>
      <c r="G68" t="s">
        <v>165</v>
      </c>
      <c r="H68" s="78"/>
      <c r="J68" s="204">
        <f>'Volume adjustments'!J326</f>
        <v>0.60376444392351947</v>
      </c>
      <c r="K68" s="204">
        <f>'Volume adjustments'!K326</f>
        <v>0.60376444392351947</v>
      </c>
      <c r="L68" s="204">
        <f>'Volume adjustments'!L326</f>
        <v>0.60376444392351947</v>
      </c>
      <c r="M68" s="204">
        <f>'Volume adjustments'!M326</f>
        <v>0.60376444392351947</v>
      </c>
      <c r="N68" s="204">
        <f>'Volume adjustments'!N326</f>
        <v>0.60376444392351947</v>
      </c>
      <c r="O68" s="204">
        <f>'Volume adjustments'!O326</f>
        <v>0.32468019364035799</v>
      </c>
      <c r="P68" s="204">
        <f>'Volume adjustments'!P326</f>
        <v>0.16961170739746073</v>
      </c>
      <c r="Q68" s="204">
        <f>'Volume adjustments'!Q326</f>
        <v>0.60376444392351947</v>
      </c>
      <c r="R68" s="204">
        <f>'Volume adjustments'!R326</f>
        <v>0</v>
      </c>
      <c r="S68" s="204">
        <f>'Volume adjustments'!S326</f>
        <v>0</v>
      </c>
      <c r="T68" s="204">
        <f>'Volume adjustments'!T326</f>
        <v>0</v>
      </c>
      <c r="U68" s="204">
        <f>'Volume adjustments'!U326</f>
        <v>0</v>
      </c>
      <c r="V68" s="204">
        <f>'Volume adjustments'!V326</f>
        <v>0</v>
      </c>
      <c r="W68" s="204">
        <f>'Volume adjustments'!W326</f>
        <v>0</v>
      </c>
      <c r="X68" s="204">
        <f>'Volume adjustments'!X326</f>
        <v>0</v>
      </c>
      <c r="Y68" s="204">
        <f>'Volume adjustments'!Y326</f>
        <v>0</v>
      </c>
    </row>
    <row r="69" spans="4:43" x14ac:dyDescent="0.25">
      <c r="E69" s="105"/>
      <c r="F69" t="s">
        <v>157</v>
      </c>
      <c r="G69" t="s">
        <v>165</v>
      </c>
      <c r="H69" s="78"/>
      <c r="J69" s="204">
        <f>'Volume adjustments'!J327</f>
        <v>0.60376444392351947</v>
      </c>
      <c r="K69" s="204">
        <f>'Volume adjustments'!K327</f>
        <v>0.60376444392351947</v>
      </c>
      <c r="L69" s="204">
        <f>'Volume adjustments'!L327</f>
        <v>0.60376444392351947</v>
      </c>
      <c r="M69" s="204">
        <f>'Volume adjustments'!M327</f>
        <v>0.60376444392351947</v>
      </c>
      <c r="N69" s="204">
        <f>'Volume adjustments'!N327</f>
        <v>0.60376444392351947</v>
      </c>
      <c r="O69" s="204">
        <f>'Volume adjustments'!O327</f>
        <v>0.32468019364035799</v>
      </c>
      <c r="P69" s="204">
        <f>'Volume adjustments'!P327</f>
        <v>0.16961170739746073</v>
      </c>
      <c r="Q69" s="204">
        <f>'Volume adjustments'!Q327</f>
        <v>0.60376444392351947</v>
      </c>
      <c r="R69" s="204">
        <f>'Volume adjustments'!R327</f>
        <v>1</v>
      </c>
      <c r="S69" s="204">
        <f>'Volume adjustments'!S327</f>
        <v>1</v>
      </c>
      <c r="T69" s="204">
        <f>'Volume adjustments'!T327</f>
        <v>1</v>
      </c>
      <c r="U69" s="204">
        <f>'Volume adjustments'!U327</f>
        <v>1</v>
      </c>
      <c r="V69" s="204">
        <f>'Volume adjustments'!V327</f>
        <v>1</v>
      </c>
      <c r="W69" s="204">
        <f>'Volume adjustments'!W327</f>
        <v>1</v>
      </c>
      <c r="X69" s="204">
        <f>'Volume adjustments'!X327</f>
        <v>1</v>
      </c>
      <c r="Y69" s="204">
        <f>'Volume adjustments'!Y327</f>
        <v>1</v>
      </c>
    </row>
    <row r="70" spans="4:43" x14ac:dyDescent="0.25">
      <c r="E70" s="105"/>
      <c r="F70" t="s">
        <v>158</v>
      </c>
      <c r="G70" t="s">
        <v>165</v>
      </c>
      <c r="H70" s="78"/>
      <c r="J70" s="204">
        <f>'Volume adjustments'!J328</f>
        <v>0.60376444392351947</v>
      </c>
      <c r="K70" s="204">
        <f>'Volume adjustments'!K328</f>
        <v>0.60376444392351947</v>
      </c>
      <c r="L70" s="204">
        <f>'Volume adjustments'!L328</f>
        <v>0.60376444392351947</v>
      </c>
      <c r="M70" s="204">
        <f>'Volume adjustments'!M328</f>
        <v>0.60376444392351947</v>
      </c>
      <c r="N70" s="204">
        <f>'Volume adjustments'!N328</f>
        <v>0.60376444392351947</v>
      </c>
      <c r="O70" s="204">
        <f>'Volume adjustments'!O328</f>
        <v>0.32468019364035799</v>
      </c>
      <c r="P70" s="204">
        <f>'Volume adjustments'!P328</f>
        <v>0.16961170739746073</v>
      </c>
      <c r="Q70" s="204">
        <f>'Volume adjustments'!Q328</f>
        <v>0.60376444392351947</v>
      </c>
      <c r="R70" s="204">
        <f>'Volume adjustments'!R328</f>
        <v>0</v>
      </c>
      <c r="S70" s="204">
        <f>'Volume adjustments'!S328</f>
        <v>0</v>
      </c>
      <c r="T70" s="204">
        <f>'Volume adjustments'!T328</f>
        <v>0</v>
      </c>
      <c r="U70" s="204">
        <f>'Volume adjustments'!U328</f>
        <v>0</v>
      </c>
      <c r="V70" s="204">
        <f>'Volume adjustments'!V328</f>
        <v>0</v>
      </c>
      <c r="W70" s="204">
        <f>'Volume adjustments'!W328</f>
        <v>0</v>
      </c>
      <c r="X70" s="204">
        <f>'Volume adjustments'!X328</f>
        <v>0</v>
      </c>
      <c r="Y70" s="204">
        <f>'Volume adjustments'!Y328</f>
        <v>0</v>
      </c>
    </row>
    <row r="71" spans="4:43" x14ac:dyDescent="0.25">
      <c r="E71" s="105"/>
      <c r="F71" t="s">
        <v>159</v>
      </c>
      <c r="G71" t="s">
        <v>165</v>
      </c>
      <c r="H71" s="78"/>
      <c r="J71" s="204">
        <f>'Volume adjustments'!J329</f>
        <v>0.60376444392351947</v>
      </c>
      <c r="K71" s="204">
        <f>'Volume adjustments'!K329</f>
        <v>0.60376444392351947</v>
      </c>
      <c r="L71" s="204">
        <f>'Volume adjustments'!L329</f>
        <v>0.60376444392351947</v>
      </c>
      <c r="M71" s="204">
        <f>'Volume adjustments'!M329</f>
        <v>0.60376444392351947</v>
      </c>
      <c r="N71" s="204">
        <f>'Volume adjustments'!N329</f>
        <v>0.60376444392351947</v>
      </c>
      <c r="O71" s="204">
        <f>'Volume adjustments'!O329</f>
        <v>0.32468019364035799</v>
      </c>
      <c r="P71" s="204">
        <f>'Volume adjustments'!P329</f>
        <v>0.16961170739746073</v>
      </c>
      <c r="Q71" s="204">
        <f>'Volume adjustments'!Q329</f>
        <v>0.60376444392351947</v>
      </c>
      <c r="R71" s="204">
        <f>'Volume adjustments'!R329</f>
        <v>0</v>
      </c>
      <c r="S71" s="204">
        <f>'Volume adjustments'!S329</f>
        <v>0</v>
      </c>
      <c r="T71" s="204">
        <f>'Volume adjustments'!T329</f>
        <v>0</v>
      </c>
      <c r="U71" s="204">
        <f>'Volume adjustments'!U329</f>
        <v>0</v>
      </c>
      <c r="V71" s="204">
        <f>'Volume adjustments'!V329</f>
        <v>0</v>
      </c>
      <c r="W71" s="204">
        <f>'Volume adjustments'!W329</f>
        <v>0</v>
      </c>
      <c r="X71" s="204">
        <f>'Volume adjustments'!X329</f>
        <v>0</v>
      </c>
      <c r="Y71" s="204">
        <f>'Volume adjustments'!Y329</f>
        <v>0</v>
      </c>
    </row>
    <row r="72" spans="4:43" x14ac:dyDescent="0.25">
      <c r="E72" s="105"/>
      <c r="F72" s="96" t="s">
        <v>160</v>
      </c>
      <c r="G72" s="96" t="s">
        <v>165</v>
      </c>
      <c r="H72" s="297"/>
      <c r="I72" s="96"/>
      <c r="J72" s="205">
        <f>'Volume adjustments'!J330</f>
        <v>0.60376444392351947</v>
      </c>
      <c r="K72" s="205">
        <f>'Volume adjustments'!K330</f>
        <v>0.60376444392351947</v>
      </c>
      <c r="L72" s="205">
        <f>'Volume adjustments'!L330</f>
        <v>0.60376444392351947</v>
      </c>
      <c r="M72" s="205">
        <f>'Volume adjustments'!M330</f>
        <v>0.60376444392351947</v>
      </c>
      <c r="N72" s="205">
        <f>'Volume adjustments'!N330</f>
        <v>0.60376444392351947</v>
      </c>
      <c r="O72" s="205">
        <f>'Volume adjustments'!O330</f>
        <v>0.32468019364035799</v>
      </c>
      <c r="P72" s="205">
        <f>'Volume adjustments'!P330</f>
        <v>0.16961170739746073</v>
      </c>
      <c r="Q72" s="205">
        <f>'Volume adjustments'!Q330</f>
        <v>0.60376444392351947</v>
      </c>
      <c r="R72" s="205">
        <f>'Volume adjustments'!R330</f>
        <v>0</v>
      </c>
      <c r="S72" s="205">
        <f>'Volume adjustments'!S330</f>
        <v>0</v>
      </c>
      <c r="T72" s="205">
        <f>'Volume adjustments'!T330</f>
        <v>0</v>
      </c>
      <c r="U72" s="205">
        <f>'Volume adjustments'!U330</f>
        <v>0</v>
      </c>
      <c r="V72" s="205">
        <f>'Volume adjustments'!V330</f>
        <v>0</v>
      </c>
      <c r="W72" s="205">
        <f>'Volume adjustments'!W330</f>
        <v>0</v>
      </c>
      <c r="X72" s="205">
        <f>'Volume adjustments'!X330</f>
        <v>0</v>
      </c>
      <c r="Y72" s="205">
        <f>'Volume adjustments'!Y330</f>
        <v>0</v>
      </c>
    </row>
    <row r="73" spans="4:43" x14ac:dyDescent="0.25">
      <c r="E73"/>
    </row>
    <row r="74" spans="4:43" x14ac:dyDescent="0.25">
      <c r="D74"/>
      <c r="E74" s="105" t="s">
        <v>703</v>
      </c>
      <c r="I74" t="s">
        <v>152</v>
      </c>
      <c r="AQ74" t="s">
        <v>383</v>
      </c>
    </row>
    <row r="75" spans="4:43" x14ac:dyDescent="0.25">
      <c r="D75"/>
      <c r="E75" s="105"/>
      <c r="F75" s="95" t="s">
        <v>154</v>
      </c>
      <c r="G75" s="95" t="s">
        <v>165</v>
      </c>
      <c r="H75" s="236"/>
      <c r="I75" s="95"/>
      <c r="J75" s="198">
        <f>INDEX($J57:$Y57,J$54)</f>
        <v>0.40999688257340583</v>
      </c>
      <c r="K75" s="198">
        <f t="shared" ref="K75:AO75" si="0">INDEX($J57:$Y57,K$54)</f>
        <v>0.40999688257340583</v>
      </c>
      <c r="L75" s="198">
        <f t="shared" si="0"/>
        <v>0.40999688257340583</v>
      </c>
      <c r="M75" s="198">
        <f t="shared" si="0"/>
        <v>0.40999688257340583</v>
      </c>
      <c r="N75" s="198">
        <f t="shared" si="0"/>
        <v>0.40999688257340583</v>
      </c>
      <c r="O75" s="198">
        <f t="shared" si="0"/>
        <v>0.40999688257340583</v>
      </c>
      <c r="P75" s="198">
        <f t="shared" si="0"/>
        <v>0.40999688257340583</v>
      </c>
      <c r="Q75" s="198">
        <f t="shared" si="0"/>
        <v>0.40999688257340583</v>
      </c>
      <c r="R75" s="198">
        <f t="shared" si="0"/>
        <v>0.40999688257340583</v>
      </c>
      <c r="S75" s="198">
        <f t="shared" si="0"/>
        <v>0.40999688257340583</v>
      </c>
      <c r="T75" s="198">
        <f t="shared" si="0"/>
        <v>0.40999688257340583</v>
      </c>
      <c r="U75" s="198">
        <f t="shared" si="0"/>
        <v>0.40999688257340583</v>
      </c>
      <c r="V75" s="198">
        <f t="shared" si="0"/>
        <v>0.40999688257340583</v>
      </c>
      <c r="W75" s="198">
        <f t="shared" si="0"/>
        <v>0</v>
      </c>
      <c r="X75" s="198">
        <f t="shared" si="0"/>
        <v>0</v>
      </c>
      <c r="Y75" s="198">
        <f t="shared" si="0"/>
        <v>0</v>
      </c>
      <c r="Z75" s="198">
        <f t="shared" si="0"/>
        <v>0</v>
      </c>
      <c r="AA75" s="198">
        <f t="shared" si="0"/>
        <v>0</v>
      </c>
      <c r="AB75" s="198">
        <f t="shared" si="0"/>
        <v>0</v>
      </c>
      <c r="AC75" s="198">
        <f t="shared" si="0"/>
        <v>0</v>
      </c>
      <c r="AD75" s="198">
        <f t="shared" si="0"/>
        <v>0</v>
      </c>
      <c r="AE75" s="198">
        <f t="shared" si="0"/>
        <v>0</v>
      </c>
      <c r="AF75" s="198">
        <f t="shared" si="0"/>
        <v>0</v>
      </c>
      <c r="AG75" s="198">
        <f t="shared" si="0"/>
        <v>0.40999688257340583</v>
      </c>
      <c r="AH75" s="198">
        <f t="shared" si="0"/>
        <v>0</v>
      </c>
      <c r="AI75" s="198">
        <f t="shared" si="0"/>
        <v>0</v>
      </c>
      <c r="AJ75" s="198">
        <f t="shared" si="0"/>
        <v>0</v>
      </c>
      <c r="AK75" s="198">
        <f t="shared" si="0"/>
        <v>0</v>
      </c>
      <c r="AL75" s="198">
        <f t="shared" si="0"/>
        <v>0</v>
      </c>
      <c r="AM75" s="198">
        <f t="shared" si="0"/>
        <v>0</v>
      </c>
      <c r="AN75" s="198">
        <f t="shared" si="0"/>
        <v>0</v>
      </c>
      <c r="AO75" s="198">
        <f t="shared" si="0"/>
        <v>0</v>
      </c>
    </row>
    <row r="76" spans="4:43" x14ac:dyDescent="0.25">
      <c r="D76"/>
      <c r="E76" s="105"/>
      <c r="F76" t="s">
        <v>155</v>
      </c>
      <c r="G76" t="s">
        <v>165</v>
      </c>
      <c r="H76" s="78"/>
      <c r="J76" s="190">
        <f t="shared" ref="J76:AO76" si="1">INDEX($J58:$Y58,J$54)</f>
        <v>0.40999688257340583</v>
      </c>
      <c r="K76" s="190">
        <f t="shared" si="1"/>
        <v>0.40999688257340583</v>
      </c>
      <c r="L76" s="190">
        <f t="shared" si="1"/>
        <v>0.40999688257340583</v>
      </c>
      <c r="M76" s="190">
        <f t="shared" si="1"/>
        <v>0.40999688257340583</v>
      </c>
      <c r="N76" s="190">
        <f t="shared" si="1"/>
        <v>0.40999688257340583</v>
      </c>
      <c r="O76" s="190">
        <f t="shared" si="1"/>
        <v>0.40999688257340583</v>
      </c>
      <c r="P76" s="190">
        <f t="shared" si="1"/>
        <v>0.40999688257340583</v>
      </c>
      <c r="Q76" s="190">
        <f t="shared" si="1"/>
        <v>0.40999688257340583</v>
      </c>
      <c r="R76" s="190">
        <f t="shared" si="1"/>
        <v>0.40999688257340583</v>
      </c>
      <c r="S76" s="190">
        <f t="shared" si="1"/>
        <v>0.40999688257340583</v>
      </c>
      <c r="T76" s="190">
        <f t="shared" si="1"/>
        <v>0.40999688257340583</v>
      </c>
      <c r="U76" s="190">
        <f t="shared" si="1"/>
        <v>0.40999688257340583</v>
      </c>
      <c r="V76" s="190">
        <f t="shared" si="1"/>
        <v>0.40999688257340583</v>
      </c>
      <c r="W76" s="190">
        <f t="shared" si="1"/>
        <v>0</v>
      </c>
      <c r="X76" s="190">
        <f t="shared" si="1"/>
        <v>0</v>
      </c>
      <c r="Y76" s="190">
        <f t="shared" si="1"/>
        <v>0</v>
      </c>
      <c r="Z76" s="190">
        <f t="shared" si="1"/>
        <v>0</v>
      </c>
      <c r="AA76" s="190">
        <f t="shared" si="1"/>
        <v>0</v>
      </c>
      <c r="AB76" s="190">
        <f t="shared" si="1"/>
        <v>0</v>
      </c>
      <c r="AC76" s="190">
        <f t="shared" si="1"/>
        <v>0</v>
      </c>
      <c r="AD76" s="190">
        <f t="shared" si="1"/>
        <v>0</v>
      </c>
      <c r="AE76" s="190">
        <f t="shared" si="1"/>
        <v>0</v>
      </c>
      <c r="AF76" s="190">
        <f t="shared" si="1"/>
        <v>0</v>
      </c>
      <c r="AG76" s="190">
        <f t="shared" si="1"/>
        <v>0.40999688257340583</v>
      </c>
      <c r="AH76" s="190">
        <f t="shared" si="1"/>
        <v>0</v>
      </c>
      <c r="AI76" s="190">
        <f t="shared" si="1"/>
        <v>0</v>
      </c>
      <c r="AJ76" s="190">
        <f t="shared" si="1"/>
        <v>0</v>
      </c>
      <c r="AK76" s="190">
        <f t="shared" si="1"/>
        <v>0</v>
      </c>
      <c r="AL76" s="190">
        <f t="shared" si="1"/>
        <v>0</v>
      </c>
      <c r="AM76" s="190">
        <f t="shared" si="1"/>
        <v>0</v>
      </c>
      <c r="AN76" s="190">
        <f t="shared" si="1"/>
        <v>0</v>
      </c>
      <c r="AO76" s="190">
        <f t="shared" si="1"/>
        <v>0</v>
      </c>
    </row>
    <row r="77" spans="4:43" x14ac:dyDescent="0.25">
      <c r="D77"/>
      <c r="E77" s="105"/>
      <c r="F77" t="s">
        <v>156</v>
      </c>
      <c r="G77" t="s">
        <v>165</v>
      </c>
      <c r="H77" s="78"/>
      <c r="J77" s="190">
        <f t="shared" ref="J77:AO77" si="2">INDEX($J59:$Y59,J$54)</f>
        <v>0.40999688257340583</v>
      </c>
      <c r="K77" s="190">
        <f t="shared" si="2"/>
        <v>0.40999688257340583</v>
      </c>
      <c r="L77" s="190">
        <f t="shared" si="2"/>
        <v>0.40999688257340583</v>
      </c>
      <c r="M77" s="190">
        <f t="shared" si="2"/>
        <v>0.40999688257340583</v>
      </c>
      <c r="N77" s="190">
        <f t="shared" si="2"/>
        <v>0.40999688257340583</v>
      </c>
      <c r="O77" s="190">
        <f t="shared" si="2"/>
        <v>0.40999688257340583</v>
      </c>
      <c r="P77" s="190">
        <f t="shared" si="2"/>
        <v>0.40999688257340583</v>
      </c>
      <c r="Q77" s="190">
        <f t="shared" si="2"/>
        <v>0.40999688257340583</v>
      </c>
      <c r="R77" s="190">
        <f t="shared" si="2"/>
        <v>0.40999688257340583</v>
      </c>
      <c r="S77" s="190">
        <f t="shared" si="2"/>
        <v>0.40999688257340583</v>
      </c>
      <c r="T77" s="190">
        <f t="shared" si="2"/>
        <v>0.40999688257340583</v>
      </c>
      <c r="U77" s="190">
        <f t="shared" si="2"/>
        <v>0.40999688257340583</v>
      </c>
      <c r="V77" s="190">
        <f t="shared" si="2"/>
        <v>0.40999688257340583</v>
      </c>
      <c r="W77" s="190">
        <f t="shared" si="2"/>
        <v>0</v>
      </c>
      <c r="X77" s="190">
        <f t="shared" si="2"/>
        <v>0</v>
      </c>
      <c r="Y77" s="190">
        <f t="shared" si="2"/>
        <v>0</v>
      </c>
      <c r="Z77" s="190">
        <f t="shared" si="2"/>
        <v>0</v>
      </c>
      <c r="AA77" s="190">
        <f t="shared" si="2"/>
        <v>0</v>
      </c>
      <c r="AB77" s="190">
        <f t="shared" si="2"/>
        <v>0</v>
      </c>
      <c r="AC77" s="190">
        <f t="shared" si="2"/>
        <v>0</v>
      </c>
      <c r="AD77" s="190">
        <f t="shared" si="2"/>
        <v>0</v>
      </c>
      <c r="AE77" s="190">
        <f t="shared" si="2"/>
        <v>0</v>
      </c>
      <c r="AF77" s="190">
        <f t="shared" si="2"/>
        <v>0</v>
      </c>
      <c r="AG77" s="190">
        <f t="shared" si="2"/>
        <v>0.40999688257340583</v>
      </c>
      <c r="AH77" s="190">
        <f t="shared" si="2"/>
        <v>0</v>
      </c>
      <c r="AI77" s="190">
        <f t="shared" si="2"/>
        <v>0</v>
      </c>
      <c r="AJ77" s="190">
        <f t="shared" si="2"/>
        <v>0</v>
      </c>
      <c r="AK77" s="190">
        <f t="shared" si="2"/>
        <v>0</v>
      </c>
      <c r="AL77" s="190">
        <f t="shared" si="2"/>
        <v>0</v>
      </c>
      <c r="AM77" s="190">
        <f t="shared" si="2"/>
        <v>0</v>
      </c>
      <c r="AN77" s="190">
        <f t="shared" si="2"/>
        <v>0</v>
      </c>
      <c r="AO77" s="190">
        <f t="shared" si="2"/>
        <v>0</v>
      </c>
    </row>
    <row r="78" spans="4:43" x14ac:dyDescent="0.25">
      <c r="D78"/>
      <c r="E78" s="105"/>
      <c r="F78" t="s">
        <v>157</v>
      </c>
      <c r="G78" t="s">
        <v>165</v>
      </c>
      <c r="H78" s="78"/>
      <c r="J78" s="190">
        <f t="shared" ref="J78:AO78" si="3">INDEX($J60:$Y60,J$54)</f>
        <v>0.40999688257340583</v>
      </c>
      <c r="K78" s="190">
        <f t="shared" si="3"/>
        <v>0.40999688257340583</v>
      </c>
      <c r="L78" s="190">
        <f t="shared" si="3"/>
        <v>0.40999688257340583</v>
      </c>
      <c r="M78" s="190">
        <f t="shared" si="3"/>
        <v>0.40999688257340583</v>
      </c>
      <c r="N78" s="190">
        <f t="shared" si="3"/>
        <v>0.40999688257340583</v>
      </c>
      <c r="O78" s="190">
        <f t="shared" si="3"/>
        <v>0.40999688257340583</v>
      </c>
      <c r="P78" s="190">
        <f t="shared" si="3"/>
        <v>0.40999688257340583</v>
      </c>
      <c r="Q78" s="190">
        <f t="shared" si="3"/>
        <v>0.40999688257340583</v>
      </c>
      <c r="R78" s="190">
        <f t="shared" si="3"/>
        <v>0.40999688257340583</v>
      </c>
      <c r="S78" s="190">
        <f t="shared" si="3"/>
        <v>0.40999688257340583</v>
      </c>
      <c r="T78" s="190">
        <f t="shared" si="3"/>
        <v>0.40999688257340583</v>
      </c>
      <c r="U78" s="190">
        <f t="shared" si="3"/>
        <v>0.40999688257340583</v>
      </c>
      <c r="V78" s="190">
        <f t="shared" si="3"/>
        <v>0.40999688257340583</v>
      </c>
      <c r="W78" s="190">
        <f t="shared" si="3"/>
        <v>0</v>
      </c>
      <c r="X78" s="190">
        <f t="shared" si="3"/>
        <v>0</v>
      </c>
      <c r="Y78" s="190">
        <f t="shared" si="3"/>
        <v>0</v>
      </c>
      <c r="Z78" s="190">
        <f t="shared" si="3"/>
        <v>0</v>
      </c>
      <c r="AA78" s="190">
        <f t="shared" si="3"/>
        <v>0</v>
      </c>
      <c r="AB78" s="190">
        <f t="shared" si="3"/>
        <v>0</v>
      </c>
      <c r="AC78" s="190">
        <f t="shared" si="3"/>
        <v>0</v>
      </c>
      <c r="AD78" s="190">
        <f t="shared" si="3"/>
        <v>0</v>
      </c>
      <c r="AE78" s="190">
        <f t="shared" si="3"/>
        <v>0</v>
      </c>
      <c r="AF78" s="190">
        <f t="shared" si="3"/>
        <v>0</v>
      </c>
      <c r="AG78" s="190">
        <f t="shared" si="3"/>
        <v>0.40999688257340583</v>
      </c>
      <c r="AH78" s="190">
        <f t="shared" si="3"/>
        <v>1</v>
      </c>
      <c r="AI78" s="190">
        <f t="shared" si="3"/>
        <v>1</v>
      </c>
      <c r="AJ78" s="190">
        <f t="shared" si="3"/>
        <v>1</v>
      </c>
      <c r="AK78" s="190">
        <f t="shared" si="3"/>
        <v>1</v>
      </c>
      <c r="AL78" s="190">
        <f t="shared" si="3"/>
        <v>1</v>
      </c>
      <c r="AM78" s="190">
        <f t="shared" si="3"/>
        <v>1</v>
      </c>
      <c r="AN78" s="190">
        <f t="shared" si="3"/>
        <v>1</v>
      </c>
      <c r="AO78" s="190">
        <f t="shared" si="3"/>
        <v>1</v>
      </c>
    </row>
    <row r="79" spans="4:43" x14ac:dyDescent="0.25">
      <c r="D79"/>
      <c r="E79" s="105"/>
      <c r="F79" t="s">
        <v>158</v>
      </c>
      <c r="G79" t="s">
        <v>165</v>
      </c>
      <c r="H79" s="78"/>
      <c r="J79" s="190">
        <f t="shared" ref="J79:AO79" si="4">INDEX($J61:$Y61,J$54)</f>
        <v>0.40999688257340583</v>
      </c>
      <c r="K79" s="190">
        <f t="shared" si="4"/>
        <v>0.40999688257340583</v>
      </c>
      <c r="L79" s="190">
        <f t="shared" si="4"/>
        <v>0.40999688257340583</v>
      </c>
      <c r="M79" s="190">
        <f t="shared" si="4"/>
        <v>0.40999688257340583</v>
      </c>
      <c r="N79" s="190">
        <f t="shared" si="4"/>
        <v>0.40999688257340583</v>
      </c>
      <c r="O79" s="190">
        <f t="shared" si="4"/>
        <v>0.40999688257340583</v>
      </c>
      <c r="P79" s="190">
        <f t="shared" si="4"/>
        <v>0.40999688257340583</v>
      </c>
      <c r="Q79" s="190">
        <f t="shared" si="4"/>
        <v>0.40999688257340583</v>
      </c>
      <c r="R79" s="190">
        <f t="shared" si="4"/>
        <v>0.40999688257340583</v>
      </c>
      <c r="S79" s="190">
        <f t="shared" si="4"/>
        <v>0.40999688257340583</v>
      </c>
      <c r="T79" s="190">
        <f t="shared" si="4"/>
        <v>0.40999688257340583</v>
      </c>
      <c r="U79" s="190">
        <f t="shared" si="4"/>
        <v>0.40999688257340583</v>
      </c>
      <c r="V79" s="190">
        <f t="shared" si="4"/>
        <v>0.40999688257340583</v>
      </c>
      <c r="W79" s="190">
        <f t="shared" si="4"/>
        <v>0</v>
      </c>
      <c r="X79" s="190">
        <f t="shared" si="4"/>
        <v>0</v>
      </c>
      <c r="Y79" s="190">
        <f t="shared" si="4"/>
        <v>0</v>
      </c>
      <c r="Z79" s="190">
        <f t="shared" si="4"/>
        <v>0</v>
      </c>
      <c r="AA79" s="190">
        <f t="shared" si="4"/>
        <v>0</v>
      </c>
      <c r="AB79" s="190">
        <f t="shared" si="4"/>
        <v>0</v>
      </c>
      <c r="AC79" s="190">
        <f t="shared" si="4"/>
        <v>0</v>
      </c>
      <c r="AD79" s="190">
        <f t="shared" si="4"/>
        <v>0</v>
      </c>
      <c r="AE79" s="190">
        <f t="shared" si="4"/>
        <v>0</v>
      </c>
      <c r="AF79" s="190">
        <f t="shared" si="4"/>
        <v>0</v>
      </c>
      <c r="AG79" s="190">
        <f t="shared" si="4"/>
        <v>0.40999688257340583</v>
      </c>
      <c r="AH79" s="190">
        <f t="shared" si="4"/>
        <v>0</v>
      </c>
      <c r="AI79" s="190">
        <f t="shared" si="4"/>
        <v>0</v>
      </c>
      <c r="AJ79" s="190">
        <f t="shared" si="4"/>
        <v>0</v>
      </c>
      <c r="AK79" s="190">
        <f t="shared" si="4"/>
        <v>0</v>
      </c>
      <c r="AL79" s="190">
        <f t="shared" si="4"/>
        <v>0</v>
      </c>
      <c r="AM79" s="190">
        <f t="shared" si="4"/>
        <v>0</v>
      </c>
      <c r="AN79" s="190">
        <f t="shared" si="4"/>
        <v>0</v>
      </c>
      <c r="AO79" s="190">
        <f t="shared" si="4"/>
        <v>0</v>
      </c>
    </row>
    <row r="80" spans="4:43" x14ac:dyDescent="0.25">
      <c r="D80"/>
      <c r="E80" s="105"/>
      <c r="F80" t="s">
        <v>159</v>
      </c>
      <c r="G80" t="s">
        <v>165</v>
      </c>
      <c r="H80" s="78"/>
      <c r="J80" s="190">
        <f t="shared" ref="J80:AO80" si="5">INDEX($J62:$Y62,J$54)</f>
        <v>0.40999688257340583</v>
      </c>
      <c r="K80" s="190">
        <f t="shared" si="5"/>
        <v>0.40999688257340583</v>
      </c>
      <c r="L80" s="190">
        <f t="shared" si="5"/>
        <v>0.40999688257340583</v>
      </c>
      <c r="M80" s="190">
        <f t="shared" si="5"/>
        <v>0.40999688257340583</v>
      </c>
      <c r="N80" s="190">
        <f t="shared" si="5"/>
        <v>0.40999688257340583</v>
      </c>
      <c r="O80" s="190">
        <f t="shared" si="5"/>
        <v>0.40999688257340583</v>
      </c>
      <c r="P80" s="190">
        <f t="shared" si="5"/>
        <v>0.40999688257340583</v>
      </c>
      <c r="Q80" s="190">
        <f t="shared" si="5"/>
        <v>0.40999688257340583</v>
      </c>
      <c r="R80" s="190">
        <f t="shared" si="5"/>
        <v>0.40999688257340583</v>
      </c>
      <c r="S80" s="190">
        <f t="shared" si="5"/>
        <v>0.40999688257340583</v>
      </c>
      <c r="T80" s="190">
        <f t="shared" si="5"/>
        <v>0.40999688257340583</v>
      </c>
      <c r="U80" s="190">
        <f t="shared" si="5"/>
        <v>0.40999688257340583</v>
      </c>
      <c r="V80" s="190">
        <f t="shared" si="5"/>
        <v>0.40999688257340583</v>
      </c>
      <c r="W80" s="190">
        <f t="shared" si="5"/>
        <v>0</v>
      </c>
      <c r="X80" s="190">
        <f t="shared" si="5"/>
        <v>0</v>
      </c>
      <c r="Y80" s="190">
        <f t="shared" si="5"/>
        <v>0</v>
      </c>
      <c r="Z80" s="190">
        <f t="shared" si="5"/>
        <v>0</v>
      </c>
      <c r="AA80" s="190">
        <f t="shared" si="5"/>
        <v>0</v>
      </c>
      <c r="AB80" s="190">
        <f t="shared" si="5"/>
        <v>0</v>
      </c>
      <c r="AC80" s="190">
        <f t="shared" si="5"/>
        <v>0</v>
      </c>
      <c r="AD80" s="190">
        <f t="shared" si="5"/>
        <v>0</v>
      </c>
      <c r="AE80" s="190">
        <f t="shared" si="5"/>
        <v>0</v>
      </c>
      <c r="AF80" s="190">
        <f t="shared" si="5"/>
        <v>0</v>
      </c>
      <c r="AG80" s="190">
        <f t="shared" si="5"/>
        <v>0.40999688257340583</v>
      </c>
      <c r="AH80" s="190">
        <f t="shared" si="5"/>
        <v>0</v>
      </c>
      <c r="AI80" s="190">
        <f t="shared" si="5"/>
        <v>0</v>
      </c>
      <c r="AJ80" s="190">
        <f t="shared" si="5"/>
        <v>0</v>
      </c>
      <c r="AK80" s="190">
        <f t="shared" si="5"/>
        <v>0</v>
      </c>
      <c r="AL80" s="190">
        <f t="shared" si="5"/>
        <v>0</v>
      </c>
      <c r="AM80" s="190">
        <f t="shared" si="5"/>
        <v>0</v>
      </c>
      <c r="AN80" s="190">
        <f t="shared" si="5"/>
        <v>0</v>
      </c>
      <c r="AO80" s="190">
        <f t="shared" si="5"/>
        <v>0</v>
      </c>
    </row>
    <row r="81" spans="3:43" x14ac:dyDescent="0.25">
      <c r="D81"/>
      <c r="E81" s="105"/>
      <c r="F81" s="96" t="s">
        <v>160</v>
      </c>
      <c r="G81" s="96" t="s">
        <v>165</v>
      </c>
      <c r="H81" s="297"/>
      <c r="I81" s="96"/>
      <c r="J81" s="199">
        <f t="shared" ref="J81:AO81" si="6">INDEX($J63:$Y63,J$54)</f>
        <v>0.40999688257340583</v>
      </c>
      <c r="K81" s="199">
        <f t="shared" si="6"/>
        <v>0.40999688257340583</v>
      </c>
      <c r="L81" s="199">
        <f t="shared" si="6"/>
        <v>0.40999688257340583</v>
      </c>
      <c r="M81" s="199">
        <f t="shared" si="6"/>
        <v>0.40999688257340583</v>
      </c>
      <c r="N81" s="199">
        <f t="shared" si="6"/>
        <v>0.40999688257340583</v>
      </c>
      <c r="O81" s="199">
        <f t="shared" si="6"/>
        <v>0.40999688257340583</v>
      </c>
      <c r="P81" s="199">
        <f t="shared" si="6"/>
        <v>0.40999688257340583</v>
      </c>
      <c r="Q81" s="199">
        <f t="shared" si="6"/>
        <v>0.40999688257340583</v>
      </c>
      <c r="R81" s="199">
        <f t="shared" si="6"/>
        <v>0.40999688257340583</v>
      </c>
      <c r="S81" s="199">
        <f t="shared" si="6"/>
        <v>0.40999688257340583</v>
      </c>
      <c r="T81" s="199">
        <f t="shared" si="6"/>
        <v>0.40999688257340583</v>
      </c>
      <c r="U81" s="199">
        <f t="shared" si="6"/>
        <v>0.40999688257340583</v>
      </c>
      <c r="V81" s="199">
        <f t="shared" si="6"/>
        <v>0.40999688257340583</v>
      </c>
      <c r="W81" s="199">
        <f t="shared" si="6"/>
        <v>0</v>
      </c>
      <c r="X81" s="199">
        <f t="shared" si="6"/>
        <v>0</v>
      </c>
      <c r="Y81" s="199">
        <f t="shared" si="6"/>
        <v>0</v>
      </c>
      <c r="Z81" s="199">
        <f t="shared" si="6"/>
        <v>0</v>
      </c>
      <c r="AA81" s="199">
        <f t="shared" si="6"/>
        <v>0</v>
      </c>
      <c r="AB81" s="199">
        <f t="shared" si="6"/>
        <v>0</v>
      </c>
      <c r="AC81" s="199">
        <f t="shared" si="6"/>
        <v>0</v>
      </c>
      <c r="AD81" s="199">
        <f t="shared" si="6"/>
        <v>0</v>
      </c>
      <c r="AE81" s="199">
        <f t="shared" si="6"/>
        <v>0</v>
      </c>
      <c r="AF81" s="199">
        <f t="shared" si="6"/>
        <v>0</v>
      </c>
      <c r="AG81" s="199">
        <f t="shared" si="6"/>
        <v>0.40999688257340583</v>
      </c>
      <c r="AH81" s="199">
        <f t="shared" si="6"/>
        <v>0</v>
      </c>
      <c r="AI81" s="199">
        <f t="shared" si="6"/>
        <v>0</v>
      </c>
      <c r="AJ81" s="199">
        <f t="shared" si="6"/>
        <v>0</v>
      </c>
      <c r="AK81" s="199">
        <f t="shared" si="6"/>
        <v>0</v>
      </c>
      <c r="AL81" s="199">
        <f t="shared" si="6"/>
        <v>0</v>
      </c>
      <c r="AM81" s="199">
        <f t="shared" si="6"/>
        <v>0</v>
      </c>
      <c r="AN81" s="199">
        <f t="shared" si="6"/>
        <v>0</v>
      </c>
      <c r="AO81" s="199">
        <f t="shared" si="6"/>
        <v>0</v>
      </c>
    </row>
    <row r="82" spans="3:43" x14ac:dyDescent="0.25">
      <c r="D82" s="105"/>
      <c r="E82"/>
    </row>
    <row r="83" spans="3:43" x14ac:dyDescent="0.25">
      <c r="D83"/>
      <c r="E83" s="105" t="s">
        <v>704</v>
      </c>
      <c r="I83" t="s">
        <v>152</v>
      </c>
      <c r="AQ83" t="s">
        <v>383</v>
      </c>
    </row>
    <row r="84" spans="3:43" x14ac:dyDescent="0.25">
      <c r="D84"/>
      <c r="E84" s="105"/>
      <c r="F84" s="95" t="s">
        <v>154</v>
      </c>
      <c r="G84" s="95" t="s">
        <v>165</v>
      </c>
      <c r="H84" s="236"/>
      <c r="I84" s="95"/>
      <c r="J84" s="198">
        <f>INDEX($J66:$Y66,J$54)</f>
        <v>0.60376444392351947</v>
      </c>
      <c r="K84" s="198">
        <f t="shared" ref="K84:AO84" si="7">INDEX($J66:$Y66,K$54)</f>
        <v>0.60376444392351947</v>
      </c>
      <c r="L84" s="198">
        <f t="shared" si="7"/>
        <v>0.60376444392351947</v>
      </c>
      <c r="M84" s="198">
        <f t="shared" si="7"/>
        <v>0.60376444392351947</v>
      </c>
      <c r="N84" s="198">
        <f t="shared" si="7"/>
        <v>0.60376444392351947</v>
      </c>
      <c r="O84" s="198">
        <f t="shared" si="7"/>
        <v>0.60376444392351947</v>
      </c>
      <c r="P84" s="198">
        <f t="shared" si="7"/>
        <v>0.60376444392351947</v>
      </c>
      <c r="Q84" s="198">
        <f t="shared" si="7"/>
        <v>0.60376444392351947</v>
      </c>
      <c r="R84" s="198">
        <f t="shared" si="7"/>
        <v>0.60376444392351947</v>
      </c>
      <c r="S84" s="198">
        <f t="shared" si="7"/>
        <v>0.60376444392351947</v>
      </c>
      <c r="T84" s="198">
        <f t="shared" si="7"/>
        <v>0.60376444392351947</v>
      </c>
      <c r="U84" s="198">
        <f t="shared" si="7"/>
        <v>0.60376444392351947</v>
      </c>
      <c r="V84" s="198">
        <f t="shared" si="7"/>
        <v>0.60376444392351947</v>
      </c>
      <c r="W84" s="198">
        <f t="shared" si="7"/>
        <v>0.32468019364035799</v>
      </c>
      <c r="X84" s="198">
        <f t="shared" si="7"/>
        <v>0.32468019364035799</v>
      </c>
      <c r="Y84" s="198">
        <f t="shared" si="7"/>
        <v>0.32468019364035799</v>
      </c>
      <c r="Z84" s="198">
        <f t="shared" si="7"/>
        <v>0.32468019364035799</v>
      </c>
      <c r="AA84" s="198">
        <f t="shared" si="7"/>
        <v>0.32468019364035799</v>
      </c>
      <c r="AB84" s="198">
        <f t="shared" si="7"/>
        <v>0.16961170739746073</v>
      </c>
      <c r="AC84" s="198">
        <f t="shared" si="7"/>
        <v>0.16961170739746073</v>
      </c>
      <c r="AD84" s="198">
        <f t="shared" si="7"/>
        <v>0.16961170739746073</v>
      </c>
      <c r="AE84" s="198">
        <f t="shared" si="7"/>
        <v>0.16961170739746073</v>
      </c>
      <c r="AF84" s="198">
        <f t="shared" si="7"/>
        <v>0.16961170739746073</v>
      </c>
      <c r="AG84" s="198">
        <f t="shared" si="7"/>
        <v>0.60376444392351947</v>
      </c>
      <c r="AH84" s="198">
        <f t="shared" si="7"/>
        <v>0</v>
      </c>
      <c r="AI84" s="198">
        <f t="shared" si="7"/>
        <v>0</v>
      </c>
      <c r="AJ84" s="198">
        <f t="shared" si="7"/>
        <v>0</v>
      </c>
      <c r="AK84" s="198">
        <f t="shared" si="7"/>
        <v>0</v>
      </c>
      <c r="AL84" s="198">
        <f t="shared" si="7"/>
        <v>0</v>
      </c>
      <c r="AM84" s="198">
        <f t="shared" si="7"/>
        <v>0</v>
      </c>
      <c r="AN84" s="198">
        <f t="shared" si="7"/>
        <v>0</v>
      </c>
      <c r="AO84" s="198">
        <f t="shared" si="7"/>
        <v>0</v>
      </c>
    </row>
    <row r="85" spans="3:43" x14ac:dyDescent="0.25">
      <c r="D85"/>
      <c r="E85" s="105"/>
      <c r="F85" t="s">
        <v>155</v>
      </c>
      <c r="G85" t="s">
        <v>165</v>
      </c>
      <c r="H85" s="78"/>
      <c r="J85" s="190">
        <f t="shared" ref="J85:AO85" si="8">INDEX($J67:$Y67,J$54)</f>
        <v>0.60376444392351947</v>
      </c>
      <c r="K85" s="190">
        <f t="shared" si="8"/>
        <v>0.60376444392351947</v>
      </c>
      <c r="L85" s="190">
        <f t="shared" si="8"/>
        <v>0.60376444392351947</v>
      </c>
      <c r="M85" s="190">
        <f t="shared" si="8"/>
        <v>0.60376444392351947</v>
      </c>
      <c r="N85" s="190">
        <f t="shared" si="8"/>
        <v>0.60376444392351947</v>
      </c>
      <c r="O85" s="190">
        <f t="shared" si="8"/>
        <v>0.60376444392351947</v>
      </c>
      <c r="P85" s="190">
        <f t="shared" si="8"/>
        <v>0.60376444392351947</v>
      </c>
      <c r="Q85" s="190">
        <f t="shared" si="8"/>
        <v>0.60376444392351947</v>
      </c>
      <c r="R85" s="190">
        <f t="shared" si="8"/>
        <v>0.60376444392351947</v>
      </c>
      <c r="S85" s="190">
        <f t="shared" si="8"/>
        <v>0.60376444392351947</v>
      </c>
      <c r="T85" s="190">
        <f t="shared" si="8"/>
        <v>0.60376444392351947</v>
      </c>
      <c r="U85" s="190">
        <f t="shared" si="8"/>
        <v>0.60376444392351947</v>
      </c>
      <c r="V85" s="190">
        <f t="shared" si="8"/>
        <v>0.60376444392351947</v>
      </c>
      <c r="W85" s="190">
        <f t="shared" si="8"/>
        <v>0.32468019364035799</v>
      </c>
      <c r="X85" s="190">
        <f t="shared" si="8"/>
        <v>0.32468019364035799</v>
      </c>
      <c r="Y85" s="190">
        <f t="shared" si="8"/>
        <v>0.32468019364035799</v>
      </c>
      <c r="Z85" s="190">
        <f t="shared" si="8"/>
        <v>0.32468019364035799</v>
      </c>
      <c r="AA85" s="190">
        <f t="shared" si="8"/>
        <v>0.32468019364035799</v>
      </c>
      <c r="AB85" s="190">
        <f t="shared" si="8"/>
        <v>0.16961170739746073</v>
      </c>
      <c r="AC85" s="190">
        <f t="shared" si="8"/>
        <v>0.16961170739746073</v>
      </c>
      <c r="AD85" s="190">
        <f t="shared" si="8"/>
        <v>0.16961170739746073</v>
      </c>
      <c r="AE85" s="190">
        <f t="shared" si="8"/>
        <v>0.16961170739746073</v>
      </c>
      <c r="AF85" s="190">
        <f t="shared" si="8"/>
        <v>0.16961170739746073</v>
      </c>
      <c r="AG85" s="190">
        <f t="shared" si="8"/>
        <v>0.60376444392351947</v>
      </c>
      <c r="AH85" s="190">
        <f t="shared" si="8"/>
        <v>0</v>
      </c>
      <c r="AI85" s="190">
        <f t="shared" si="8"/>
        <v>0</v>
      </c>
      <c r="AJ85" s="190">
        <f t="shared" si="8"/>
        <v>0</v>
      </c>
      <c r="AK85" s="190">
        <f t="shared" si="8"/>
        <v>0</v>
      </c>
      <c r="AL85" s="190">
        <f t="shared" si="8"/>
        <v>0</v>
      </c>
      <c r="AM85" s="190">
        <f t="shared" si="8"/>
        <v>0</v>
      </c>
      <c r="AN85" s="190">
        <f t="shared" si="8"/>
        <v>0</v>
      </c>
      <c r="AO85" s="190">
        <f t="shared" si="8"/>
        <v>0</v>
      </c>
    </row>
    <row r="86" spans="3:43" x14ac:dyDescent="0.25">
      <c r="D86"/>
      <c r="E86" s="105"/>
      <c r="F86" t="s">
        <v>156</v>
      </c>
      <c r="G86" t="s">
        <v>165</v>
      </c>
      <c r="H86" s="78"/>
      <c r="J86" s="190">
        <f t="shared" ref="J86:AO86" si="9">INDEX($J68:$Y68,J$54)</f>
        <v>0.60376444392351947</v>
      </c>
      <c r="K86" s="190">
        <f t="shared" si="9"/>
        <v>0.60376444392351947</v>
      </c>
      <c r="L86" s="190">
        <f t="shared" si="9"/>
        <v>0.60376444392351947</v>
      </c>
      <c r="M86" s="190">
        <f t="shared" si="9"/>
        <v>0.60376444392351947</v>
      </c>
      <c r="N86" s="190">
        <f t="shared" si="9"/>
        <v>0.60376444392351947</v>
      </c>
      <c r="O86" s="190">
        <f t="shared" si="9"/>
        <v>0.60376444392351947</v>
      </c>
      <c r="P86" s="190">
        <f t="shared" si="9"/>
        <v>0.60376444392351947</v>
      </c>
      <c r="Q86" s="190">
        <f t="shared" si="9"/>
        <v>0.60376444392351947</v>
      </c>
      <c r="R86" s="190">
        <f t="shared" si="9"/>
        <v>0.60376444392351947</v>
      </c>
      <c r="S86" s="190">
        <f t="shared" si="9"/>
        <v>0.60376444392351947</v>
      </c>
      <c r="T86" s="190">
        <f t="shared" si="9"/>
        <v>0.60376444392351947</v>
      </c>
      <c r="U86" s="190">
        <f t="shared" si="9"/>
        <v>0.60376444392351947</v>
      </c>
      <c r="V86" s="190">
        <f t="shared" si="9"/>
        <v>0.60376444392351947</v>
      </c>
      <c r="W86" s="190">
        <f t="shared" si="9"/>
        <v>0.32468019364035799</v>
      </c>
      <c r="X86" s="190">
        <f t="shared" si="9"/>
        <v>0.32468019364035799</v>
      </c>
      <c r="Y86" s="190">
        <f t="shared" si="9"/>
        <v>0.32468019364035799</v>
      </c>
      <c r="Z86" s="190">
        <f t="shared" si="9"/>
        <v>0.32468019364035799</v>
      </c>
      <c r="AA86" s="190">
        <f t="shared" si="9"/>
        <v>0.32468019364035799</v>
      </c>
      <c r="AB86" s="190">
        <f t="shared" si="9"/>
        <v>0.16961170739746073</v>
      </c>
      <c r="AC86" s="190">
        <f t="shared" si="9"/>
        <v>0.16961170739746073</v>
      </c>
      <c r="AD86" s="190">
        <f t="shared" si="9"/>
        <v>0.16961170739746073</v>
      </c>
      <c r="AE86" s="190">
        <f t="shared" si="9"/>
        <v>0.16961170739746073</v>
      </c>
      <c r="AF86" s="190">
        <f t="shared" si="9"/>
        <v>0.16961170739746073</v>
      </c>
      <c r="AG86" s="190">
        <f t="shared" si="9"/>
        <v>0.60376444392351947</v>
      </c>
      <c r="AH86" s="190">
        <f t="shared" si="9"/>
        <v>0</v>
      </c>
      <c r="AI86" s="190">
        <f t="shared" si="9"/>
        <v>0</v>
      </c>
      <c r="AJ86" s="190">
        <f t="shared" si="9"/>
        <v>0</v>
      </c>
      <c r="AK86" s="190">
        <f t="shared" si="9"/>
        <v>0</v>
      </c>
      <c r="AL86" s="190">
        <f t="shared" si="9"/>
        <v>0</v>
      </c>
      <c r="AM86" s="190">
        <f t="shared" si="9"/>
        <v>0</v>
      </c>
      <c r="AN86" s="190">
        <f t="shared" si="9"/>
        <v>0</v>
      </c>
      <c r="AO86" s="190">
        <f t="shared" si="9"/>
        <v>0</v>
      </c>
    </row>
    <row r="87" spans="3:43" x14ac:dyDescent="0.25">
      <c r="D87"/>
      <c r="E87" s="105"/>
      <c r="F87" t="s">
        <v>157</v>
      </c>
      <c r="G87" t="s">
        <v>165</v>
      </c>
      <c r="H87" s="78"/>
      <c r="J87" s="190">
        <f t="shared" ref="J87:AO87" si="10">INDEX($J69:$Y69,J$54)</f>
        <v>0.60376444392351947</v>
      </c>
      <c r="K87" s="190">
        <f t="shared" si="10"/>
        <v>0.60376444392351947</v>
      </c>
      <c r="L87" s="190">
        <f t="shared" si="10"/>
        <v>0.60376444392351947</v>
      </c>
      <c r="M87" s="190">
        <f t="shared" si="10"/>
        <v>0.60376444392351947</v>
      </c>
      <c r="N87" s="190">
        <f t="shared" si="10"/>
        <v>0.60376444392351947</v>
      </c>
      <c r="O87" s="190">
        <f t="shared" si="10"/>
        <v>0.60376444392351947</v>
      </c>
      <c r="P87" s="190">
        <f t="shared" si="10"/>
        <v>0.60376444392351947</v>
      </c>
      <c r="Q87" s="190">
        <f t="shared" si="10"/>
        <v>0.60376444392351947</v>
      </c>
      <c r="R87" s="190">
        <f t="shared" si="10"/>
        <v>0.60376444392351947</v>
      </c>
      <c r="S87" s="190">
        <f t="shared" si="10"/>
        <v>0.60376444392351947</v>
      </c>
      <c r="T87" s="190">
        <f t="shared" si="10"/>
        <v>0.60376444392351947</v>
      </c>
      <c r="U87" s="190">
        <f t="shared" si="10"/>
        <v>0.60376444392351947</v>
      </c>
      <c r="V87" s="190">
        <f t="shared" si="10"/>
        <v>0.60376444392351947</v>
      </c>
      <c r="W87" s="190">
        <f t="shared" si="10"/>
        <v>0.32468019364035799</v>
      </c>
      <c r="X87" s="190">
        <f t="shared" si="10"/>
        <v>0.32468019364035799</v>
      </c>
      <c r="Y87" s="190">
        <f t="shared" si="10"/>
        <v>0.32468019364035799</v>
      </c>
      <c r="Z87" s="190">
        <f t="shared" si="10"/>
        <v>0.32468019364035799</v>
      </c>
      <c r="AA87" s="190">
        <f t="shared" si="10"/>
        <v>0.32468019364035799</v>
      </c>
      <c r="AB87" s="190">
        <f t="shared" si="10"/>
        <v>0.16961170739746073</v>
      </c>
      <c r="AC87" s="190">
        <f t="shared" si="10"/>
        <v>0.16961170739746073</v>
      </c>
      <c r="AD87" s="190">
        <f t="shared" si="10"/>
        <v>0.16961170739746073</v>
      </c>
      <c r="AE87" s="190">
        <f t="shared" si="10"/>
        <v>0.16961170739746073</v>
      </c>
      <c r="AF87" s="190">
        <f t="shared" si="10"/>
        <v>0.16961170739746073</v>
      </c>
      <c r="AG87" s="190">
        <f t="shared" si="10"/>
        <v>0.60376444392351947</v>
      </c>
      <c r="AH87" s="190">
        <f t="shared" si="10"/>
        <v>1</v>
      </c>
      <c r="AI87" s="190">
        <f t="shared" si="10"/>
        <v>1</v>
      </c>
      <c r="AJ87" s="190">
        <f t="shared" si="10"/>
        <v>1</v>
      </c>
      <c r="AK87" s="190">
        <f t="shared" si="10"/>
        <v>1</v>
      </c>
      <c r="AL87" s="190">
        <f t="shared" si="10"/>
        <v>1</v>
      </c>
      <c r="AM87" s="190">
        <f t="shared" si="10"/>
        <v>1</v>
      </c>
      <c r="AN87" s="190">
        <f t="shared" si="10"/>
        <v>1</v>
      </c>
      <c r="AO87" s="190">
        <f t="shared" si="10"/>
        <v>1</v>
      </c>
    </row>
    <row r="88" spans="3:43" x14ac:dyDescent="0.25">
      <c r="D88"/>
      <c r="E88" s="105"/>
      <c r="F88" t="s">
        <v>158</v>
      </c>
      <c r="G88" t="s">
        <v>165</v>
      </c>
      <c r="H88" s="78"/>
      <c r="J88" s="190">
        <f t="shared" ref="J88:AO88" si="11">INDEX($J70:$Y70,J$54)</f>
        <v>0.60376444392351947</v>
      </c>
      <c r="K88" s="190">
        <f t="shared" si="11"/>
        <v>0.60376444392351947</v>
      </c>
      <c r="L88" s="190">
        <f t="shared" si="11"/>
        <v>0.60376444392351947</v>
      </c>
      <c r="M88" s="190">
        <f t="shared" si="11"/>
        <v>0.60376444392351947</v>
      </c>
      <c r="N88" s="190">
        <f t="shared" si="11"/>
        <v>0.60376444392351947</v>
      </c>
      <c r="O88" s="190">
        <f t="shared" si="11"/>
        <v>0.60376444392351947</v>
      </c>
      <c r="P88" s="190">
        <f t="shared" si="11"/>
        <v>0.60376444392351947</v>
      </c>
      <c r="Q88" s="190">
        <f t="shared" si="11"/>
        <v>0.60376444392351947</v>
      </c>
      <c r="R88" s="190">
        <f t="shared" si="11"/>
        <v>0.60376444392351947</v>
      </c>
      <c r="S88" s="190">
        <f t="shared" si="11"/>
        <v>0.60376444392351947</v>
      </c>
      <c r="T88" s="190">
        <f t="shared" si="11"/>
        <v>0.60376444392351947</v>
      </c>
      <c r="U88" s="190">
        <f t="shared" si="11"/>
        <v>0.60376444392351947</v>
      </c>
      <c r="V88" s="190">
        <f t="shared" si="11"/>
        <v>0.60376444392351947</v>
      </c>
      <c r="W88" s="190">
        <f t="shared" si="11"/>
        <v>0.32468019364035799</v>
      </c>
      <c r="X88" s="190">
        <f t="shared" si="11"/>
        <v>0.32468019364035799</v>
      </c>
      <c r="Y88" s="190">
        <f t="shared" si="11"/>
        <v>0.32468019364035799</v>
      </c>
      <c r="Z88" s="190">
        <f t="shared" si="11"/>
        <v>0.32468019364035799</v>
      </c>
      <c r="AA88" s="190">
        <f t="shared" si="11"/>
        <v>0.32468019364035799</v>
      </c>
      <c r="AB88" s="190">
        <f t="shared" si="11"/>
        <v>0.16961170739746073</v>
      </c>
      <c r="AC88" s="190">
        <f t="shared" si="11"/>
        <v>0.16961170739746073</v>
      </c>
      <c r="AD88" s="190">
        <f t="shared" si="11"/>
        <v>0.16961170739746073</v>
      </c>
      <c r="AE88" s="190">
        <f t="shared" si="11"/>
        <v>0.16961170739746073</v>
      </c>
      <c r="AF88" s="190">
        <f t="shared" si="11"/>
        <v>0.16961170739746073</v>
      </c>
      <c r="AG88" s="190">
        <f t="shared" si="11"/>
        <v>0.60376444392351947</v>
      </c>
      <c r="AH88" s="190">
        <f t="shared" si="11"/>
        <v>0</v>
      </c>
      <c r="AI88" s="190">
        <f t="shared" si="11"/>
        <v>0</v>
      </c>
      <c r="AJ88" s="190">
        <f t="shared" si="11"/>
        <v>0</v>
      </c>
      <c r="AK88" s="190">
        <f t="shared" si="11"/>
        <v>0</v>
      </c>
      <c r="AL88" s="190">
        <f t="shared" si="11"/>
        <v>0</v>
      </c>
      <c r="AM88" s="190">
        <f t="shared" si="11"/>
        <v>0</v>
      </c>
      <c r="AN88" s="190">
        <f t="shared" si="11"/>
        <v>0</v>
      </c>
      <c r="AO88" s="190">
        <f t="shared" si="11"/>
        <v>0</v>
      </c>
    </row>
    <row r="89" spans="3:43" x14ac:dyDescent="0.25">
      <c r="D89"/>
      <c r="E89" s="105"/>
      <c r="F89" t="s">
        <v>159</v>
      </c>
      <c r="G89" t="s">
        <v>165</v>
      </c>
      <c r="H89" s="78"/>
      <c r="J89" s="190">
        <f t="shared" ref="J89:AO89" si="12">INDEX($J71:$Y71,J$54)</f>
        <v>0.60376444392351947</v>
      </c>
      <c r="K89" s="190">
        <f t="shared" si="12"/>
        <v>0.60376444392351947</v>
      </c>
      <c r="L89" s="190">
        <f t="shared" si="12"/>
        <v>0.60376444392351947</v>
      </c>
      <c r="M89" s="190">
        <f t="shared" si="12"/>
        <v>0.60376444392351947</v>
      </c>
      <c r="N89" s="190">
        <f t="shared" si="12"/>
        <v>0.60376444392351947</v>
      </c>
      <c r="O89" s="190">
        <f t="shared" si="12"/>
        <v>0.60376444392351947</v>
      </c>
      <c r="P89" s="190">
        <f t="shared" si="12"/>
        <v>0.60376444392351947</v>
      </c>
      <c r="Q89" s="190">
        <f t="shared" si="12"/>
        <v>0.60376444392351947</v>
      </c>
      <c r="R89" s="190">
        <f t="shared" si="12"/>
        <v>0.60376444392351947</v>
      </c>
      <c r="S89" s="190">
        <f t="shared" si="12"/>
        <v>0.60376444392351947</v>
      </c>
      <c r="T89" s="190">
        <f t="shared" si="12"/>
        <v>0.60376444392351947</v>
      </c>
      <c r="U89" s="190">
        <f t="shared" si="12"/>
        <v>0.60376444392351947</v>
      </c>
      <c r="V89" s="190">
        <f t="shared" si="12"/>
        <v>0.60376444392351947</v>
      </c>
      <c r="W89" s="190">
        <f t="shared" si="12"/>
        <v>0.32468019364035799</v>
      </c>
      <c r="X89" s="190">
        <f t="shared" si="12"/>
        <v>0.32468019364035799</v>
      </c>
      <c r="Y89" s="190">
        <f t="shared" si="12"/>
        <v>0.32468019364035799</v>
      </c>
      <c r="Z89" s="190">
        <f t="shared" si="12"/>
        <v>0.32468019364035799</v>
      </c>
      <c r="AA89" s="190">
        <f t="shared" si="12"/>
        <v>0.32468019364035799</v>
      </c>
      <c r="AB89" s="190">
        <f t="shared" si="12"/>
        <v>0.16961170739746073</v>
      </c>
      <c r="AC89" s="190">
        <f t="shared" si="12"/>
        <v>0.16961170739746073</v>
      </c>
      <c r="AD89" s="190">
        <f t="shared" si="12"/>
        <v>0.16961170739746073</v>
      </c>
      <c r="AE89" s="190">
        <f t="shared" si="12"/>
        <v>0.16961170739746073</v>
      </c>
      <c r="AF89" s="190">
        <f t="shared" si="12"/>
        <v>0.16961170739746073</v>
      </c>
      <c r="AG89" s="190">
        <f t="shared" si="12"/>
        <v>0.60376444392351947</v>
      </c>
      <c r="AH89" s="190">
        <f t="shared" si="12"/>
        <v>0</v>
      </c>
      <c r="AI89" s="190">
        <f t="shared" si="12"/>
        <v>0</v>
      </c>
      <c r="AJ89" s="190">
        <f t="shared" si="12"/>
        <v>0</v>
      </c>
      <c r="AK89" s="190">
        <f t="shared" si="12"/>
        <v>0</v>
      </c>
      <c r="AL89" s="190">
        <f t="shared" si="12"/>
        <v>0</v>
      </c>
      <c r="AM89" s="190">
        <f t="shared" si="12"/>
        <v>0</v>
      </c>
      <c r="AN89" s="190">
        <f t="shared" si="12"/>
        <v>0</v>
      </c>
      <c r="AO89" s="190">
        <f t="shared" si="12"/>
        <v>0</v>
      </c>
    </row>
    <row r="90" spans="3:43" x14ac:dyDescent="0.25">
      <c r="D90"/>
      <c r="E90" s="105"/>
      <c r="F90" s="96" t="s">
        <v>160</v>
      </c>
      <c r="G90" s="96" t="s">
        <v>165</v>
      </c>
      <c r="H90" s="297"/>
      <c r="I90" s="96"/>
      <c r="J90" s="199">
        <f t="shared" ref="J90:AO90" si="13">INDEX($J72:$Y72,J$54)</f>
        <v>0.60376444392351947</v>
      </c>
      <c r="K90" s="199">
        <f t="shared" si="13"/>
        <v>0.60376444392351947</v>
      </c>
      <c r="L90" s="199">
        <f t="shared" si="13"/>
        <v>0.60376444392351947</v>
      </c>
      <c r="M90" s="199">
        <f t="shared" si="13"/>
        <v>0.60376444392351947</v>
      </c>
      <c r="N90" s="199">
        <f t="shared" si="13"/>
        <v>0.60376444392351947</v>
      </c>
      <c r="O90" s="199">
        <f t="shared" si="13"/>
        <v>0.60376444392351947</v>
      </c>
      <c r="P90" s="199">
        <f t="shared" si="13"/>
        <v>0.60376444392351947</v>
      </c>
      <c r="Q90" s="199">
        <f t="shared" si="13"/>
        <v>0.60376444392351947</v>
      </c>
      <c r="R90" s="199">
        <f t="shared" si="13"/>
        <v>0.60376444392351947</v>
      </c>
      <c r="S90" s="199">
        <f t="shared" si="13"/>
        <v>0.60376444392351947</v>
      </c>
      <c r="T90" s="199">
        <f t="shared" si="13"/>
        <v>0.60376444392351947</v>
      </c>
      <c r="U90" s="199">
        <f t="shared" si="13"/>
        <v>0.60376444392351947</v>
      </c>
      <c r="V90" s="199">
        <f t="shared" si="13"/>
        <v>0.60376444392351947</v>
      </c>
      <c r="W90" s="199">
        <f t="shared" si="13"/>
        <v>0.32468019364035799</v>
      </c>
      <c r="X90" s="199">
        <f t="shared" si="13"/>
        <v>0.32468019364035799</v>
      </c>
      <c r="Y90" s="199">
        <f t="shared" si="13"/>
        <v>0.32468019364035799</v>
      </c>
      <c r="Z90" s="199">
        <f t="shared" si="13"/>
        <v>0.32468019364035799</v>
      </c>
      <c r="AA90" s="199">
        <f t="shared" si="13"/>
        <v>0.32468019364035799</v>
      </c>
      <c r="AB90" s="199">
        <f t="shared" si="13"/>
        <v>0.16961170739746073</v>
      </c>
      <c r="AC90" s="199">
        <f t="shared" si="13"/>
        <v>0.16961170739746073</v>
      </c>
      <c r="AD90" s="199">
        <f t="shared" si="13"/>
        <v>0.16961170739746073</v>
      </c>
      <c r="AE90" s="199">
        <f t="shared" si="13"/>
        <v>0.16961170739746073</v>
      </c>
      <c r="AF90" s="199">
        <f t="shared" si="13"/>
        <v>0.16961170739746073</v>
      </c>
      <c r="AG90" s="199">
        <f t="shared" si="13"/>
        <v>0.60376444392351947</v>
      </c>
      <c r="AH90" s="199">
        <f t="shared" si="13"/>
        <v>0</v>
      </c>
      <c r="AI90" s="199">
        <f t="shared" si="13"/>
        <v>0</v>
      </c>
      <c r="AJ90" s="199">
        <f t="shared" si="13"/>
        <v>0</v>
      </c>
      <c r="AK90" s="199">
        <f t="shared" si="13"/>
        <v>0</v>
      </c>
      <c r="AL90" s="199">
        <f t="shared" si="13"/>
        <v>0</v>
      </c>
      <c r="AM90" s="199">
        <f t="shared" si="13"/>
        <v>0</v>
      </c>
      <c r="AN90" s="199">
        <f t="shared" si="13"/>
        <v>0</v>
      </c>
      <c r="AO90" s="199">
        <f t="shared" si="13"/>
        <v>0</v>
      </c>
    </row>
    <row r="91" spans="3:43" x14ac:dyDescent="0.25">
      <c r="D91" s="105"/>
      <c r="E91"/>
    </row>
    <row r="92" spans="3:43" x14ac:dyDescent="0.2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25">
      <c r="E94" s="75" t="s">
        <v>705</v>
      </c>
      <c r="I94" t="s">
        <v>152</v>
      </c>
      <c r="AQ94" t="s">
        <v>153</v>
      </c>
    </row>
    <row r="95" spans="3:43" x14ac:dyDescent="0.25">
      <c r="C95" s="105"/>
      <c r="F95" s="95" t="s">
        <v>154</v>
      </c>
      <c r="G95" s="95" t="s">
        <v>147</v>
      </c>
      <c r="H95" s="236">
        <f>'Fixed inputs'!H26</f>
        <v>3</v>
      </c>
    </row>
    <row r="96" spans="3:43" x14ac:dyDescent="0.25">
      <c r="C96" s="105"/>
      <c r="F96" t="s">
        <v>155</v>
      </c>
      <c r="G96" t="s">
        <v>147</v>
      </c>
      <c r="H96" s="78">
        <f>'Fixed inputs'!H27</f>
        <v>3</v>
      </c>
    </row>
    <row r="97" spans="2:43" x14ac:dyDescent="0.25">
      <c r="C97" s="105"/>
      <c r="F97" t="s">
        <v>156</v>
      </c>
      <c r="G97" t="s">
        <v>147</v>
      </c>
      <c r="H97" s="78">
        <f>'Fixed inputs'!H28</f>
        <v>3</v>
      </c>
    </row>
    <row r="98" spans="2:43" x14ac:dyDescent="0.25">
      <c r="C98" s="105"/>
      <c r="F98" t="s">
        <v>157</v>
      </c>
      <c r="G98" t="s">
        <v>147</v>
      </c>
      <c r="H98" s="78">
        <f>'Fixed inputs'!H29</f>
        <v>2</v>
      </c>
    </row>
    <row r="99" spans="2:43" x14ac:dyDescent="0.25">
      <c r="C99" s="105"/>
      <c r="F99" t="s">
        <v>158</v>
      </c>
      <c r="G99" t="s">
        <v>147</v>
      </c>
      <c r="H99" s="78">
        <f>'Fixed inputs'!H30</f>
        <v>2</v>
      </c>
    </row>
    <row r="100" spans="2:43" x14ac:dyDescent="0.25">
      <c r="C100" s="105"/>
      <c r="F100" t="s">
        <v>159</v>
      </c>
      <c r="G100" t="s">
        <v>147</v>
      </c>
      <c r="H100" s="78">
        <f>'Fixed inputs'!H31</f>
        <v>2</v>
      </c>
    </row>
    <row r="101" spans="2:43" x14ac:dyDescent="0.25">
      <c r="C101" s="105"/>
      <c r="F101" s="96" t="s">
        <v>160</v>
      </c>
      <c r="G101" s="96" t="s">
        <v>147</v>
      </c>
      <c r="H101" s="297">
        <f>'Fixed inputs'!H32</f>
        <v>3</v>
      </c>
    </row>
    <row r="102" spans="2:43" x14ac:dyDescent="0.25">
      <c r="C102" s="105"/>
    </row>
    <row r="103" spans="2:43" x14ac:dyDescent="0.25">
      <c r="B103" s="85" t="s">
        <v>706</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25">
      <c r="C105" s="86" t="s">
        <v>707</v>
      </c>
    </row>
    <row r="107" spans="2:43" x14ac:dyDescent="0.2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25">
      <c r="D109"/>
      <c r="E109" s="75" t="s">
        <v>708</v>
      </c>
      <c r="F109" s="75"/>
    </row>
    <row r="110" spans="2:43" x14ac:dyDescent="0.25">
      <c r="D110"/>
      <c r="E110" s="105"/>
      <c r="F110" s="95" t="s">
        <v>154</v>
      </c>
      <c r="G110" s="95" t="s">
        <v>267</v>
      </c>
      <c r="H110" s="277"/>
      <c r="I110" s="265"/>
      <c r="J110" s="282">
        <f xml:space="preserve"> J20 + J32</f>
        <v>11.239126343152897</v>
      </c>
      <c r="K110" s="282">
        <f t="shared" ref="K110:AO110" si="14" xml:space="preserve"> K20 + K32</f>
        <v>11.239126343152897</v>
      </c>
      <c r="L110" s="282">
        <f t="shared" si="14"/>
        <v>12.822603869331022</v>
      </c>
      <c r="M110" s="282">
        <f t="shared" si="14"/>
        <v>12.822603869331022</v>
      </c>
      <c r="N110" s="282">
        <f t="shared" si="14"/>
        <v>12.822603869331022</v>
      </c>
      <c r="O110" s="282">
        <f t="shared" si="14"/>
        <v>12.822603869331022</v>
      </c>
      <c r="P110" s="282">
        <f t="shared" si="14"/>
        <v>12.822603869331022</v>
      </c>
      <c r="Q110" s="282">
        <f t="shared" si="14"/>
        <v>12.822603869331022</v>
      </c>
      <c r="R110" s="282">
        <f t="shared" si="14"/>
        <v>8.5220918944034256</v>
      </c>
      <c r="S110" s="282">
        <f t="shared" si="14"/>
        <v>8.5220918944034256</v>
      </c>
      <c r="T110" s="282">
        <f t="shared" si="14"/>
        <v>8.5220918944034256</v>
      </c>
      <c r="U110" s="282">
        <f t="shared" si="14"/>
        <v>8.5220918944034256</v>
      </c>
      <c r="V110" s="282">
        <f t="shared" si="14"/>
        <v>8.5220918944034256</v>
      </c>
      <c r="W110" s="282">
        <f t="shared" si="14"/>
        <v>4.63380659366329</v>
      </c>
      <c r="X110" s="282">
        <f t="shared" si="14"/>
        <v>4.63380659366329</v>
      </c>
      <c r="Y110" s="282">
        <f t="shared" si="14"/>
        <v>4.63380659366329</v>
      </c>
      <c r="Z110" s="282">
        <f t="shared" si="14"/>
        <v>4.63380659366329</v>
      </c>
      <c r="AA110" s="282">
        <f t="shared" si="14"/>
        <v>4.63380659366329</v>
      </c>
      <c r="AB110" s="282">
        <f t="shared" si="14"/>
        <v>3.403264536607697</v>
      </c>
      <c r="AC110" s="282">
        <f t="shared" si="14"/>
        <v>3.403264536607697</v>
      </c>
      <c r="AD110" s="282">
        <f t="shared" si="14"/>
        <v>3.403264536607697</v>
      </c>
      <c r="AE110" s="282">
        <f t="shared" si="14"/>
        <v>3.403264536607697</v>
      </c>
      <c r="AF110" s="282">
        <f t="shared" si="14"/>
        <v>3.403264536607697</v>
      </c>
      <c r="AG110" s="282">
        <f t="shared" si="14"/>
        <v>33.483533246708348</v>
      </c>
      <c r="AH110" s="282">
        <f t="shared" si="14"/>
        <v>-7.7355062211753616</v>
      </c>
      <c r="AI110" s="282">
        <f t="shared" si="14"/>
        <v>-6.5177917537082717</v>
      </c>
      <c r="AJ110" s="282">
        <f t="shared" si="14"/>
        <v>-7.7355062211753616</v>
      </c>
      <c r="AK110" s="282">
        <f t="shared" si="14"/>
        <v>-7.7355062211753616</v>
      </c>
      <c r="AL110" s="282">
        <f t="shared" si="14"/>
        <v>-6.5177917537082717</v>
      </c>
      <c r="AM110" s="282">
        <f t="shared" si="14"/>
        <v>-6.5177917537082717</v>
      </c>
      <c r="AN110" s="282">
        <f t="shared" si="14"/>
        <v>-3.8842640314732568</v>
      </c>
      <c r="AO110" s="282">
        <f t="shared" si="14"/>
        <v>-3.8842640314732568</v>
      </c>
      <c r="AP110" s="267"/>
      <c r="AQ110" s="267"/>
    </row>
    <row r="111" spans="2:43" x14ac:dyDescent="0.25">
      <c r="D111"/>
      <c r="E111" s="105"/>
      <c r="F111" t="s">
        <v>155</v>
      </c>
      <c r="G111" t="s">
        <v>267</v>
      </c>
      <c r="H111" s="278"/>
      <c r="I111" s="267"/>
      <c r="J111" s="281">
        <f t="shared" ref="J111" si="15" xml:space="preserve"> J21 + J33</f>
        <v>1.7019365165233478</v>
      </c>
      <c r="K111" s="281">
        <f t="shared" ref="K111:AO111" si="16" xml:space="preserve"> K21 + K33</f>
        <v>1.7019365165233478</v>
      </c>
      <c r="L111" s="281">
        <f t="shared" si="16"/>
        <v>1.9417219004236221</v>
      </c>
      <c r="M111" s="281">
        <f t="shared" si="16"/>
        <v>1.9417219004236221</v>
      </c>
      <c r="N111" s="281">
        <f t="shared" si="16"/>
        <v>1.9417219004236221</v>
      </c>
      <c r="O111" s="281">
        <f t="shared" si="16"/>
        <v>1.9417219004236221</v>
      </c>
      <c r="P111" s="281">
        <f t="shared" si="16"/>
        <v>1.9417219004236221</v>
      </c>
      <c r="Q111" s="281">
        <f t="shared" si="16"/>
        <v>1.9417219004236221</v>
      </c>
      <c r="R111" s="281">
        <f t="shared" si="16"/>
        <v>1.2552732468687873</v>
      </c>
      <c r="S111" s="281">
        <f t="shared" si="16"/>
        <v>1.2552732468687873</v>
      </c>
      <c r="T111" s="281">
        <f t="shared" si="16"/>
        <v>1.2552732468687873</v>
      </c>
      <c r="U111" s="281">
        <f t="shared" si="16"/>
        <v>1.2552732468687873</v>
      </c>
      <c r="V111" s="281">
        <f t="shared" si="16"/>
        <v>1.2552732468687873</v>
      </c>
      <c r="W111" s="281">
        <f t="shared" si="16"/>
        <v>0.62630044190997236</v>
      </c>
      <c r="X111" s="281">
        <f t="shared" si="16"/>
        <v>0.62630044190997236</v>
      </c>
      <c r="Y111" s="281">
        <f t="shared" si="16"/>
        <v>0.62630044190997236</v>
      </c>
      <c r="Z111" s="281">
        <f t="shared" si="16"/>
        <v>0.62630044190997236</v>
      </c>
      <c r="AA111" s="281">
        <f t="shared" si="16"/>
        <v>0.62630044190997236</v>
      </c>
      <c r="AB111" s="281">
        <f t="shared" si="16"/>
        <v>0.426988795557245</v>
      </c>
      <c r="AC111" s="281">
        <f t="shared" si="16"/>
        <v>0.426988795557245</v>
      </c>
      <c r="AD111" s="281">
        <f t="shared" si="16"/>
        <v>0.426988795557245</v>
      </c>
      <c r="AE111" s="281">
        <f t="shared" si="16"/>
        <v>0.426988795557245</v>
      </c>
      <c r="AF111" s="281">
        <f t="shared" si="16"/>
        <v>0.426988795557245</v>
      </c>
      <c r="AG111" s="281">
        <f t="shared" si="16"/>
        <v>1.8130050103056501</v>
      </c>
      <c r="AH111" s="281">
        <f t="shared" si="16"/>
        <v>-1.1713846886001484</v>
      </c>
      <c r="AI111" s="281">
        <f t="shared" si="16"/>
        <v>-0.97201750043234769</v>
      </c>
      <c r="AJ111" s="281">
        <f t="shared" si="16"/>
        <v>-1.1713846886001484</v>
      </c>
      <c r="AK111" s="281">
        <f t="shared" si="16"/>
        <v>-1.1713846886001484</v>
      </c>
      <c r="AL111" s="281">
        <f t="shared" si="16"/>
        <v>-0.97201750043234769</v>
      </c>
      <c r="AM111" s="281">
        <f t="shared" si="16"/>
        <v>-0.97201750043234769</v>
      </c>
      <c r="AN111" s="281">
        <f t="shared" si="16"/>
        <v>-0.5249930548964733</v>
      </c>
      <c r="AO111" s="281">
        <f t="shared" si="16"/>
        <v>-0.5249930548964733</v>
      </c>
      <c r="AP111" s="267"/>
      <c r="AQ111" s="267"/>
    </row>
    <row r="112" spans="2:43" x14ac:dyDescent="0.25">
      <c r="D112"/>
      <c r="E112" s="105"/>
      <c r="F112" t="s">
        <v>156</v>
      </c>
      <c r="G112" t="s">
        <v>267</v>
      </c>
      <c r="H112" s="278"/>
      <c r="I112" s="267"/>
      <c r="J112" s="281">
        <f t="shared" ref="J112" si="17" xml:space="preserve"> J22 + J34</f>
        <v>0.23964140375829796</v>
      </c>
      <c r="K112" s="281">
        <f t="shared" ref="K112:AO112" si="18" xml:space="preserve"> K22 + K34</f>
        <v>0.23964140375829796</v>
      </c>
      <c r="L112" s="281">
        <f t="shared" si="18"/>
        <v>0.27340441750217515</v>
      </c>
      <c r="M112" s="281">
        <f t="shared" si="18"/>
        <v>0.27340441750217515</v>
      </c>
      <c r="N112" s="281">
        <f t="shared" si="18"/>
        <v>0.27340441750217515</v>
      </c>
      <c r="O112" s="281">
        <f t="shared" si="18"/>
        <v>0.27340441750217515</v>
      </c>
      <c r="P112" s="281">
        <f t="shared" si="18"/>
        <v>0.27340441750217515</v>
      </c>
      <c r="Q112" s="281">
        <f t="shared" si="18"/>
        <v>0.27340441750217515</v>
      </c>
      <c r="R112" s="281">
        <f t="shared" si="18"/>
        <v>0.17893320502249527</v>
      </c>
      <c r="S112" s="281">
        <f t="shared" si="18"/>
        <v>0.17893320502249527</v>
      </c>
      <c r="T112" s="281">
        <f t="shared" si="18"/>
        <v>0.17893320502249527</v>
      </c>
      <c r="U112" s="281">
        <f t="shared" si="18"/>
        <v>0.17893320502249527</v>
      </c>
      <c r="V112" s="281">
        <f t="shared" si="18"/>
        <v>0.17893320502249527</v>
      </c>
      <c r="W112" s="281">
        <f t="shared" si="18"/>
        <v>9.2861688090222647E-2</v>
      </c>
      <c r="X112" s="281">
        <f t="shared" si="18"/>
        <v>9.2861688090222647E-2</v>
      </c>
      <c r="Y112" s="281">
        <f t="shared" si="18"/>
        <v>9.2861688090222647E-2</v>
      </c>
      <c r="Z112" s="281">
        <f t="shared" si="18"/>
        <v>9.2861688090222647E-2</v>
      </c>
      <c r="AA112" s="281">
        <f t="shared" si="18"/>
        <v>9.2861688090222647E-2</v>
      </c>
      <c r="AB112" s="281">
        <f t="shared" si="18"/>
        <v>6.5601945657101715E-2</v>
      </c>
      <c r="AC112" s="281">
        <f t="shared" si="18"/>
        <v>6.5601945657101715E-2</v>
      </c>
      <c r="AD112" s="281">
        <f t="shared" si="18"/>
        <v>6.5601945657101715E-2</v>
      </c>
      <c r="AE112" s="281">
        <f t="shared" si="18"/>
        <v>6.5601945657101715E-2</v>
      </c>
      <c r="AF112" s="281">
        <f t="shared" si="18"/>
        <v>6.5601945657101715E-2</v>
      </c>
      <c r="AG112" s="281">
        <f t="shared" si="18"/>
        <v>0.49790752695526319</v>
      </c>
      <c r="AH112" s="281">
        <f t="shared" si="18"/>
        <v>-0.16493698113402308</v>
      </c>
      <c r="AI112" s="281">
        <f t="shared" si="18"/>
        <v>-0.13779331844062356</v>
      </c>
      <c r="AJ112" s="281">
        <f t="shared" si="18"/>
        <v>-0.16493698113402308</v>
      </c>
      <c r="AK112" s="281">
        <f t="shared" si="18"/>
        <v>-0.16493698113402308</v>
      </c>
      <c r="AL112" s="281">
        <f t="shared" si="18"/>
        <v>-0.13779331844062356</v>
      </c>
      <c r="AM112" s="281">
        <f t="shared" si="18"/>
        <v>-0.13779331844062356</v>
      </c>
      <c r="AN112" s="281">
        <f t="shared" si="18"/>
        <v>-7.784082215343105E-2</v>
      </c>
      <c r="AO112" s="281">
        <f t="shared" si="18"/>
        <v>-7.784082215343105E-2</v>
      </c>
      <c r="AP112" s="267"/>
      <c r="AQ112" s="267"/>
    </row>
    <row r="113" spans="3:43" x14ac:dyDescent="0.25">
      <c r="D113"/>
      <c r="E113" s="105"/>
      <c r="F113" t="s">
        <v>157</v>
      </c>
      <c r="G113" t="s">
        <v>268</v>
      </c>
      <c r="H113" s="78"/>
      <c r="J113" s="168">
        <f t="shared" ref="J113" si="19" xml:space="preserve"> J23 + J35</f>
        <v>17.966478477253119</v>
      </c>
      <c r="K113" s="168">
        <f t="shared" ref="K113:AO113" si="20" xml:space="preserve"> K23 + K35</f>
        <v>0</v>
      </c>
      <c r="L113" s="168">
        <f t="shared" si="20"/>
        <v>14.711610424126482</v>
      </c>
      <c r="M113" s="168">
        <f t="shared" si="20"/>
        <v>16.734138258487437</v>
      </c>
      <c r="N113" s="168">
        <f t="shared" si="20"/>
        <v>20.211395753618291</v>
      </c>
      <c r="O113" s="168">
        <f t="shared" si="20"/>
        <v>26.541547327929923</v>
      </c>
      <c r="P113" s="168">
        <f t="shared" si="20"/>
        <v>46.581441831962444</v>
      </c>
      <c r="Q113" s="168">
        <f t="shared" si="20"/>
        <v>0</v>
      </c>
      <c r="R113" s="168">
        <f t="shared" si="20"/>
        <v>15.245335464261153</v>
      </c>
      <c r="S113" s="168">
        <f t="shared" si="20"/>
        <v>68.393748223980637</v>
      </c>
      <c r="T113" s="168">
        <f t="shared" si="20"/>
        <v>129.89281701526201</v>
      </c>
      <c r="U113" s="168">
        <f t="shared" si="20"/>
        <v>194.73667444040714</v>
      </c>
      <c r="V113" s="168">
        <f t="shared" si="20"/>
        <v>482.85844095283056</v>
      </c>
      <c r="W113" s="168">
        <f t="shared" si="20"/>
        <v>15.245335464261153</v>
      </c>
      <c r="X113" s="168">
        <f t="shared" si="20"/>
        <v>68.393748223980637</v>
      </c>
      <c r="Y113" s="168">
        <f t="shared" si="20"/>
        <v>129.89281701526201</v>
      </c>
      <c r="Z113" s="168">
        <f t="shared" si="20"/>
        <v>194.7366744404072</v>
      </c>
      <c r="AA113" s="168">
        <f t="shared" si="20"/>
        <v>482.85844095283039</v>
      </c>
      <c r="AB113" s="168">
        <f t="shared" si="20"/>
        <v>316.6556440359268</v>
      </c>
      <c r="AC113" s="168">
        <f t="shared" si="20"/>
        <v>681.68943545039178</v>
      </c>
      <c r="AD113" s="168">
        <f t="shared" si="20"/>
        <v>1316.399114933623</v>
      </c>
      <c r="AE113" s="168">
        <f t="shared" si="20"/>
        <v>2103.4187130979058</v>
      </c>
      <c r="AF113" s="168">
        <f t="shared" si="20"/>
        <v>5182.2207958523741</v>
      </c>
      <c r="AG113" s="168">
        <f t="shared" si="20"/>
        <v>0</v>
      </c>
      <c r="AH113" s="168">
        <f t="shared" si="20"/>
        <v>0</v>
      </c>
      <c r="AI113" s="168">
        <f t="shared" si="20"/>
        <v>0</v>
      </c>
      <c r="AJ113" s="168">
        <f t="shared" si="20"/>
        <v>0</v>
      </c>
      <c r="AK113" s="168">
        <f t="shared" si="20"/>
        <v>0</v>
      </c>
      <c r="AL113" s="168">
        <f t="shared" si="20"/>
        <v>0</v>
      </c>
      <c r="AM113" s="168">
        <f t="shared" si="20"/>
        <v>0</v>
      </c>
      <c r="AN113" s="168">
        <f t="shared" si="20"/>
        <v>70.642345390577461</v>
      </c>
      <c r="AO113" s="168">
        <f t="shared" si="20"/>
        <v>70.642345390577461</v>
      </c>
    </row>
    <row r="114" spans="3:43" x14ac:dyDescent="0.25">
      <c r="D114"/>
      <c r="E114" s="105"/>
      <c r="F114" t="s">
        <v>158</v>
      </c>
      <c r="G114" t="s">
        <v>269</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5.4829568334079246</v>
      </c>
      <c r="S114" s="168">
        <f t="shared" si="22"/>
        <v>5.4829568334079246</v>
      </c>
      <c r="T114" s="168">
        <f t="shared" si="22"/>
        <v>5.4829568334079246</v>
      </c>
      <c r="U114" s="168">
        <f t="shared" si="22"/>
        <v>5.4829568334079246</v>
      </c>
      <c r="V114" s="168">
        <f t="shared" si="22"/>
        <v>5.4829568334079246</v>
      </c>
      <c r="W114" s="168">
        <f t="shared" si="22"/>
        <v>5.1462397254002887</v>
      </c>
      <c r="X114" s="168">
        <f t="shared" si="22"/>
        <v>5.1462397254002887</v>
      </c>
      <c r="Y114" s="168">
        <f t="shared" si="22"/>
        <v>5.1462397254002887</v>
      </c>
      <c r="Z114" s="168">
        <f t="shared" si="22"/>
        <v>5.1462397254002887</v>
      </c>
      <c r="AA114" s="168">
        <f t="shared" si="22"/>
        <v>5.1462397254002887</v>
      </c>
      <c r="AB114" s="168">
        <f t="shared" si="22"/>
        <v>5.6015504360226798</v>
      </c>
      <c r="AC114" s="168">
        <f t="shared" si="22"/>
        <v>5.6015504360226798</v>
      </c>
      <c r="AD114" s="168">
        <f t="shared" si="22"/>
        <v>5.6015504360226798</v>
      </c>
      <c r="AE114" s="168">
        <f t="shared" si="22"/>
        <v>5.6015504360226798</v>
      </c>
      <c r="AF114" s="168">
        <f t="shared" si="22"/>
        <v>5.6015504360226798</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25">
      <c r="D115"/>
      <c r="E115" s="105"/>
      <c r="F115" t="s">
        <v>159</v>
      </c>
      <c r="G115" t="s">
        <v>269</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5.4829568334079246</v>
      </c>
      <c r="S115" s="168">
        <f t="shared" si="24"/>
        <v>5.4829568334079246</v>
      </c>
      <c r="T115" s="168">
        <f t="shared" si="24"/>
        <v>5.4829568334079246</v>
      </c>
      <c r="U115" s="168">
        <f t="shared" si="24"/>
        <v>5.4829568334079246</v>
      </c>
      <c r="V115" s="168">
        <f t="shared" si="24"/>
        <v>5.4829568334079246</v>
      </c>
      <c r="W115" s="168">
        <f t="shared" si="24"/>
        <v>5.1462397254002887</v>
      </c>
      <c r="X115" s="168">
        <f t="shared" si="24"/>
        <v>5.1462397254002887</v>
      </c>
      <c r="Y115" s="168">
        <f t="shared" si="24"/>
        <v>5.1462397254002887</v>
      </c>
      <c r="Z115" s="168">
        <f t="shared" si="24"/>
        <v>5.1462397254002887</v>
      </c>
      <c r="AA115" s="168">
        <f t="shared" si="24"/>
        <v>5.1462397254002887</v>
      </c>
      <c r="AB115" s="168">
        <f t="shared" si="24"/>
        <v>5.6015504360226798</v>
      </c>
      <c r="AC115" s="168">
        <f t="shared" si="24"/>
        <v>5.6015504360226798</v>
      </c>
      <c r="AD115" s="168">
        <f t="shared" si="24"/>
        <v>5.6015504360226798</v>
      </c>
      <c r="AE115" s="168">
        <f t="shared" si="24"/>
        <v>5.6015504360226798</v>
      </c>
      <c r="AF115" s="168">
        <f t="shared" si="24"/>
        <v>5.6015504360226798</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25">
      <c r="D116"/>
      <c r="E116" s="105"/>
      <c r="F116" s="96" t="s">
        <v>160</v>
      </c>
      <c r="G116" s="96" t="s">
        <v>270</v>
      </c>
      <c r="H116" s="310"/>
      <c r="I116" s="269"/>
      <c r="J116" s="347">
        <f t="shared" ref="J116" si="25" xml:space="preserve"> J26 + J38</f>
        <v>0</v>
      </c>
      <c r="K116" s="347">
        <f t="shared" ref="K116:AO116" si="26" xml:space="preserve"> K26 + K38</f>
        <v>0</v>
      </c>
      <c r="L116" s="347">
        <f t="shared" si="26"/>
        <v>0</v>
      </c>
      <c r="M116" s="347">
        <f t="shared" si="26"/>
        <v>0</v>
      </c>
      <c r="N116" s="347">
        <f t="shared" si="26"/>
        <v>0</v>
      </c>
      <c r="O116" s="347">
        <f t="shared" si="26"/>
        <v>0</v>
      </c>
      <c r="P116" s="347">
        <f t="shared" si="26"/>
        <v>0</v>
      </c>
      <c r="Q116" s="347">
        <f t="shared" si="26"/>
        <v>0</v>
      </c>
      <c r="R116" s="347">
        <f t="shared" si="26"/>
        <v>0.16262775407449134</v>
      </c>
      <c r="S116" s="347">
        <f t="shared" si="26"/>
        <v>0.16262775407449134</v>
      </c>
      <c r="T116" s="347">
        <f t="shared" si="26"/>
        <v>0.16262775407449134</v>
      </c>
      <c r="U116" s="347">
        <f t="shared" si="26"/>
        <v>0.16262775407449134</v>
      </c>
      <c r="V116" s="347">
        <f t="shared" si="26"/>
        <v>0.16262775407449134</v>
      </c>
      <c r="W116" s="347">
        <f t="shared" si="26"/>
        <v>8.7332745999980935E-2</v>
      </c>
      <c r="X116" s="347">
        <f t="shared" si="26"/>
        <v>8.7332745999980935E-2</v>
      </c>
      <c r="Y116" s="347">
        <f t="shared" si="26"/>
        <v>8.7332745999980935E-2</v>
      </c>
      <c r="Z116" s="347">
        <f t="shared" si="26"/>
        <v>8.7332745999980935E-2</v>
      </c>
      <c r="AA116" s="347">
        <f t="shared" si="26"/>
        <v>8.7332745999980935E-2</v>
      </c>
      <c r="AB116" s="347">
        <f t="shared" si="26"/>
        <v>6.3104669794093876E-2</v>
      </c>
      <c r="AC116" s="347">
        <f t="shared" si="26"/>
        <v>6.3104669794093876E-2</v>
      </c>
      <c r="AD116" s="347">
        <f t="shared" si="26"/>
        <v>6.3104669794093876E-2</v>
      </c>
      <c r="AE116" s="347">
        <f t="shared" si="26"/>
        <v>6.3104669794093876E-2</v>
      </c>
      <c r="AF116" s="347">
        <f t="shared" si="26"/>
        <v>6.3104669794093876E-2</v>
      </c>
      <c r="AG116" s="347">
        <f t="shared" si="26"/>
        <v>0</v>
      </c>
      <c r="AH116" s="347">
        <f t="shared" si="26"/>
        <v>0</v>
      </c>
      <c r="AI116" s="347">
        <f t="shared" si="26"/>
        <v>0</v>
      </c>
      <c r="AJ116" s="347">
        <f t="shared" si="26"/>
        <v>0.1295170343436588</v>
      </c>
      <c r="AK116" s="347">
        <f t="shared" si="26"/>
        <v>0</v>
      </c>
      <c r="AL116" s="347">
        <f t="shared" si="26"/>
        <v>0.12223023204846202</v>
      </c>
      <c r="AM116" s="347">
        <f t="shared" si="26"/>
        <v>0</v>
      </c>
      <c r="AN116" s="347">
        <f t="shared" si="26"/>
        <v>0.10789719559042603</v>
      </c>
      <c r="AO116" s="347">
        <f t="shared" si="26"/>
        <v>0</v>
      </c>
      <c r="AP116" s="267"/>
      <c r="AQ116" s="267"/>
    </row>
    <row r="117" spans="3:43" x14ac:dyDescent="0.2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2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2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25">
      <c r="E120" s="75" t="s">
        <v>840</v>
      </c>
      <c r="F120" s="75"/>
      <c r="I120" t="s">
        <v>152</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847</v>
      </c>
    </row>
    <row r="121" spans="3:43" x14ac:dyDescent="0.25">
      <c r="E121" s="105"/>
      <c r="F121" s="95" t="s">
        <v>154</v>
      </c>
      <c r="G121" s="95" t="s">
        <v>267</v>
      </c>
      <c r="H121" s="277"/>
      <c r="I121" s="265"/>
      <c r="J121" s="348">
        <f xml:space="preserve"> J110 + J44</f>
        <v>11.239126343152897</v>
      </c>
      <c r="K121" s="348">
        <f t="shared" ref="K121:AO121" si="27" xml:space="preserve"> K110 + K44</f>
        <v>11.239126343152897</v>
      </c>
      <c r="L121" s="348">
        <f t="shared" si="27"/>
        <v>12.822603869331022</v>
      </c>
      <c r="M121" s="348">
        <f t="shared" si="27"/>
        <v>12.822603869331022</v>
      </c>
      <c r="N121" s="348">
        <f t="shared" si="27"/>
        <v>12.822603869331022</v>
      </c>
      <c r="O121" s="348">
        <f t="shared" si="27"/>
        <v>12.822603869331022</v>
      </c>
      <c r="P121" s="348">
        <f t="shared" si="27"/>
        <v>12.822603869331022</v>
      </c>
      <c r="Q121" s="348">
        <f t="shared" si="27"/>
        <v>12.822603869331022</v>
      </c>
      <c r="R121" s="348">
        <f t="shared" si="27"/>
        <v>8.5220918944034256</v>
      </c>
      <c r="S121" s="348">
        <f t="shared" si="27"/>
        <v>8.5220918944034256</v>
      </c>
      <c r="T121" s="348">
        <f t="shared" si="27"/>
        <v>8.5220918944034256</v>
      </c>
      <c r="U121" s="348">
        <f t="shared" si="27"/>
        <v>8.5220918944034256</v>
      </c>
      <c r="V121" s="348">
        <f t="shared" si="27"/>
        <v>8.5220918944034256</v>
      </c>
      <c r="W121" s="348">
        <f t="shared" si="27"/>
        <v>4.63380659366329</v>
      </c>
      <c r="X121" s="348">
        <f t="shared" si="27"/>
        <v>4.63380659366329</v>
      </c>
      <c r="Y121" s="348">
        <f t="shared" si="27"/>
        <v>4.63380659366329</v>
      </c>
      <c r="Z121" s="348">
        <f t="shared" si="27"/>
        <v>4.63380659366329</v>
      </c>
      <c r="AA121" s="348">
        <f t="shared" si="27"/>
        <v>4.63380659366329</v>
      </c>
      <c r="AB121" s="348">
        <f t="shared" si="27"/>
        <v>3.403264536607697</v>
      </c>
      <c r="AC121" s="348">
        <f t="shared" si="27"/>
        <v>3.403264536607697</v>
      </c>
      <c r="AD121" s="348">
        <f t="shared" si="27"/>
        <v>3.403264536607697</v>
      </c>
      <c r="AE121" s="348">
        <f t="shared" si="27"/>
        <v>3.403264536607697</v>
      </c>
      <c r="AF121" s="348">
        <f t="shared" si="27"/>
        <v>3.403264536607697</v>
      </c>
      <c r="AG121" s="348">
        <f t="shared" si="27"/>
        <v>33.483533246708348</v>
      </c>
      <c r="AH121" s="348">
        <f t="shared" si="27"/>
        <v>-7.7355062211753616</v>
      </c>
      <c r="AI121" s="348">
        <f t="shared" si="27"/>
        <v>-6.5177917537082717</v>
      </c>
      <c r="AJ121" s="348">
        <f t="shared" si="27"/>
        <v>-7.7355062211753616</v>
      </c>
      <c r="AK121" s="348">
        <f t="shared" si="27"/>
        <v>-7.7355062211753616</v>
      </c>
      <c r="AL121" s="348">
        <f t="shared" si="27"/>
        <v>-6.5177917537082717</v>
      </c>
      <c r="AM121" s="348">
        <f t="shared" si="27"/>
        <v>-6.5177917537082717</v>
      </c>
      <c r="AN121" s="348">
        <f t="shared" si="27"/>
        <v>-3.8842640314732568</v>
      </c>
      <c r="AO121" s="348">
        <f t="shared" si="27"/>
        <v>-3.8842640314732568</v>
      </c>
      <c r="AP121" s="267"/>
      <c r="AQ121" s="267"/>
    </row>
    <row r="122" spans="3:43" x14ac:dyDescent="0.25">
      <c r="E122" s="105"/>
      <c r="F122" t="s">
        <v>155</v>
      </c>
      <c r="G122" t="s">
        <v>267</v>
      </c>
      <c r="H122" s="278"/>
      <c r="I122" s="267"/>
      <c r="J122" s="349">
        <f t="shared" ref="J122" si="28" xml:space="preserve"> J111 + J45</f>
        <v>1.7019365165233478</v>
      </c>
      <c r="K122" s="349">
        <f t="shared" ref="K122:AO122" si="29" xml:space="preserve"> K111 + K45</f>
        <v>1.7019365165233478</v>
      </c>
      <c r="L122" s="349">
        <f t="shared" si="29"/>
        <v>1.9417219004236221</v>
      </c>
      <c r="M122" s="349">
        <f t="shared" si="29"/>
        <v>1.9417219004236221</v>
      </c>
      <c r="N122" s="349">
        <f t="shared" si="29"/>
        <v>1.9417219004236221</v>
      </c>
      <c r="O122" s="349">
        <f t="shared" si="29"/>
        <v>1.9417219004236221</v>
      </c>
      <c r="P122" s="349">
        <f t="shared" si="29"/>
        <v>1.9417219004236221</v>
      </c>
      <c r="Q122" s="349">
        <f t="shared" si="29"/>
        <v>1.9417219004236221</v>
      </c>
      <c r="R122" s="349">
        <f t="shared" si="29"/>
        <v>1.2552732468687873</v>
      </c>
      <c r="S122" s="349">
        <f t="shared" si="29"/>
        <v>1.2552732468687873</v>
      </c>
      <c r="T122" s="349">
        <f t="shared" si="29"/>
        <v>1.2552732468687873</v>
      </c>
      <c r="U122" s="349">
        <f t="shared" si="29"/>
        <v>1.2552732468687873</v>
      </c>
      <c r="V122" s="349">
        <f t="shared" si="29"/>
        <v>1.2552732468687873</v>
      </c>
      <c r="W122" s="349">
        <f t="shared" si="29"/>
        <v>0.62630044190997236</v>
      </c>
      <c r="X122" s="349">
        <f t="shared" si="29"/>
        <v>0.62630044190997236</v>
      </c>
      <c r="Y122" s="349">
        <f t="shared" si="29"/>
        <v>0.62630044190997236</v>
      </c>
      <c r="Z122" s="349">
        <f t="shared" si="29"/>
        <v>0.62630044190997236</v>
      </c>
      <c r="AA122" s="349">
        <f t="shared" si="29"/>
        <v>0.62630044190997236</v>
      </c>
      <c r="AB122" s="349">
        <f t="shared" si="29"/>
        <v>0.426988795557245</v>
      </c>
      <c r="AC122" s="349">
        <f t="shared" si="29"/>
        <v>0.426988795557245</v>
      </c>
      <c r="AD122" s="349">
        <f t="shared" si="29"/>
        <v>0.426988795557245</v>
      </c>
      <c r="AE122" s="349">
        <f t="shared" si="29"/>
        <v>0.426988795557245</v>
      </c>
      <c r="AF122" s="349">
        <f t="shared" si="29"/>
        <v>0.426988795557245</v>
      </c>
      <c r="AG122" s="349">
        <f t="shared" si="29"/>
        <v>1.8130050103056501</v>
      </c>
      <c r="AH122" s="349">
        <f t="shared" si="29"/>
        <v>-1.1713846886001484</v>
      </c>
      <c r="AI122" s="349">
        <f t="shared" si="29"/>
        <v>-0.97201750043234769</v>
      </c>
      <c r="AJ122" s="349">
        <f t="shared" si="29"/>
        <v>-1.1713846886001484</v>
      </c>
      <c r="AK122" s="349">
        <f t="shared" si="29"/>
        <v>-1.1713846886001484</v>
      </c>
      <c r="AL122" s="349">
        <f t="shared" si="29"/>
        <v>-0.97201750043234769</v>
      </c>
      <c r="AM122" s="349">
        <f t="shared" si="29"/>
        <v>-0.97201750043234769</v>
      </c>
      <c r="AN122" s="349">
        <f t="shared" si="29"/>
        <v>-0.5249930548964733</v>
      </c>
      <c r="AO122" s="349">
        <f t="shared" si="29"/>
        <v>-0.5249930548964733</v>
      </c>
      <c r="AP122" s="267"/>
      <c r="AQ122" s="267"/>
    </row>
    <row r="123" spans="3:43" x14ac:dyDescent="0.25">
      <c r="E123" s="105"/>
      <c r="F123" t="s">
        <v>156</v>
      </c>
      <c r="G123" t="s">
        <v>267</v>
      </c>
      <c r="H123" s="278"/>
      <c r="I123" s="267"/>
      <c r="J123" s="349">
        <f t="shared" ref="J123" si="30" xml:space="preserve"> J112 + J46</f>
        <v>0.23964140375829796</v>
      </c>
      <c r="K123" s="349">
        <f t="shared" ref="K123:AO123" si="31" xml:space="preserve"> K112 + K46</f>
        <v>0.23964140375829796</v>
      </c>
      <c r="L123" s="349">
        <f t="shared" si="31"/>
        <v>0.27340441750217515</v>
      </c>
      <c r="M123" s="349">
        <f t="shared" si="31"/>
        <v>0.27340441750217515</v>
      </c>
      <c r="N123" s="349">
        <f t="shared" si="31"/>
        <v>0.27340441750217515</v>
      </c>
      <c r="O123" s="349">
        <f t="shared" si="31"/>
        <v>0.27340441750217515</v>
      </c>
      <c r="P123" s="349">
        <f t="shared" si="31"/>
        <v>0.27340441750217515</v>
      </c>
      <c r="Q123" s="349">
        <f t="shared" si="31"/>
        <v>0.27340441750217515</v>
      </c>
      <c r="R123" s="349">
        <f t="shared" si="31"/>
        <v>0.17893320502249527</v>
      </c>
      <c r="S123" s="349">
        <f t="shared" si="31"/>
        <v>0.17893320502249527</v>
      </c>
      <c r="T123" s="349">
        <f t="shared" si="31"/>
        <v>0.17893320502249527</v>
      </c>
      <c r="U123" s="349">
        <f t="shared" si="31"/>
        <v>0.17893320502249527</v>
      </c>
      <c r="V123" s="349">
        <f t="shared" si="31"/>
        <v>0.17893320502249527</v>
      </c>
      <c r="W123" s="349">
        <f t="shared" si="31"/>
        <v>9.2861688090222647E-2</v>
      </c>
      <c r="X123" s="349">
        <f t="shared" si="31"/>
        <v>9.2861688090222647E-2</v>
      </c>
      <c r="Y123" s="349">
        <f t="shared" si="31"/>
        <v>9.2861688090222647E-2</v>
      </c>
      <c r="Z123" s="349">
        <f t="shared" si="31"/>
        <v>9.2861688090222647E-2</v>
      </c>
      <c r="AA123" s="349">
        <f t="shared" si="31"/>
        <v>9.2861688090222647E-2</v>
      </c>
      <c r="AB123" s="349">
        <f t="shared" si="31"/>
        <v>6.5601945657101715E-2</v>
      </c>
      <c r="AC123" s="349">
        <f t="shared" si="31"/>
        <v>6.5601945657101715E-2</v>
      </c>
      <c r="AD123" s="349">
        <f t="shared" si="31"/>
        <v>6.5601945657101715E-2</v>
      </c>
      <c r="AE123" s="349">
        <f t="shared" si="31"/>
        <v>6.5601945657101715E-2</v>
      </c>
      <c r="AF123" s="349">
        <f t="shared" si="31"/>
        <v>6.5601945657101715E-2</v>
      </c>
      <c r="AG123" s="349">
        <f t="shared" si="31"/>
        <v>0.49790752695526319</v>
      </c>
      <c r="AH123" s="349">
        <f t="shared" si="31"/>
        <v>-0.16493698113402308</v>
      </c>
      <c r="AI123" s="349">
        <f t="shared" si="31"/>
        <v>-0.13779331844062356</v>
      </c>
      <c r="AJ123" s="349">
        <f t="shared" si="31"/>
        <v>-0.16493698113402308</v>
      </c>
      <c r="AK123" s="349">
        <f t="shared" si="31"/>
        <v>-0.16493698113402308</v>
      </c>
      <c r="AL123" s="349">
        <f t="shared" si="31"/>
        <v>-0.13779331844062356</v>
      </c>
      <c r="AM123" s="349">
        <f t="shared" si="31"/>
        <v>-0.13779331844062356</v>
      </c>
      <c r="AN123" s="349">
        <f t="shared" si="31"/>
        <v>-7.784082215343105E-2</v>
      </c>
      <c r="AO123" s="349">
        <f t="shared" si="31"/>
        <v>-7.784082215343105E-2</v>
      </c>
      <c r="AP123" s="267"/>
      <c r="AQ123" s="267"/>
    </row>
    <row r="124" spans="3:43" x14ac:dyDescent="0.25">
      <c r="E124" s="105"/>
      <c r="F124" t="s">
        <v>157</v>
      </c>
      <c r="G124" t="s">
        <v>268</v>
      </c>
      <c r="H124" s="78"/>
      <c r="J124" s="193">
        <f t="shared" ref="J124" si="32" xml:space="preserve"> J113 + J47</f>
        <v>17.966478477253119</v>
      </c>
      <c r="K124" s="193">
        <f t="shared" ref="K124:AO124" si="33" xml:space="preserve"> K113 + K47</f>
        <v>0</v>
      </c>
      <c r="L124" s="193">
        <f t="shared" si="33"/>
        <v>14.711610424126482</v>
      </c>
      <c r="M124" s="193">
        <f t="shared" si="33"/>
        <v>16.734138258487437</v>
      </c>
      <c r="N124" s="193">
        <f t="shared" si="33"/>
        <v>20.211395753618291</v>
      </c>
      <c r="O124" s="193">
        <f t="shared" si="33"/>
        <v>26.541547327929923</v>
      </c>
      <c r="P124" s="193">
        <f t="shared" si="33"/>
        <v>46.581441831962444</v>
      </c>
      <c r="Q124" s="193">
        <f t="shared" si="33"/>
        <v>0</v>
      </c>
      <c r="R124" s="193">
        <f t="shared" si="33"/>
        <v>15.245335464261153</v>
      </c>
      <c r="S124" s="193">
        <f t="shared" si="33"/>
        <v>68.393748223980637</v>
      </c>
      <c r="T124" s="193">
        <f t="shared" si="33"/>
        <v>129.89281701526201</v>
      </c>
      <c r="U124" s="193">
        <f t="shared" si="33"/>
        <v>194.73667444040714</v>
      </c>
      <c r="V124" s="193">
        <f t="shared" si="33"/>
        <v>482.85844095283056</v>
      </c>
      <c r="W124" s="193">
        <f t="shared" si="33"/>
        <v>15.245335464261153</v>
      </c>
      <c r="X124" s="193">
        <f t="shared" si="33"/>
        <v>68.393748223980637</v>
      </c>
      <c r="Y124" s="193">
        <f t="shared" si="33"/>
        <v>129.89281701526201</v>
      </c>
      <c r="Z124" s="193">
        <f t="shared" si="33"/>
        <v>194.7366744404072</v>
      </c>
      <c r="AA124" s="193">
        <f t="shared" si="33"/>
        <v>482.85844095283039</v>
      </c>
      <c r="AB124" s="193">
        <f t="shared" si="33"/>
        <v>316.6556440359268</v>
      </c>
      <c r="AC124" s="193">
        <f t="shared" si="33"/>
        <v>681.68943545039178</v>
      </c>
      <c r="AD124" s="193">
        <f t="shared" si="33"/>
        <v>1316.399114933623</v>
      </c>
      <c r="AE124" s="193">
        <f t="shared" si="33"/>
        <v>2103.4187130979058</v>
      </c>
      <c r="AF124" s="193">
        <f t="shared" si="33"/>
        <v>5182.2207958523741</v>
      </c>
      <c r="AG124" s="193">
        <f t="shared" si="33"/>
        <v>0</v>
      </c>
      <c r="AH124" s="193">
        <f t="shared" si="33"/>
        <v>0</v>
      </c>
      <c r="AI124" s="193">
        <f t="shared" si="33"/>
        <v>0</v>
      </c>
      <c r="AJ124" s="193">
        <f t="shared" si="33"/>
        <v>0</v>
      </c>
      <c r="AK124" s="193">
        <f t="shared" si="33"/>
        <v>0</v>
      </c>
      <c r="AL124" s="193">
        <f t="shared" si="33"/>
        <v>0</v>
      </c>
      <c r="AM124" s="193">
        <f t="shared" si="33"/>
        <v>0</v>
      </c>
      <c r="AN124" s="193">
        <f t="shared" si="33"/>
        <v>70.642345390577461</v>
      </c>
      <c r="AO124" s="193">
        <f t="shared" si="33"/>
        <v>70.642345390577461</v>
      </c>
    </row>
    <row r="125" spans="3:43" x14ac:dyDescent="0.25">
      <c r="E125" s="105"/>
      <c r="F125" t="s">
        <v>158</v>
      </c>
      <c r="G125" t="s">
        <v>269</v>
      </c>
      <c r="H125" s="78"/>
      <c r="J125" s="193">
        <f t="shared" ref="J125" si="34" xml:space="preserve"> J114 + J48</f>
        <v>0</v>
      </c>
      <c r="K125" s="193">
        <f t="shared" ref="K125:AO125" si="35" xml:space="preserve"> K114 + K48</f>
        <v>0</v>
      </c>
      <c r="L125" s="193">
        <f t="shared" si="35"/>
        <v>0</v>
      </c>
      <c r="M125" s="193">
        <f t="shared" si="35"/>
        <v>0</v>
      </c>
      <c r="N125" s="193">
        <f t="shared" si="35"/>
        <v>0</v>
      </c>
      <c r="O125" s="193">
        <f t="shared" si="35"/>
        <v>0</v>
      </c>
      <c r="P125" s="193">
        <f t="shared" si="35"/>
        <v>0</v>
      </c>
      <c r="Q125" s="193">
        <f t="shared" si="35"/>
        <v>0</v>
      </c>
      <c r="R125" s="193">
        <f t="shared" si="35"/>
        <v>5.4829568334079246</v>
      </c>
      <c r="S125" s="193">
        <f t="shared" si="35"/>
        <v>5.4829568334079246</v>
      </c>
      <c r="T125" s="193">
        <f t="shared" si="35"/>
        <v>5.4829568334079246</v>
      </c>
      <c r="U125" s="193">
        <f t="shared" si="35"/>
        <v>5.4829568334079246</v>
      </c>
      <c r="V125" s="193">
        <f t="shared" si="35"/>
        <v>5.4829568334079246</v>
      </c>
      <c r="W125" s="193">
        <f t="shared" si="35"/>
        <v>5.1462397254002887</v>
      </c>
      <c r="X125" s="193">
        <f t="shared" si="35"/>
        <v>5.1462397254002887</v>
      </c>
      <c r="Y125" s="193">
        <f t="shared" si="35"/>
        <v>5.1462397254002887</v>
      </c>
      <c r="Z125" s="193">
        <f t="shared" si="35"/>
        <v>5.1462397254002887</v>
      </c>
      <c r="AA125" s="193">
        <f t="shared" si="35"/>
        <v>5.1462397254002887</v>
      </c>
      <c r="AB125" s="193">
        <f t="shared" si="35"/>
        <v>5.6015504360226798</v>
      </c>
      <c r="AC125" s="193">
        <f t="shared" si="35"/>
        <v>5.6015504360226798</v>
      </c>
      <c r="AD125" s="193">
        <f t="shared" si="35"/>
        <v>5.6015504360226798</v>
      </c>
      <c r="AE125" s="193">
        <f t="shared" si="35"/>
        <v>5.6015504360226798</v>
      </c>
      <c r="AF125" s="193">
        <f t="shared" si="35"/>
        <v>5.6015504360226798</v>
      </c>
      <c r="AG125" s="193">
        <f t="shared" si="35"/>
        <v>0</v>
      </c>
      <c r="AH125" s="193">
        <f t="shared" si="35"/>
        <v>0</v>
      </c>
      <c r="AI125" s="193">
        <f t="shared" si="35"/>
        <v>0</v>
      </c>
      <c r="AJ125" s="193">
        <f t="shared" si="35"/>
        <v>0</v>
      </c>
      <c r="AK125" s="193">
        <f t="shared" si="35"/>
        <v>0</v>
      </c>
      <c r="AL125" s="193">
        <f t="shared" si="35"/>
        <v>0</v>
      </c>
      <c r="AM125" s="193">
        <f t="shared" si="35"/>
        <v>0</v>
      </c>
      <c r="AN125" s="193">
        <f t="shared" si="35"/>
        <v>0</v>
      </c>
      <c r="AO125" s="193">
        <f t="shared" si="35"/>
        <v>0</v>
      </c>
    </row>
    <row r="126" spans="3:43" x14ac:dyDescent="0.25">
      <c r="E126" s="105"/>
      <c r="F126" t="s">
        <v>159</v>
      </c>
      <c r="G126" t="s">
        <v>269</v>
      </c>
      <c r="H126" s="78"/>
      <c r="J126" s="193">
        <f t="shared" ref="J126" si="36" xml:space="preserve"> J115 + J49</f>
        <v>0</v>
      </c>
      <c r="K126" s="193">
        <f t="shared" ref="K126:AO126" si="37" xml:space="preserve"> K115 + K49</f>
        <v>0</v>
      </c>
      <c r="L126" s="193">
        <f t="shared" si="37"/>
        <v>0</v>
      </c>
      <c r="M126" s="193">
        <f t="shared" si="37"/>
        <v>0</v>
      </c>
      <c r="N126" s="193">
        <f t="shared" si="37"/>
        <v>0</v>
      </c>
      <c r="O126" s="193">
        <f t="shared" si="37"/>
        <v>0</v>
      </c>
      <c r="P126" s="193">
        <f t="shared" si="37"/>
        <v>0</v>
      </c>
      <c r="Q126" s="193">
        <f t="shared" si="37"/>
        <v>0</v>
      </c>
      <c r="R126" s="193">
        <f t="shared" si="37"/>
        <v>5.4829568334079246</v>
      </c>
      <c r="S126" s="193">
        <f t="shared" si="37"/>
        <v>5.4829568334079246</v>
      </c>
      <c r="T126" s="193">
        <f t="shared" si="37"/>
        <v>5.4829568334079246</v>
      </c>
      <c r="U126" s="193">
        <f t="shared" si="37"/>
        <v>5.4829568334079246</v>
      </c>
      <c r="V126" s="193">
        <f t="shared" si="37"/>
        <v>5.4829568334079246</v>
      </c>
      <c r="W126" s="193">
        <f t="shared" si="37"/>
        <v>5.1462397254002887</v>
      </c>
      <c r="X126" s="193">
        <f t="shared" si="37"/>
        <v>5.1462397254002887</v>
      </c>
      <c r="Y126" s="193">
        <f t="shared" si="37"/>
        <v>5.1462397254002887</v>
      </c>
      <c r="Z126" s="193">
        <f t="shared" si="37"/>
        <v>5.1462397254002887</v>
      </c>
      <c r="AA126" s="193">
        <f t="shared" si="37"/>
        <v>5.1462397254002887</v>
      </c>
      <c r="AB126" s="193">
        <f t="shared" si="37"/>
        <v>5.6015504360226798</v>
      </c>
      <c r="AC126" s="193">
        <f t="shared" si="37"/>
        <v>5.6015504360226798</v>
      </c>
      <c r="AD126" s="193">
        <f t="shared" si="37"/>
        <v>5.6015504360226798</v>
      </c>
      <c r="AE126" s="193">
        <f t="shared" si="37"/>
        <v>5.6015504360226798</v>
      </c>
      <c r="AF126" s="193">
        <f t="shared" si="37"/>
        <v>5.6015504360226798</v>
      </c>
      <c r="AG126" s="193">
        <f t="shared" si="37"/>
        <v>0</v>
      </c>
      <c r="AH126" s="193">
        <f t="shared" si="37"/>
        <v>0</v>
      </c>
      <c r="AI126" s="193">
        <f t="shared" si="37"/>
        <v>0</v>
      </c>
      <c r="AJ126" s="193">
        <f t="shared" si="37"/>
        <v>0</v>
      </c>
      <c r="AK126" s="193">
        <f t="shared" si="37"/>
        <v>0</v>
      </c>
      <c r="AL126" s="193">
        <f t="shared" si="37"/>
        <v>0</v>
      </c>
      <c r="AM126" s="193">
        <f t="shared" si="37"/>
        <v>0</v>
      </c>
      <c r="AN126" s="193">
        <f t="shared" si="37"/>
        <v>0</v>
      </c>
      <c r="AO126" s="193">
        <f t="shared" si="37"/>
        <v>0</v>
      </c>
    </row>
    <row r="127" spans="3:43" x14ac:dyDescent="0.25">
      <c r="E127" s="105"/>
      <c r="F127" s="96" t="s">
        <v>160</v>
      </c>
      <c r="G127" s="96" t="s">
        <v>270</v>
      </c>
      <c r="H127" s="310"/>
      <c r="I127" s="269"/>
      <c r="J127" s="347">
        <f t="shared" ref="J127" si="38" xml:space="preserve"> J116 + J50</f>
        <v>0</v>
      </c>
      <c r="K127" s="347">
        <f t="shared" ref="K127:AO127" si="39" xml:space="preserve"> K116 + K50</f>
        <v>0</v>
      </c>
      <c r="L127" s="347">
        <f t="shared" si="39"/>
        <v>0</v>
      </c>
      <c r="M127" s="347">
        <f t="shared" si="39"/>
        <v>0</v>
      </c>
      <c r="N127" s="347">
        <f t="shared" si="39"/>
        <v>0</v>
      </c>
      <c r="O127" s="347">
        <f t="shared" si="39"/>
        <v>0</v>
      </c>
      <c r="P127" s="347">
        <f t="shared" si="39"/>
        <v>0</v>
      </c>
      <c r="Q127" s="347">
        <f t="shared" si="39"/>
        <v>0</v>
      </c>
      <c r="R127" s="347">
        <f t="shared" si="39"/>
        <v>0.16262775407449134</v>
      </c>
      <c r="S127" s="347">
        <f t="shared" si="39"/>
        <v>0.16262775407449134</v>
      </c>
      <c r="T127" s="347">
        <f t="shared" si="39"/>
        <v>0.16262775407449134</v>
      </c>
      <c r="U127" s="347">
        <f t="shared" si="39"/>
        <v>0.16262775407449134</v>
      </c>
      <c r="V127" s="347">
        <f t="shared" si="39"/>
        <v>0.16262775407449134</v>
      </c>
      <c r="W127" s="347">
        <f t="shared" si="39"/>
        <v>8.7332745999980935E-2</v>
      </c>
      <c r="X127" s="347">
        <f t="shared" si="39"/>
        <v>8.7332745999980935E-2</v>
      </c>
      <c r="Y127" s="347">
        <f t="shared" si="39"/>
        <v>8.7332745999980935E-2</v>
      </c>
      <c r="Z127" s="347">
        <f t="shared" si="39"/>
        <v>8.7332745999980935E-2</v>
      </c>
      <c r="AA127" s="347">
        <f t="shared" si="39"/>
        <v>8.7332745999980935E-2</v>
      </c>
      <c r="AB127" s="347">
        <f t="shared" si="39"/>
        <v>6.3104669794093876E-2</v>
      </c>
      <c r="AC127" s="347">
        <f t="shared" si="39"/>
        <v>6.3104669794093876E-2</v>
      </c>
      <c r="AD127" s="347">
        <f t="shared" si="39"/>
        <v>6.3104669794093876E-2</v>
      </c>
      <c r="AE127" s="347">
        <f t="shared" si="39"/>
        <v>6.3104669794093876E-2</v>
      </c>
      <c r="AF127" s="347">
        <f t="shared" si="39"/>
        <v>6.3104669794093876E-2</v>
      </c>
      <c r="AG127" s="347">
        <f t="shared" si="39"/>
        <v>0</v>
      </c>
      <c r="AH127" s="347">
        <f t="shared" si="39"/>
        <v>0</v>
      </c>
      <c r="AI127" s="347">
        <f t="shared" si="39"/>
        <v>0</v>
      </c>
      <c r="AJ127" s="347">
        <f t="shared" si="39"/>
        <v>0.1295170343436588</v>
      </c>
      <c r="AK127" s="347">
        <f t="shared" si="39"/>
        <v>0</v>
      </c>
      <c r="AL127" s="347">
        <f t="shared" si="39"/>
        <v>0.12223023204846202</v>
      </c>
      <c r="AM127" s="347">
        <f t="shared" si="39"/>
        <v>0</v>
      </c>
      <c r="AN127" s="347">
        <f t="shared" si="39"/>
        <v>0.10789719559042603</v>
      </c>
      <c r="AO127" s="347">
        <f t="shared" si="39"/>
        <v>0</v>
      </c>
      <c r="AP127" s="267"/>
      <c r="AQ127" s="267"/>
    </row>
    <row r="128" spans="3:43" x14ac:dyDescent="0.2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25">
      <c r="E129" s="75" t="s">
        <v>841</v>
      </c>
      <c r="I129" t="s">
        <v>152</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847</v>
      </c>
    </row>
    <row r="130" spans="3:43" x14ac:dyDescent="0.25">
      <c r="E130" s="105"/>
      <c r="F130" s="95" t="s">
        <v>154</v>
      </c>
      <c r="G130" s="95" t="s">
        <v>267</v>
      </c>
      <c r="H130" s="277"/>
      <c r="I130" s="265"/>
      <c r="J130" s="282">
        <f t="shared" ref="J130:J136" si="40" xml:space="preserve"> J110 * (1 - J75) + J44</f>
        <v>6.6311195796115667</v>
      </c>
      <c r="K130" s="282">
        <f t="shared" ref="K130:AJ130" si="41" xml:space="preserve"> K110 * (1 - K75) + K44</f>
        <v>6.6311195796115667</v>
      </c>
      <c r="L130" s="282">
        <f t="shared" si="41"/>
        <v>7.5653762564316116</v>
      </c>
      <c r="M130" s="282">
        <f t="shared" si="41"/>
        <v>7.5653762564316116</v>
      </c>
      <c r="N130" s="282">
        <f t="shared" si="41"/>
        <v>7.5653762564316116</v>
      </c>
      <c r="O130" s="282">
        <f t="shared" si="41"/>
        <v>7.5653762564316116</v>
      </c>
      <c r="P130" s="282">
        <f t="shared" si="41"/>
        <v>7.5653762564316116</v>
      </c>
      <c r="Q130" s="282">
        <f t="shared" si="41"/>
        <v>7.5653762564316116</v>
      </c>
      <c r="R130" s="282">
        <f t="shared" si="41"/>
        <v>5.0280607846939311</v>
      </c>
      <c r="S130" s="282">
        <f t="shared" si="41"/>
        <v>5.0280607846939311</v>
      </c>
      <c r="T130" s="282">
        <f t="shared" si="41"/>
        <v>5.0280607846939311</v>
      </c>
      <c r="U130" s="282">
        <f t="shared" si="41"/>
        <v>5.0280607846939311</v>
      </c>
      <c r="V130" s="282">
        <f t="shared" si="41"/>
        <v>5.0280607846939311</v>
      </c>
      <c r="W130" s="279"/>
      <c r="X130" s="279"/>
      <c r="Y130" s="279"/>
      <c r="Z130" s="279"/>
      <c r="AA130" s="279"/>
      <c r="AB130" s="279"/>
      <c r="AC130" s="279"/>
      <c r="AD130" s="279"/>
      <c r="AE130" s="279"/>
      <c r="AF130" s="279"/>
      <c r="AG130" s="282">
        <f t="shared" si="41"/>
        <v>19.755388998014936</v>
      </c>
      <c r="AH130" s="282">
        <f t="shared" si="41"/>
        <v>-7.7355062211753616</v>
      </c>
      <c r="AI130" s="279"/>
      <c r="AJ130" s="282">
        <f t="shared" si="41"/>
        <v>-7.7355062211753616</v>
      </c>
      <c r="AK130" s="279"/>
      <c r="AL130" s="279"/>
      <c r="AM130" s="279"/>
      <c r="AN130" s="279"/>
      <c r="AO130" s="279"/>
      <c r="AP130" s="267"/>
      <c r="AQ130" s="267"/>
    </row>
    <row r="131" spans="3:43" x14ac:dyDescent="0.25">
      <c r="E131" s="105"/>
      <c r="F131" t="s">
        <v>155</v>
      </c>
      <c r="G131" t="s">
        <v>267</v>
      </c>
      <c r="H131" s="278"/>
      <c r="I131" s="267"/>
      <c r="J131" s="349">
        <f t="shared" si="40"/>
        <v>1.0041478504109334</v>
      </c>
      <c r="K131" s="349">
        <f t="shared" ref="K131:AJ131" si="42" xml:space="preserve"> K111 * (1 - K76) + K45</f>
        <v>1.0041478504109334</v>
      </c>
      <c r="L131" s="349">
        <f t="shared" si="42"/>
        <v>1.1456219744254279</v>
      </c>
      <c r="M131" s="349">
        <f t="shared" si="42"/>
        <v>1.1456219744254279</v>
      </c>
      <c r="N131" s="349">
        <f t="shared" si="42"/>
        <v>1.1456219744254279</v>
      </c>
      <c r="O131" s="349">
        <f t="shared" si="42"/>
        <v>1.1456219744254279</v>
      </c>
      <c r="P131" s="349">
        <f t="shared" si="42"/>
        <v>1.1456219744254279</v>
      </c>
      <c r="Q131" s="349">
        <f t="shared" si="42"/>
        <v>1.1456219744254279</v>
      </c>
      <c r="R131" s="349">
        <f t="shared" si="42"/>
        <v>0.7406151288747872</v>
      </c>
      <c r="S131" s="349">
        <f t="shared" si="42"/>
        <v>0.7406151288747872</v>
      </c>
      <c r="T131" s="349">
        <f t="shared" si="42"/>
        <v>0.7406151288747872</v>
      </c>
      <c r="U131" s="349">
        <f t="shared" si="42"/>
        <v>0.7406151288747872</v>
      </c>
      <c r="V131" s="349">
        <f t="shared" si="42"/>
        <v>0.7406151288747872</v>
      </c>
      <c r="W131" s="293"/>
      <c r="X131" s="293"/>
      <c r="Y131" s="293"/>
      <c r="Z131" s="293"/>
      <c r="AA131" s="293"/>
      <c r="AB131" s="293"/>
      <c r="AC131" s="293"/>
      <c r="AD131" s="293"/>
      <c r="AE131" s="293"/>
      <c r="AF131" s="293"/>
      <c r="AG131" s="349">
        <f t="shared" si="42"/>
        <v>1.069678607990368</v>
      </c>
      <c r="AH131" s="349">
        <f t="shared" si="42"/>
        <v>-1.1713846886001484</v>
      </c>
      <c r="AI131" s="293"/>
      <c r="AJ131" s="349">
        <f t="shared" si="42"/>
        <v>-1.1713846886001484</v>
      </c>
      <c r="AK131" s="293"/>
      <c r="AL131" s="293"/>
      <c r="AM131" s="293"/>
      <c r="AN131" s="293"/>
      <c r="AO131" s="293"/>
      <c r="AP131" s="267"/>
      <c r="AQ131" s="267"/>
    </row>
    <row r="132" spans="3:43" x14ac:dyDescent="0.25">
      <c r="E132" s="105"/>
      <c r="F132" t="s">
        <v>156</v>
      </c>
      <c r="G132" t="s">
        <v>267</v>
      </c>
      <c r="H132" s="278"/>
      <c r="I132" s="267"/>
      <c r="J132" s="349">
        <f t="shared" si="40"/>
        <v>0.14138917528188094</v>
      </c>
      <c r="K132" s="349">
        <f t="shared" ref="K132:AJ132" si="43" xml:space="preserve"> K112 * (1 - K77) + K46</f>
        <v>0.14138917528188094</v>
      </c>
      <c r="L132" s="349">
        <f t="shared" si="43"/>
        <v>0.16130945864448543</v>
      </c>
      <c r="M132" s="349">
        <f t="shared" si="43"/>
        <v>0.16130945864448543</v>
      </c>
      <c r="N132" s="349">
        <f t="shared" si="43"/>
        <v>0.16130945864448543</v>
      </c>
      <c r="O132" s="349">
        <f t="shared" si="43"/>
        <v>0.16130945864448543</v>
      </c>
      <c r="P132" s="349">
        <f t="shared" si="43"/>
        <v>0.16130945864448543</v>
      </c>
      <c r="Q132" s="349">
        <f t="shared" si="43"/>
        <v>0.16130945864448543</v>
      </c>
      <c r="R132" s="349">
        <f t="shared" si="43"/>
        <v>0.10557114877440413</v>
      </c>
      <c r="S132" s="349">
        <f t="shared" si="43"/>
        <v>0.10557114877440413</v>
      </c>
      <c r="T132" s="349">
        <f t="shared" si="43"/>
        <v>0.10557114877440413</v>
      </c>
      <c r="U132" s="349">
        <f t="shared" si="43"/>
        <v>0.10557114877440413</v>
      </c>
      <c r="V132" s="349">
        <f t="shared" si="43"/>
        <v>0.10557114877440413</v>
      </c>
      <c r="W132" s="293"/>
      <c r="X132" s="293"/>
      <c r="Y132" s="293"/>
      <c r="Z132" s="293"/>
      <c r="AA132" s="293"/>
      <c r="AB132" s="293"/>
      <c r="AC132" s="293"/>
      <c r="AD132" s="293"/>
      <c r="AE132" s="293"/>
      <c r="AF132" s="293"/>
      <c r="AG132" s="349">
        <f t="shared" si="43"/>
        <v>0.29376699309377124</v>
      </c>
      <c r="AH132" s="349">
        <f t="shared" si="43"/>
        <v>-0.16493698113402308</v>
      </c>
      <c r="AI132" s="293"/>
      <c r="AJ132" s="349">
        <f t="shared" si="43"/>
        <v>-0.16493698113402308</v>
      </c>
      <c r="AK132" s="293"/>
      <c r="AL132" s="293"/>
      <c r="AM132" s="293"/>
      <c r="AN132" s="293"/>
      <c r="AO132" s="293"/>
      <c r="AP132" s="267"/>
      <c r="AQ132" s="267"/>
    </row>
    <row r="133" spans="3:43" x14ac:dyDescent="0.25">
      <c r="E133" s="105"/>
      <c r="F133" t="s">
        <v>157</v>
      </c>
      <c r="G133" t="s">
        <v>268</v>
      </c>
      <c r="H133" s="78"/>
      <c r="J133" s="193">
        <f t="shared" si="40"/>
        <v>10.600278310757149</v>
      </c>
      <c r="K133" s="193">
        <f t="shared" ref="K133:AJ133" si="44" xml:space="preserve"> K113 * (1 - K78) + K47</f>
        <v>0</v>
      </c>
      <c r="L133" s="193">
        <f t="shared" si="44"/>
        <v>8.6798960126002029</v>
      </c>
      <c r="M133" s="193">
        <f t="shared" si="44"/>
        <v>9.8731937399552248</v>
      </c>
      <c r="N133" s="193">
        <f t="shared" si="44"/>
        <v>11.924786502177419</v>
      </c>
      <c r="O133" s="193">
        <f t="shared" si="44"/>
        <v>15.659595664804145</v>
      </c>
      <c r="P133" s="193">
        <f t="shared" si="44"/>
        <v>27.483195895083405</v>
      </c>
      <c r="Q133" s="193">
        <f t="shared" si="44"/>
        <v>0</v>
      </c>
      <c r="R133" s="193">
        <f t="shared" si="44"/>
        <v>8.9947954501282936</v>
      </c>
      <c r="S133" s="193">
        <f t="shared" si="44"/>
        <v>40.352524664638167</v>
      </c>
      <c r="T133" s="193">
        <f t="shared" si="44"/>
        <v>76.637166970326746</v>
      </c>
      <c r="U133" s="193">
        <f t="shared" si="44"/>
        <v>114.89524499712797</v>
      </c>
      <c r="V133" s="193">
        <f t="shared" si="44"/>
        <v>284.88798543791506</v>
      </c>
      <c r="W133" s="119"/>
      <c r="X133" s="119"/>
      <c r="Y133" s="119"/>
      <c r="Z133" s="119"/>
      <c r="AA133" s="119"/>
      <c r="AB133" s="119"/>
      <c r="AC133" s="119"/>
      <c r="AD133" s="119"/>
      <c r="AE133" s="119"/>
      <c r="AF133" s="119"/>
      <c r="AG133" s="193">
        <f t="shared" si="44"/>
        <v>0</v>
      </c>
      <c r="AH133" s="193">
        <f t="shared" si="44"/>
        <v>0</v>
      </c>
      <c r="AI133" s="119"/>
      <c r="AJ133" s="193">
        <f t="shared" si="44"/>
        <v>0</v>
      </c>
      <c r="AK133" s="119"/>
      <c r="AL133" s="119"/>
      <c r="AM133" s="119"/>
      <c r="AN133" s="119"/>
      <c r="AO133" s="119"/>
    </row>
    <row r="134" spans="3:43" x14ac:dyDescent="0.25">
      <c r="E134" s="105"/>
      <c r="F134" t="s">
        <v>158</v>
      </c>
      <c r="G134" t="s">
        <v>269</v>
      </c>
      <c r="H134" s="78"/>
      <c r="J134" s="193">
        <f t="shared" si="40"/>
        <v>0</v>
      </c>
      <c r="K134" s="193">
        <f t="shared" ref="K134:AJ134" si="45" xml:space="preserve"> K114 * (1 - K79) + K48</f>
        <v>0</v>
      </c>
      <c r="L134" s="193">
        <f t="shared" si="45"/>
        <v>0</v>
      </c>
      <c r="M134" s="193">
        <f t="shared" si="45"/>
        <v>0</v>
      </c>
      <c r="N134" s="193">
        <f t="shared" si="45"/>
        <v>0</v>
      </c>
      <c r="O134" s="193">
        <f t="shared" si="45"/>
        <v>0</v>
      </c>
      <c r="P134" s="193">
        <f t="shared" si="45"/>
        <v>0</v>
      </c>
      <c r="Q134" s="193">
        <f t="shared" si="45"/>
        <v>0</v>
      </c>
      <c r="R134" s="193">
        <f t="shared" si="45"/>
        <v>3.2349616244261226</v>
      </c>
      <c r="S134" s="193">
        <f t="shared" si="45"/>
        <v>3.2349616244261226</v>
      </c>
      <c r="T134" s="193">
        <f t="shared" si="45"/>
        <v>3.2349616244261226</v>
      </c>
      <c r="U134" s="193">
        <f t="shared" si="45"/>
        <v>3.2349616244261226</v>
      </c>
      <c r="V134" s="193">
        <f t="shared" si="45"/>
        <v>3.2349616244261226</v>
      </c>
      <c r="W134" s="119"/>
      <c r="X134" s="119"/>
      <c r="Y134" s="119"/>
      <c r="Z134" s="119"/>
      <c r="AA134" s="119"/>
      <c r="AB134" s="119"/>
      <c r="AC134" s="119"/>
      <c r="AD134" s="119"/>
      <c r="AE134" s="119"/>
      <c r="AF134" s="119"/>
      <c r="AG134" s="193">
        <f t="shared" si="45"/>
        <v>0</v>
      </c>
      <c r="AH134" s="193">
        <f t="shared" si="45"/>
        <v>0</v>
      </c>
      <c r="AI134" s="119"/>
      <c r="AJ134" s="193">
        <f t="shared" si="45"/>
        <v>0</v>
      </c>
      <c r="AK134" s="119"/>
      <c r="AL134" s="119"/>
      <c r="AM134" s="119"/>
      <c r="AN134" s="119"/>
      <c r="AO134" s="119"/>
    </row>
    <row r="135" spans="3:43" x14ac:dyDescent="0.25">
      <c r="E135" s="105"/>
      <c r="F135" t="s">
        <v>159</v>
      </c>
      <c r="G135" t="s">
        <v>269</v>
      </c>
      <c r="H135" s="78"/>
      <c r="J135" s="193">
        <f t="shared" si="40"/>
        <v>0</v>
      </c>
      <c r="K135" s="193">
        <f t="shared" ref="K135:AJ135" si="46" xml:space="preserve"> K115 * (1 - K80) + K49</f>
        <v>0</v>
      </c>
      <c r="L135" s="193">
        <f t="shared" si="46"/>
        <v>0</v>
      </c>
      <c r="M135" s="193">
        <f t="shared" si="46"/>
        <v>0</v>
      </c>
      <c r="N135" s="193">
        <f t="shared" si="46"/>
        <v>0</v>
      </c>
      <c r="O135" s="193">
        <f t="shared" si="46"/>
        <v>0</v>
      </c>
      <c r="P135" s="193">
        <f t="shared" si="46"/>
        <v>0</v>
      </c>
      <c r="Q135" s="193">
        <f t="shared" si="46"/>
        <v>0</v>
      </c>
      <c r="R135" s="193">
        <f t="shared" si="46"/>
        <v>3.2349616244261226</v>
      </c>
      <c r="S135" s="193">
        <f t="shared" si="46"/>
        <v>3.2349616244261226</v>
      </c>
      <c r="T135" s="193">
        <f t="shared" si="46"/>
        <v>3.2349616244261226</v>
      </c>
      <c r="U135" s="193">
        <f t="shared" si="46"/>
        <v>3.2349616244261226</v>
      </c>
      <c r="V135" s="193">
        <f t="shared" si="46"/>
        <v>3.2349616244261226</v>
      </c>
      <c r="W135" s="119"/>
      <c r="X135" s="119"/>
      <c r="Y135" s="119"/>
      <c r="Z135" s="119"/>
      <c r="AA135" s="119"/>
      <c r="AB135" s="119"/>
      <c r="AC135" s="119"/>
      <c r="AD135" s="119"/>
      <c r="AE135" s="119"/>
      <c r="AF135" s="119"/>
      <c r="AG135" s="193">
        <f t="shared" si="46"/>
        <v>0</v>
      </c>
      <c r="AH135" s="193">
        <f t="shared" si="46"/>
        <v>0</v>
      </c>
      <c r="AI135" s="119"/>
      <c r="AJ135" s="193">
        <f t="shared" si="46"/>
        <v>0</v>
      </c>
      <c r="AK135" s="119"/>
      <c r="AL135" s="119"/>
      <c r="AM135" s="119"/>
      <c r="AN135" s="119"/>
      <c r="AO135" s="119"/>
    </row>
    <row r="136" spans="3:43" x14ac:dyDescent="0.25">
      <c r="E136" s="105"/>
      <c r="F136" s="96" t="s">
        <v>160</v>
      </c>
      <c r="G136" s="96" t="s">
        <v>270</v>
      </c>
      <c r="H136" s="310"/>
      <c r="I136" s="269"/>
      <c r="J136" s="347">
        <f t="shared" si="40"/>
        <v>0</v>
      </c>
      <c r="K136" s="347">
        <f t="shared" ref="K136:AJ136" si="47" xml:space="preserve"> K116 * (1 - K81) + K50</f>
        <v>0</v>
      </c>
      <c r="L136" s="347">
        <f t="shared" si="47"/>
        <v>0</v>
      </c>
      <c r="M136" s="347">
        <f t="shared" si="47"/>
        <v>0</v>
      </c>
      <c r="N136" s="347">
        <f t="shared" si="47"/>
        <v>0</v>
      </c>
      <c r="O136" s="347">
        <f t="shared" si="47"/>
        <v>0</v>
      </c>
      <c r="P136" s="347">
        <f t="shared" si="47"/>
        <v>0</v>
      </c>
      <c r="Q136" s="347">
        <f t="shared" si="47"/>
        <v>0</v>
      </c>
      <c r="R136" s="347">
        <f t="shared" si="47"/>
        <v>9.5950881884035388E-2</v>
      </c>
      <c r="S136" s="347">
        <f t="shared" si="47"/>
        <v>9.5950881884035388E-2</v>
      </c>
      <c r="T136" s="347">
        <f t="shared" si="47"/>
        <v>9.5950881884035388E-2</v>
      </c>
      <c r="U136" s="347">
        <f t="shared" si="47"/>
        <v>9.5950881884035388E-2</v>
      </c>
      <c r="V136" s="347">
        <f t="shared" si="47"/>
        <v>9.5950881884035388E-2</v>
      </c>
      <c r="W136" s="275"/>
      <c r="X136" s="275"/>
      <c r="Y136" s="275"/>
      <c r="Z136" s="275"/>
      <c r="AA136" s="275"/>
      <c r="AB136" s="275"/>
      <c r="AC136" s="275"/>
      <c r="AD136" s="275"/>
      <c r="AE136" s="275"/>
      <c r="AF136" s="275"/>
      <c r="AG136" s="347">
        <f t="shared" si="47"/>
        <v>0</v>
      </c>
      <c r="AH136" s="347">
        <f t="shared" si="47"/>
        <v>0</v>
      </c>
      <c r="AI136" s="275"/>
      <c r="AJ136" s="347">
        <f t="shared" si="47"/>
        <v>0.1295170343436588</v>
      </c>
      <c r="AK136" s="275"/>
      <c r="AL136" s="275"/>
      <c r="AM136" s="275"/>
      <c r="AN136" s="275"/>
      <c r="AO136" s="275"/>
      <c r="AP136" s="267"/>
      <c r="AQ136" s="267"/>
    </row>
    <row r="137" spans="3:43" x14ac:dyDescent="0.2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E138" s="75" t="s">
        <v>842</v>
      </c>
      <c r="I138" t="s">
        <v>152</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847</v>
      </c>
    </row>
    <row r="139" spans="3:43" x14ac:dyDescent="0.25">
      <c r="C139" s="105"/>
      <c r="F139" s="95" t="s">
        <v>154</v>
      </c>
      <c r="G139" s="95" t="s">
        <v>267</v>
      </c>
      <c r="H139" s="277"/>
      <c r="I139" s="265"/>
      <c r="J139" s="282">
        <f t="shared" ref="J139:J145" si="48">J110 * (1 - J84) + J44</f>
        <v>4.4533414763930095</v>
      </c>
      <c r="K139" s="282">
        <f t="shared" ref="K139:AN139" si="49">K110 * (1 - K84) + K44</f>
        <v>4.4533414763930095</v>
      </c>
      <c r="L139" s="282">
        <f t="shared" si="49"/>
        <v>5.0807715745128084</v>
      </c>
      <c r="M139" s="282">
        <f t="shared" si="49"/>
        <v>5.0807715745128084</v>
      </c>
      <c r="N139" s="282">
        <f t="shared" si="49"/>
        <v>5.0807715745128084</v>
      </c>
      <c r="O139" s="282">
        <f t="shared" si="49"/>
        <v>5.0807715745128084</v>
      </c>
      <c r="P139" s="282">
        <f t="shared" si="49"/>
        <v>5.0807715745128084</v>
      </c>
      <c r="Q139" s="282">
        <f t="shared" si="49"/>
        <v>5.0807715745128084</v>
      </c>
      <c r="R139" s="282">
        <f t="shared" si="49"/>
        <v>3.3767558207138086</v>
      </c>
      <c r="S139" s="282">
        <f t="shared" si="49"/>
        <v>3.3767558207138086</v>
      </c>
      <c r="T139" s="282">
        <f t="shared" si="49"/>
        <v>3.3767558207138086</v>
      </c>
      <c r="U139" s="282">
        <f t="shared" si="49"/>
        <v>3.3767558207138086</v>
      </c>
      <c r="V139" s="282">
        <f t="shared" si="49"/>
        <v>3.3767558207138086</v>
      </c>
      <c r="W139" s="282">
        <f t="shared" si="49"/>
        <v>3.1293013715407252</v>
      </c>
      <c r="X139" s="282">
        <f t="shared" si="49"/>
        <v>3.1293013715407252</v>
      </c>
      <c r="Y139" s="282">
        <f t="shared" si="49"/>
        <v>3.1293013715407252</v>
      </c>
      <c r="Z139" s="282">
        <f t="shared" si="49"/>
        <v>3.1293013715407252</v>
      </c>
      <c r="AA139" s="282">
        <f t="shared" si="49"/>
        <v>3.1293013715407252</v>
      </c>
      <c r="AB139" s="282">
        <f t="shared" si="49"/>
        <v>2.8260310278284373</v>
      </c>
      <c r="AC139" s="282">
        <f t="shared" si="49"/>
        <v>2.8260310278284373</v>
      </c>
      <c r="AD139" s="282">
        <f t="shared" si="49"/>
        <v>2.8260310278284373</v>
      </c>
      <c r="AE139" s="282">
        <f t="shared" si="49"/>
        <v>2.8260310278284373</v>
      </c>
      <c r="AF139" s="282">
        <f t="shared" si="49"/>
        <v>2.8260310278284373</v>
      </c>
      <c r="AG139" s="282">
        <f t="shared" si="49"/>
        <v>13.267366415414806</v>
      </c>
      <c r="AH139" s="282">
        <f t="shared" si="49"/>
        <v>-7.7355062211753616</v>
      </c>
      <c r="AI139" s="282">
        <f t="shared" si="49"/>
        <v>-6.5177917537082717</v>
      </c>
      <c r="AJ139" s="282">
        <f t="shared" si="49"/>
        <v>-7.7355062211753616</v>
      </c>
      <c r="AK139" s="279"/>
      <c r="AL139" s="282">
        <f t="shared" si="49"/>
        <v>-6.5177917537082717</v>
      </c>
      <c r="AM139" s="279"/>
      <c r="AN139" s="282">
        <f t="shared" si="49"/>
        <v>-3.8842640314732568</v>
      </c>
      <c r="AO139" s="279"/>
      <c r="AP139" s="267"/>
      <c r="AQ139" s="267"/>
    </row>
    <row r="140" spans="3:43" x14ac:dyDescent="0.25">
      <c r="C140" s="105"/>
      <c r="F140" t="s">
        <v>155</v>
      </c>
      <c r="G140" t="s">
        <v>267</v>
      </c>
      <c r="H140" s="278"/>
      <c r="I140" s="267"/>
      <c r="J140" s="349">
        <f t="shared" si="48"/>
        <v>0.67436776203149695</v>
      </c>
      <c r="K140" s="349">
        <f t="shared" ref="K140:AN140" si="50">K111 * (1 - K85) + K45</f>
        <v>0.67436776203149695</v>
      </c>
      <c r="L140" s="349">
        <f t="shared" si="50"/>
        <v>0.76937925696023446</v>
      </c>
      <c r="M140" s="349">
        <f t="shared" si="50"/>
        <v>0.76937925696023446</v>
      </c>
      <c r="N140" s="349">
        <f t="shared" si="50"/>
        <v>0.76937925696023446</v>
      </c>
      <c r="O140" s="349">
        <f t="shared" si="50"/>
        <v>0.76937925696023446</v>
      </c>
      <c r="P140" s="349">
        <f t="shared" si="50"/>
        <v>0.76937925696023446</v>
      </c>
      <c r="Q140" s="349">
        <f t="shared" si="50"/>
        <v>0.76937925696023446</v>
      </c>
      <c r="R140" s="349">
        <f t="shared" si="50"/>
        <v>0.49738389300098312</v>
      </c>
      <c r="S140" s="349">
        <f t="shared" si="50"/>
        <v>0.49738389300098312</v>
      </c>
      <c r="T140" s="349">
        <f t="shared" si="50"/>
        <v>0.49738389300098312</v>
      </c>
      <c r="U140" s="349">
        <f t="shared" si="50"/>
        <v>0.49738389300098312</v>
      </c>
      <c r="V140" s="349">
        <f t="shared" si="50"/>
        <v>0.49738389300098312</v>
      </c>
      <c r="W140" s="349">
        <f t="shared" si="50"/>
        <v>0.42295309315360069</v>
      </c>
      <c r="X140" s="349">
        <f t="shared" si="50"/>
        <v>0.42295309315360069</v>
      </c>
      <c r="Y140" s="349">
        <f t="shared" si="50"/>
        <v>0.42295309315360069</v>
      </c>
      <c r="Z140" s="349">
        <f t="shared" si="50"/>
        <v>0.42295309315360069</v>
      </c>
      <c r="AA140" s="349">
        <f t="shared" si="50"/>
        <v>0.42295309315360069</v>
      </c>
      <c r="AB140" s="349">
        <f t="shared" si="50"/>
        <v>0.35456649690319536</v>
      </c>
      <c r="AC140" s="349">
        <f t="shared" si="50"/>
        <v>0.35456649690319536</v>
      </c>
      <c r="AD140" s="349">
        <f t="shared" si="50"/>
        <v>0.35456649690319536</v>
      </c>
      <c r="AE140" s="349">
        <f t="shared" si="50"/>
        <v>0.35456649690319536</v>
      </c>
      <c r="AF140" s="349">
        <f t="shared" si="50"/>
        <v>0.35456649690319536</v>
      </c>
      <c r="AG140" s="349">
        <f t="shared" si="50"/>
        <v>0.71837704842790462</v>
      </c>
      <c r="AH140" s="349">
        <f t="shared" si="50"/>
        <v>-1.1713846886001484</v>
      </c>
      <c r="AI140" s="349">
        <f t="shared" si="50"/>
        <v>-0.97201750043234769</v>
      </c>
      <c r="AJ140" s="349">
        <f t="shared" si="50"/>
        <v>-1.1713846886001484</v>
      </c>
      <c r="AK140" s="293"/>
      <c r="AL140" s="349">
        <f t="shared" si="50"/>
        <v>-0.97201750043234769</v>
      </c>
      <c r="AM140" s="293"/>
      <c r="AN140" s="349">
        <f t="shared" si="50"/>
        <v>-0.5249930548964733</v>
      </c>
      <c r="AO140" s="293"/>
      <c r="AP140" s="267"/>
      <c r="AQ140" s="267"/>
    </row>
    <row r="141" spans="3:43" x14ac:dyDescent="0.25">
      <c r="C141" s="105"/>
      <c r="F141" t="s">
        <v>156</v>
      </c>
      <c r="G141" t="s">
        <v>267</v>
      </c>
      <c r="H141" s="278"/>
      <c r="I141" s="267"/>
      <c r="J141" s="349">
        <f t="shared" si="48"/>
        <v>9.4954444877117586E-2</v>
      </c>
      <c r="K141" s="349">
        <f t="shared" ref="K141:AN141" si="51">K112 * (1 - K86) + K46</f>
        <v>9.4954444877117586E-2</v>
      </c>
      <c r="L141" s="349">
        <f t="shared" si="51"/>
        <v>0.10833255140274062</v>
      </c>
      <c r="M141" s="349">
        <f t="shared" si="51"/>
        <v>0.10833255140274062</v>
      </c>
      <c r="N141" s="349">
        <f t="shared" si="51"/>
        <v>0.10833255140274062</v>
      </c>
      <c r="O141" s="349">
        <f t="shared" si="51"/>
        <v>0.10833255140274062</v>
      </c>
      <c r="P141" s="349">
        <f t="shared" si="51"/>
        <v>0.10833255140274062</v>
      </c>
      <c r="Q141" s="349">
        <f t="shared" si="51"/>
        <v>0.10833255140274062</v>
      </c>
      <c r="R141" s="349">
        <f t="shared" si="51"/>
        <v>7.0899697992635305E-2</v>
      </c>
      <c r="S141" s="349">
        <f t="shared" si="51"/>
        <v>7.0899697992635305E-2</v>
      </c>
      <c r="T141" s="349">
        <f t="shared" si="51"/>
        <v>7.0899697992635305E-2</v>
      </c>
      <c r="U141" s="349">
        <f t="shared" si="51"/>
        <v>7.0899697992635305E-2</v>
      </c>
      <c r="V141" s="349">
        <f t="shared" si="51"/>
        <v>7.0899697992635305E-2</v>
      </c>
      <c r="W141" s="349">
        <f t="shared" si="51"/>
        <v>6.2711337219318625E-2</v>
      </c>
      <c r="X141" s="349">
        <f t="shared" si="51"/>
        <v>6.2711337219318625E-2</v>
      </c>
      <c r="Y141" s="349">
        <f t="shared" si="51"/>
        <v>6.2711337219318625E-2</v>
      </c>
      <c r="Z141" s="349">
        <f t="shared" si="51"/>
        <v>6.2711337219318625E-2</v>
      </c>
      <c r="AA141" s="349">
        <f t="shared" si="51"/>
        <v>6.2711337219318625E-2</v>
      </c>
      <c r="AB141" s="349">
        <f t="shared" si="51"/>
        <v>5.4475087645605255E-2</v>
      </c>
      <c r="AC141" s="349">
        <f t="shared" si="51"/>
        <v>5.4475087645605255E-2</v>
      </c>
      <c r="AD141" s="349">
        <f t="shared" si="51"/>
        <v>5.4475087645605255E-2</v>
      </c>
      <c r="AE141" s="349">
        <f t="shared" si="51"/>
        <v>5.4475087645605255E-2</v>
      </c>
      <c r="AF141" s="349">
        <f t="shared" si="51"/>
        <v>5.4475087645605255E-2</v>
      </c>
      <c r="AG141" s="349">
        <f t="shared" si="51"/>
        <v>0.19728866581778393</v>
      </c>
      <c r="AH141" s="349">
        <f t="shared" si="51"/>
        <v>-0.16493698113402308</v>
      </c>
      <c r="AI141" s="349">
        <f t="shared" si="51"/>
        <v>-0.13779331844062356</v>
      </c>
      <c r="AJ141" s="349">
        <f t="shared" si="51"/>
        <v>-0.16493698113402308</v>
      </c>
      <c r="AK141" s="293"/>
      <c r="AL141" s="349">
        <f t="shared" si="51"/>
        <v>-0.13779331844062356</v>
      </c>
      <c r="AM141" s="293"/>
      <c r="AN141" s="349">
        <f t="shared" si="51"/>
        <v>-7.784082215343105E-2</v>
      </c>
      <c r="AO141" s="293"/>
      <c r="AP141" s="267"/>
      <c r="AQ141" s="267"/>
    </row>
    <row r="142" spans="3:43" x14ac:dyDescent="0.25">
      <c r="C142" s="105"/>
      <c r="F142" t="s">
        <v>157</v>
      </c>
      <c r="G142" t="s">
        <v>268</v>
      </c>
      <c r="H142" s="78"/>
      <c r="J142" s="193">
        <f t="shared" si="48"/>
        <v>7.1189575901705089</v>
      </c>
      <c r="K142" s="193">
        <f t="shared" ref="K142:AN142" si="52">K113 * (1 - K87) + K47</f>
        <v>0</v>
      </c>
      <c r="L142" s="193">
        <f t="shared" si="52"/>
        <v>5.829263137184304</v>
      </c>
      <c r="M142" s="193">
        <f t="shared" si="52"/>
        <v>6.6306605783124777</v>
      </c>
      <c r="N142" s="193">
        <f t="shared" si="52"/>
        <v>8.0084736355167614</v>
      </c>
      <c r="O142" s="193">
        <f t="shared" si="52"/>
        <v>10.516704764612539</v>
      </c>
      <c r="P142" s="193">
        <f t="shared" si="52"/>
        <v>18.457223507131872</v>
      </c>
      <c r="Q142" s="193">
        <f t="shared" si="52"/>
        <v>0</v>
      </c>
      <c r="R142" s="193">
        <f t="shared" si="52"/>
        <v>6.0407439752540073</v>
      </c>
      <c r="S142" s="193">
        <f t="shared" si="52"/>
        <v>27.10003485968377</v>
      </c>
      <c r="T142" s="193">
        <f t="shared" si="52"/>
        <v>51.468152580382878</v>
      </c>
      <c r="U142" s="193">
        <f t="shared" si="52"/>
        <v>77.161594485379283</v>
      </c>
      <c r="V142" s="193">
        <f t="shared" si="52"/>
        <v>191.32568285716727</v>
      </c>
      <c r="W142" s="193">
        <f t="shared" si="52"/>
        <v>10.295476993612624</v>
      </c>
      <c r="X142" s="193">
        <f t="shared" si="52"/>
        <v>46.187652806828709</v>
      </c>
      <c r="Y142" s="193">
        <f t="shared" si="52"/>
        <v>87.719192034255144</v>
      </c>
      <c r="Z142" s="193">
        <f t="shared" si="52"/>
        <v>131.50953327421644</v>
      </c>
      <c r="AA142" s="193">
        <f t="shared" si="52"/>
        <v>326.08386884338404</v>
      </c>
      <c r="AB142" s="193">
        <f t="shared" si="52"/>
        <v>262.94713959395068</v>
      </c>
      <c r="AC142" s="193">
        <f t="shared" si="52"/>
        <v>566.06692638883965</v>
      </c>
      <c r="AD142" s="193">
        <f t="shared" si="52"/>
        <v>1093.1224134332249</v>
      </c>
      <c r="AE142" s="193">
        <f t="shared" si="52"/>
        <v>1746.6542737976004</v>
      </c>
      <c r="AF142" s="193">
        <f t="shared" si="52"/>
        <v>4303.2554785572247</v>
      </c>
      <c r="AG142" s="193">
        <f t="shared" si="52"/>
        <v>0</v>
      </c>
      <c r="AH142" s="193">
        <f t="shared" si="52"/>
        <v>0</v>
      </c>
      <c r="AI142" s="193">
        <f t="shared" si="52"/>
        <v>0</v>
      </c>
      <c r="AJ142" s="193">
        <f t="shared" si="52"/>
        <v>0</v>
      </c>
      <c r="AK142" s="119"/>
      <c r="AL142" s="193">
        <f t="shared" si="52"/>
        <v>0</v>
      </c>
      <c r="AM142" s="119"/>
      <c r="AN142" s="193">
        <f t="shared" si="52"/>
        <v>0</v>
      </c>
      <c r="AO142" s="119"/>
    </row>
    <row r="143" spans="3:43" x14ac:dyDescent="0.25">
      <c r="C143" s="105"/>
      <c r="F143" t="s">
        <v>158</v>
      </c>
      <c r="G143" t="s">
        <v>269</v>
      </c>
      <c r="H143" s="78"/>
      <c r="J143" s="193">
        <f t="shared" si="48"/>
        <v>0</v>
      </c>
      <c r="K143" s="193">
        <f t="shared" ref="K143:AN143" si="53">K114 * (1 - K88) + K48</f>
        <v>0</v>
      </c>
      <c r="L143" s="193">
        <f t="shared" si="53"/>
        <v>0</v>
      </c>
      <c r="M143" s="193">
        <f t="shared" si="53"/>
        <v>0</v>
      </c>
      <c r="N143" s="193">
        <f t="shared" si="53"/>
        <v>0</v>
      </c>
      <c r="O143" s="193">
        <f t="shared" si="53"/>
        <v>0</v>
      </c>
      <c r="P143" s="193">
        <f t="shared" si="53"/>
        <v>0</v>
      </c>
      <c r="Q143" s="193">
        <f t="shared" si="53"/>
        <v>0</v>
      </c>
      <c r="R143" s="193">
        <f t="shared" si="53"/>
        <v>2.172542449828728</v>
      </c>
      <c r="S143" s="193">
        <f t="shared" si="53"/>
        <v>2.172542449828728</v>
      </c>
      <c r="T143" s="193">
        <f t="shared" si="53"/>
        <v>2.172542449828728</v>
      </c>
      <c r="U143" s="193">
        <f t="shared" si="53"/>
        <v>2.172542449828728</v>
      </c>
      <c r="V143" s="193">
        <f t="shared" si="53"/>
        <v>2.172542449828728</v>
      </c>
      <c r="W143" s="193">
        <f t="shared" si="53"/>
        <v>3.4753576148376197</v>
      </c>
      <c r="X143" s="193">
        <f t="shared" si="53"/>
        <v>3.4753576148376197</v>
      </c>
      <c r="Y143" s="193">
        <f t="shared" si="53"/>
        <v>3.4753576148376197</v>
      </c>
      <c r="Z143" s="193">
        <f t="shared" si="53"/>
        <v>3.4753576148376197</v>
      </c>
      <c r="AA143" s="193">
        <f t="shared" si="53"/>
        <v>3.4753576148376197</v>
      </c>
      <c r="AB143" s="193">
        <f t="shared" si="53"/>
        <v>4.6514619024958819</v>
      </c>
      <c r="AC143" s="193">
        <f t="shared" si="53"/>
        <v>4.6514619024958819</v>
      </c>
      <c r="AD143" s="193">
        <f t="shared" si="53"/>
        <v>4.6514619024958819</v>
      </c>
      <c r="AE143" s="193">
        <f t="shared" si="53"/>
        <v>4.6514619024958819</v>
      </c>
      <c r="AF143" s="193">
        <f t="shared" si="53"/>
        <v>4.6514619024958819</v>
      </c>
      <c r="AG143" s="193">
        <f t="shared" si="53"/>
        <v>0</v>
      </c>
      <c r="AH143" s="193">
        <f t="shared" si="53"/>
        <v>0</v>
      </c>
      <c r="AI143" s="193">
        <f t="shared" si="53"/>
        <v>0</v>
      </c>
      <c r="AJ143" s="193">
        <f t="shared" si="53"/>
        <v>0</v>
      </c>
      <c r="AK143" s="119"/>
      <c r="AL143" s="193">
        <f t="shared" si="53"/>
        <v>0</v>
      </c>
      <c r="AM143" s="119"/>
      <c r="AN143" s="193">
        <f t="shared" si="53"/>
        <v>0</v>
      </c>
      <c r="AO143" s="119"/>
    </row>
    <row r="144" spans="3:43" x14ac:dyDescent="0.25">
      <c r="C144" s="105"/>
      <c r="F144" t="s">
        <v>159</v>
      </c>
      <c r="G144" t="s">
        <v>269</v>
      </c>
      <c r="H144" s="78"/>
      <c r="J144" s="193">
        <f t="shared" si="48"/>
        <v>0</v>
      </c>
      <c r="K144" s="193">
        <f t="shared" ref="K144:AN144" si="54">K115 * (1 - K89) + K49</f>
        <v>0</v>
      </c>
      <c r="L144" s="193">
        <f t="shared" si="54"/>
        <v>0</v>
      </c>
      <c r="M144" s="193">
        <f t="shared" si="54"/>
        <v>0</v>
      </c>
      <c r="N144" s="193">
        <f t="shared" si="54"/>
        <v>0</v>
      </c>
      <c r="O144" s="193">
        <f t="shared" si="54"/>
        <v>0</v>
      </c>
      <c r="P144" s="193">
        <f t="shared" si="54"/>
        <v>0</v>
      </c>
      <c r="Q144" s="193">
        <f t="shared" si="54"/>
        <v>0</v>
      </c>
      <c r="R144" s="193">
        <f t="shared" si="54"/>
        <v>2.172542449828728</v>
      </c>
      <c r="S144" s="193">
        <f t="shared" si="54"/>
        <v>2.172542449828728</v>
      </c>
      <c r="T144" s="193">
        <f t="shared" si="54"/>
        <v>2.172542449828728</v>
      </c>
      <c r="U144" s="193">
        <f t="shared" si="54"/>
        <v>2.172542449828728</v>
      </c>
      <c r="V144" s="193">
        <f t="shared" si="54"/>
        <v>2.172542449828728</v>
      </c>
      <c r="W144" s="193">
        <f t="shared" si="54"/>
        <v>3.4753576148376197</v>
      </c>
      <c r="X144" s="193">
        <f t="shared" si="54"/>
        <v>3.4753576148376197</v>
      </c>
      <c r="Y144" s="193">
        <f t="shared" si="54"/>
        <v>3.4753576148376197</v>
      </c>
      <c r="Z144" s="193">
        <f t="shared" si="54"/>
        <v>3.4753576148376197</v>
      </c>
      <c r="AA144" s="193">
        <f t="shared" si="54"/>
        <v>3.4753576148376197</v>
      </c>
      <c r="AB144" s="193">
        <f t="shared" si="54"/>
        <v>4.6514619024958819</v>
      </c>
      <c r="AC144" s="193">
        <f t="shared" si="54"/>
        <v>4.6514619024958819</v>
      </c>
      <c r="AD144" s="193">
        <f t="shared" si="54"/>
        <v>4.6514619024958819</v>
      </c>
      <c r="AE144" s="193">
        <f t="shared" si="54"/>
        <v>4.6514619024958819</v>
      </c>
      <c r="AF144" s="193">
        <f t="shared" si="54"/>
        <v>4.6514619024958819</v>
      </c>
      <c r="AG144" s="193">
        <f t="shared" si="54"/>
        <v>0</v>
      </c>
      <c r="AH144" s="193">
        <f t="shared" si="54"/>
        <v>0</v>
      </c>
      <c r="AI144" s="193">
        <f t="shared" si="54"/>
        <v>0</v>
      </c>
      <c r="AJ144" s="193">
        <f t="shared" si="54"/>
        <v>0</v>
      </c>
      <c r="AK144" s="119"/>
      <c r="AL144" s="193">
        <f t="shared" si="54"/>
        <v>0</v>
      </c>
      <c r="AM144" s="119"/>
      <c r="AN144" s="193">
        <f t="shared" si="54"/>
        <v>0</v>
      </c>
      <c r="AO144" s="119"/>
    </row>
    <row r="145" spans="1:43" x14ac:dyDescent="0.25">
      <c r="C145" s="105"/>
      <c r="F145" s="96" t="s">
        <v>160</v>
      </c>
      <c r="G145" s="96" t="s">
        <v>270</v>
      </c>
      <c r="H145" s="310"/>
      <c r="I145" s="269"/>
      <c r="J145" s="347">
        <f t="shared" si="48"/>
        <v>0</v>
      </c>
      <c r="K145" s="347">
        <f t="shared" ref="K145:AN145" si="55">K116 * (1 - K90) + K50</f>
        <v>0</v>
      </c>
      <c r="L145" s="347">
        <f t="shared" si="55"/>
        <v>0</v>
      </c>
      <c r="M145" s="347">
        <f t="shared" si="55"/>
        <v>0</v>
      </c>
      <c r="N145" s="347">
        <f t="shared" si="55"/>
        <v>0</v>
      </c>
      <c r="O145" s="347">
        <f t="shared" si="55"/>
        <v>0</v>
      </c>
      <c r="P145" s="347">
        <f t="shared" si="55"/>
        <v>0</v>
      </c>
      <c r="Q145" s="347">
        <f t="shared" si="55"/>
        <v>0</v>
      </c>
      <c r="R145" s="347">
        <f t="shared" si="55"/>
        <v>6.4438898569175201E-2</v>
      </c>
      <c r="S145" s="347">
        <f t="shared" si="55"/>
        <v>6.4438898569175201E-2</v>
      </c>
      <c r="T145" s="347">
        <f t="shared" si="55"/>
        <v>6.4438898569175201E-2</v>
      </c>
      <c r="U145" s="347">
        <f t="shared" si="55"/>
        <v>6.4438898569175201E-2</v>
      </c>
      <c r="V145" s="347">
        <f t="shared" si="55"/>
        <v>6.4438898569175201E-2</v>
      </c>
      <c r="W145" s="347">
        <f t="shared" si="55"/>
        <v>5.8977533117562923E-2</v>
      </c>
      <c r="X145" s="347">
        <f t="shared" si="55"/>
        <v>5.8977533117562923E-2</v>
      </c>
      <c r="Y145" s="347">
        <f t="shared" si="55"/>
        <v>5.8977533117562923E-2</v>
      </c>
      <c r="Z145" s="347">
        <f t="shared" si="55"/>
        <v>5.8977533117562923E-2</v>
      </c>
      <c r="AA145" s="347">
        <f t="shared" si="55"/>
        <v>5.8977533117562923E-2</v>
      </c>
      <c r="AB145" s="347">
        <f t="shared" si="55"/>
        <v>5.2401379005564644E-2</v>
      </c>
      <c r="AC145" s="347">
        <f t="shared" si="55"/>
        <v>5.2401379005564644E-2</v>
      </c>
      <c r="AD145" s="347">
        <f t="shared" si="55"/>
        <v>5.2401379005564644E-2</v>
      </c>
      <c r="AE145" s="347">
        <f t="shared" si="55"/>
        <v>5.2401379005564644E-2</v>
      </c>
      <c r="AF145" s="347">
        <f t="shared" si="55"/>
        <v>5.2401379005564644E-2</v>
      </c>
      <c r="AG145" s="347">
        <f t="shared" si="55"/>
        <v>0</v>
      </c>
      <c r="AH145" s="347">
        <f t="shared" si="55"/>
        <v>0</v>
      </c>
      <c r="AI145" s="347">
        <f t="shared" si="55"/>
        <v>0</v>
      </c>
      <c r="AJ145" s="347">
        <f t="shared" si="55"/>
        <v>0.1295170343436588</v>
      </c>
      <c r="AK145" s="275"/>
      <c r="AL145" s="347">
        <f t="shared" si="55"/>
        <v>0.12223023204846202</v>
      </c>
      <c r="AM145" s="275"/>
      <c r="AN145" s="347">
        <f t="shared" si="55"/>
        <v>0.10789719559042603</v>
      </c>
      <c r="AO145" s="275"/>
      <c r="AP145" s="267"/>
      <c r="AQ145" s="267"/>
    </row>
    <row r="146" spans="1:43" x14ac:dyDescent="0.2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x14ac:dyDescent="0.2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2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25">
      <c r="E149" s="75" t="s">
        <v>709</v>
      </c>
      <c r="F149" s="75"/>
      <c r="I149" t="s">
        <v>152</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153</v>
      </c>
    </row>
    <row r="150" spans="1:43" x14ac:dyDescent="0.25">
      <c r="E150" s="105"/>
      <c r="F150" s="95" t="s">
        <v>154</v>
      </c>
      <c r="G150" s="95" t="s">
        <v>267</v>
      </c>
      <c r="H150" s="277"/>
      <c r="I150" s="265"/>
      <c r="J150" s="345">
        <f t="shared" ref="J150" si="56">ROUND(J121, $H95)</f>
        <v>11.239000000000001</v>
      </c>
      <c r="K150" s="345">
        <f t="shared" ref="K150:AO150" si="57">ROUND(K121, $H95)</f>
        <v>11.239000000000001</v>
      </c>
      <c r="L150" s="345">
        <f t="shared" si="57"/>
        <v>12.823</v>
      </c>
      <c r="M150" s="345">
        <f t="shared" si="57"/>
        <v>12.823</v>
      </c>
      <c r="N150" s="345">
        <f t="shared" si="57"/>
        <v>12.823</v>
      </c>
      <c r="O150" s="345">
        <f t="shared" si="57"/>
        <v>12.823</v>
      </c>
      <c r="P150" s="345">
        <f t="shared" si="57"/>
        <v>12.823</v>
      </c>
      <c r="Q150" s="345">
        <f t="shared" si="57"/>
        <v>12.823</v>
      </c>
      <c r="R150" s="345">
        <f t="shared" si="57"/>
        <v>8.5220000000000002</v>
      </c>
      <c r="S150" s="345">
        <f t="shared" si="57"/>
        <v>8.5220000000000002</v>
      </c>
      <c r="T150" s="345">
        <f t="shared" si="57"/>
        <v>8.5220000000000002</v>
      </c>
      <c r="U150" s="345">
        <f t="shared" si="57"/>
        <v>8.5220000000000002</v>
      </c>
      <c r="V150" s="345">
        <f t="shared" si="57"/>
        <v>8.5220000000000002</v>
      </c>
      <c r="W150" s="345">
        <f t="shared" si="57"/>
        <v>4.6340000000000003</v>
      </c>
      <c r="X150" s="345">
        <f t="shared" si="57"/>
        <v>4.6340000000000003</v>
      </c>
      <c r="Y150" s="345">
        <f t="shared" si="57"/>
        <v>4.6340000000000003</v>
      </c>
      <c r="Z150" s="345">
        <f t="shared" si="57"/>
        <v>4.6340000000000003</v>
      </c>
      <c r="AA150" s="345">
        <f t="shared" si="57"/>
        <v>4.6340000000000003</v>
      </c>
      <c r="AB150" s="345">
        <f t="shared" si="57"/>
        <v>3.403</v>
      </c>
      <c r="AC150" s="345">
        <f t="shared" si="57"/>
        <v>3.403</v>
      </c>
      <c r="AD150" s="345">
        <f t="shared" si="57"/>
        <v>3.403</v>
      </c>
      <c r="AE150" s="345">
        <f t="shared" si="57"/>
        <v>3.403</v>
      </c>
      <c r="AF150" s="345">
        <f t="shared" si="57"/>
        <v>3.403</v>
      </c>
      <c r="AG150" s="345">
        <f t="shared" si="57"/>
        <v>33.484000000000002</v>
      </c>
      <c r="AH150" s="345">
        <f t="shared" si="57"/>
        <v>-7.7359999999999998</v>
      </c>
      <c r="AI150" s="345">
        <f t="shared" si="57"/>
        <v>-6.5179999999999998</v>
      </c>
      <c r="AJ150" s="345">
        <f t="shared" si="57"/>
        <v>-7.7359999999999998</v>
      </c>
      <c r="AK150" s="345">
        <f t="shared" si="57"/>
        <v>-7.7359999999999998</v>
      </c>
      <c r="AL150" s="345">
        <f t="shared" si="57"/>
        <v>-6.5179999999999998</v>
      </c>
      <c r="AM150" s="345">
        <f t="shared" si="57"/>
        <v>-6.5179999999999998</v>
      </c>
      <c r="AN150" s="345">
        <f t="shared" si="57"/>
        <v>-3.8839999999999999</v>
      </c>
      <c r="AO150" s="345">
        <f t="shared" si="57"/>
        <v>-3.8839999999999999</v>
      </c>
      <c r="AP150" s="267"/>
      <c r="AQ150" s="267"/>
    </row>
    <row r="151" spans="1:43" x14ac:dyDescent="0.25">
      <c r="E151" s="105"/>
      <c r="F151" t="s">
        <v>155</v>
      </c>
      <c r="G151" t="s">
        <v>267</v>
      </c>
      <c r="H151" s="278"/>
      <c r="I151" s="267"/>
      <c r="J151" s="296">
        <f t="shared" ref="J151:J156" si="58">ROUND(J122, $H96)</f>
        <v>1.702</v>
      </c>
      <c r="K151" s="296">
        <f t="shared" ref="K151:AO151" si="59">ROUND(K122, $H96)</f>
        <v>1.702</v>
      </c>
      <c r="L151" s="296">
        <f t="shared" si="59"/>
        <v>1.9419999999999999</v>
      </c>
      <c r="M151" s="296">
        <f t="shared" si="59"/>
        <v>1.9419999999999999</v>
      </c>
      <c r="N151" s="296">
        <f t="shared" si="59"/>
        <v>1.9419999999999999</v>
      </c>
      <c r="O151" s="296">
        <f t="shared" si="59"/>
        <v>1.9419999999999999</v>
      </c>
      <c r="P151" s="296">
        <f t="shared" si="59"/>
        <v>1.9419999999999999</v>
      </c>
      <c r="Q151" s="296">
        <f t="shared" si="59"/>
        <v>1.9419999999999999</v>
      </c>
      <c r="R151" s="296">
        <f t="shared" si="59"/>
        <v>1.2549999999999999</v>
      </c>
      <c r="S151" s="296">
        <f t="shared" si="59"/>
        <v>1.2549999999999999</v>
      </c>
      <c r="T151" s="296">
        <f t="shared" si="59"/>
        <v>1.2549999999999999</v>
      </c>
      <c r="U151" s="296">
        <f t="shared" si="59"/>
        <v>1.2549999999999999</v>
      </c>
      <c r="V151" s="296">
        <f t="shared" si="59"/>
        <v>1.2549999999999999</v>
      </c>
      <c r="W151" s="296">
        <f t="shared" si="59"/>
        <v>0.626</v>
      </c>
      <c r="X151" s="296">
        <f t="shared" si="59"/>
        <v>0.626</v>
      </c>
      <c r="Y151" s="296">
        <f t="shared" si="59"/>
        <v>0.626</v>
      </c>
      <c r="Z151" s="296">
        <f t="shared" si="59"/>
        <v>0.626</v>
      </c>
      <c r="AA151" s="296">
        <f t="shared" si="59"/>
        <v>0.626</v>
      </c>
      <c r="AB151" s="296">
        <f t="shared" si="59"/>
        <v>0.42699999999999999</v>
      </c>
      <c r="AC151" s="296">
        <f t="shared" si="59"/>
        <v>0.42699999999999999</v>
      </c>
      <c r="AD151" s="296">
        <f t="shared" si="59"/>
        <v>0.42699999999999999</v>
      </c>
      <c r="AE151" s="296">
        <f t="shared" si="59"/>
        <v>0.42699999999999999</v>
      </c>
      <c r="AF151" s="296">
        <f t="shared" si="59"/>
        <v>0.42699999999999999</v>
      </c>
      <c r="AG151" s="296">
        <f t="shared" si="59"/>
        <v>1.8129999999999999</v>
      </c>
      <c r="AH151" s="296">
        <f t="shared" si="59"/>
        <v>-1.171</v>
      </c>
      <c r="AI151" s="296">
        <f t="shared" si="59"/>
        <v>-0.97199999999999998</v>
      </c>
      <c r="AJ151" s="296">
        <f t="shared" si="59"/>
        <v>-1.171</v>
      </c>
      <c r="AK151" s="296">
        <f t="shared" si="59"/>
        <v>-1.171</v>
      </c>
      <c r="AL151" s="296">
        <f t="shared" si="59"/>
        <v>-0.97199999999999998</v>
      </c>
      <c r="AM151" s="296">
        <f t="shared" si="59"/>
        <v>-0.97199999999999998</v>
      </c>
      <c r="AN151" s="296">
        <f t="shared" si="59"/>
        <v>-0.52500000000000002</v>
      </c>
      <c r="AO151" s="296">
        <f t="shared" si="59"/>
        <v>-0.52500000000000002</v>
      </c>
      <c r="AP151" s="267"/>
      <c r="AQ151" s="267"/>
    </row>
    <row r="152" spans="1:43" x14ac:dyDescent="0.25">
      <c r="E152" s="105"/>
      <c r="F152" t="s">
        <v>156</v>
      </c>
      <c r="G152" t="s">
        <v>267</v>
      </c>
      <c r="H152" s="278"/>
      <c r="I152" s="267"/>
      <c r="J152" s="296">
        <f t="shared" si="58"/>
        <v>0.24</v>
      </c>
      <c r="K152" s="296">
        <f t="shared" ref="K152:AO152" si="60">ROUND(K123, $H97)</f>
        <v>0.24</v>
      </c>
      <c r="L152" s="296">
        <f t="shared" si="60"/>
        <v>0.27300000000000002</v>
      </c>
      <c r="M152" s="296">
        <f t="shared" si="60"/>
        <v>0.27300000000000002</v>
      </c>
      <c r="N152" s="296">
        <f t="shared" si="60"/>
        <v>0.27300000000000002</v>
      </c>
      <c r="O152" s="296">
        <f t="shared" si="60"/>
        <v>0.27300000000000002</v>
      </c>
      <c r="P152" s="296">
        <f t="shared" si="60"/>
        <v>0.27300000000000002</v>
      </c>
      <c r="Q152" s="296">
        <f t="shared" si="60"/>
        <v>0.27300000000000002</v>
      </c>
      <c r="R152" s="296">
        <f t="shared" si="60"/>
        <v>0.17899999999999999</v>
      </c>
      <c r="S152" s="296">
        <f t="shared" si="60"/>
        <v>0.17899999999999999</v>
      </c>
      <c r="T152" s="296">
        <f t="shared" si="60"/>
        <v>0.17899999999999999</v>
      </c>
      <c r="U152" s="296">
        <f t="shared" si="60"/>
        <v>0.17899999999999999</v>
      </c>
      <c r="V152" s="296">
        <f t="shared" si="60"/>
        <v>0.17899999999999999</v>
      </c>
      <c r="W152" s="296">
        <f t="shared" si="60"/>
        <v>9.2999999999999999E-2</v>
      </c>
      <c r="X152" s="296">
        <f t="shared" si="60"/>
        <v>9.2999999999999999E-2</v>
      </c>
      <c r="Y152" s="296">
        <f t="shared" si="60"/>
        <v>9.2999999999999999E-2</v>
      </c>
      <c r="Z152" s="296">
        <f t="shared" si="60"/>
        <v>9.2999999999999999E-2</v>
      </c>
      <c r="AA152" s="296">
        <f t="shared" si="60"/>
        <v>9.2999999999999999E-2</v>
      </c>
      <c r="AB152" s="296">
        <f t="shared" si="60"/>
        <v>6.6000000000000003E-2</v>
      </c>
      <c r="AC152" s="296">
        <f t="shared" si="60"/>
        <v>6.6000000000000003E-2</v>
      </c>
      <c r="AD152" s="296">
        <f t="shared" si="60"/>
        <v>6.6000000000000003E-2</v>
      </c>
      <c r="AE152" s="296">
        <f t="shared" si="60"/>
        <v>6.6000000000000003E-2</v>
      </c>
      <c r="AF152" s="296">
        <f t="shared" si="60"/>
        <v>6.6000000000000003E-2</v>
      </c>
      <c r="AG152" s="296">
        <f t="shared" si="60"/>
        <v>0.498</v>
      </c>
      <c r="AH152" s="296">
        <f t="shared" si="60"/>
        <v>-0.16500000000000001</v>
      </c>
      <c r="AI152" s="296">
        <f t="shared" si="60"/>
        <v>-0.13800000000000001</v>
      </c>
      <c r="AJ152" s="296">
        <f t="shared" si="60"/>
        <v>-0.16500000000000001</v>
      </c>
      <c r="AK152" s="296">
        <f t="shared" si="60"/>
        <v>-0.16500000000000001</v>
      </c>
      <c r="AL152" s="296">
        <f t="shared" si="60"/>
        <v>-0.13800000000000001</v>
      </c>
      <c r="AM152" s="296">
        <f t="shared" si="60"/>
        <v>-0.13800000000000001</v>
      </c>
      <c r="AN152" s="296">
        <f t="shared" si="60"/>
        <v>-7.8E-2</v>
      </c>
      <c r="AO152" s="296">
        <f t="shared" si="60"/>
        <v>-7.8E-2</v>
      </c>
      <c r="AP152" s="267"/>
      <c r="AQ152" s="267"/>
    </row>
    <row r="153" spans="1:43" x14ac:dyDescent="0.25">
      <c r="E153" s="105"/>
      <c r="F153" t="s">
        <v>157</v>
      </c>
      <c r="G153" t="s">
        <v>268</v>
      </c>
      <c r="H153" s="78"/>
      <c r="J153" s="151">
        <f t="shared" si="58"/>
        <v>17.97</v>
      </c>
      <c r="K153" s="151">
        <f t="shared" ref="K153:AO153" si="61">ROUND(K124, $H98)</f>
        <v>0</v>
      </c>
      <c r="L153" s="151">
        <f t="shared" si="61"/>
        <v>14.71</v>
      </c>
      <c r="M153" s="151">
        <f t="shared" si="61"/>
        <v>16.73</v>
      </c>
      <c r="N153" s="151">
        <f t="shared" si="61"/>
        <v>20.21</v>
      </c>
      <c r="O153" s="151">
        <f t="shared" si="61"/>
        <v>26.54</v>
      </c>
      <c r="P153" s="151">
        <f t="shared" si="61"/>
        <v>46.58</v>
      </c>
      <c r="Q153" s="151">
        <f t="shared" si="61"/>
        <v>0</v>
      </c>
      <c r="R153" s="151">
        <f t="shared" si="61"/>
        <v>15.25</v>
      </c>
      <c r="S153" s="151">
        <f t="shared" si="61"/>
        <v>68.39</v>
      </c>
      <c r="T153" s="151">
        <f t="shared" si="61"/>
        <v>129.88999999999999</v>
      </c>
      <c r="U153" s="151">
        <f t="shared" si="61"/>
        <v>194.74</v>
      </c>
      <c r="V153" s="151">
        <f t="shared" si="61"/>
        <v>482.86</v>
      </c>
      <c r="W153" s="151">
        <f t="shared" si="61"/>
        <v>15.25</v>
      </c>
      <c r="X153" s="151">
        <f t="shared" si="61"/>
        <v>68.39</v>
      </c>
      <c r="Y153" s="151">
        <f t="shared" si="61"/>
        <v>129.88999999999999</v>
      </c>
      <c r="Z153" s="151">
        <f t="shared" si="61"/>
        <v>194.74</v>
      </c>
      <c r="AA153" s="151">
        <f t="shared" si="61"/>
        <v>482.86</v>
      </c>
      <c r="AB153" s="151">
        <f t="shared" si="61"/>
        <v>316.66000000000003</v>
      </c>
      <c r="AC153" s="151">
        <f t="shared" si="61"/>
        <v>681.69</v>
      </c>
      <c r="AD153" s="151">
        <f t="shared" si="61"/>
        <v>1316.4</v>
      </c>
      <c r="AE153" s="151">
        <f t="shared" si="61"/>
        <v>2103.42</v>
      </c>
      <c r="AF153" s="151">
        <f t="shared" si="61"/>
        <v>5182.22</v>
      </c>
      <c r="AG153" s="151">
        <f t="shared" si="61"/>
        <v>0</v>
      </c>
      <c r="AH153" s="151">
        <f t="shared" si="61"/>
        <v>0</v>
      </c>
      <c r="AI153" s="151">
        <f t="shared" si="61"/>
        <v>0</v>
      </c>
      <c r="AJ153" s="151">
        <f t="shared" si="61"/>
        <v>0</v>
      </c>
      <c r="AK153" s="151">
        <f t="shared" si="61"/>
        <v>0</v>
      </c>
      <c r="AL153" s="151">
        <f t="shared" si="61"/>
        <v>0</v>
      </c>
      <c r="AM153" s="151">
        <f t="shared" si="61"/>
        <v>0</v>
      </c>
      <c r="AN153" s="151">
        <f t="shared" si="61"/>
        <v>70.64</v>
      </c>
      <c r="AO153" s="151">
        <f t="shared" si="61"/>
        <v>70.64</v>
      </c>
    </row>
    <row r="154" spans="1:43" x14ac:dyDescent="0.25">
      <c r="E154" s="105"/>
      <c r="F154" t="s">
        <v>158</v>
      </c>
      <c r="G154" t="s">
        <v>269</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5.48</v>
      </c>
      <c r="S154" s="151">
        <f t="shared" si="62"/>
        <v>5.48</v>
      </c>
      <c r="T154" s="151">
        <f t="shared" si="62"/>
        <v>5.48</v>
      </c>
      <c r="U154" s="151">
        <f t="shared" si="62"/>
        <v>5.48</v>
      </c>
      <c r="V154" s="151">
        <f t="shared" si="62"/>
        <v>5.48</v>
      </c>
      <c r="W154" s="151">
        <f t="shared" si="62"/>
        <v>5.15</v>
      </c>
      <c r="X154" s="151">
        <f t="shared" si="62"/>
        <v>5.15</v>
      </c>
      <c r="Y154" s="151">
        <f t="shared" si="62"/>
        <v>5.15</v>
      </c>
      <c r="Z154" s="151">
        <f t="shared" si="62"/>
        <v>5.15</v>
      </c>
      <c r="AA154" s="151">
        <f t="shared" si="62"/>
        <v>5.15</v>
      </c>
      <c r="AB154" s="151">
        <f t="shared" si="62"/>
        <v>5.6</v>
      </c>
      <c r="AC154" s="151">
        <f t="shared" si="62"/>
        <v>5.6</v>
      </c>
      <c r="AD154" s="151">
        <f t="shared" si="62"/>
        <v>5.6</v>
      </c>
      <c r="AE154" s="151">
        <f t="shared" si="62"/>
        <v>5.6</v>
      </c>
      <c r="AF154" s="151">
        <f t="shared" si="62"/>
        <v>5.6</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25">
      <c r="E155" s="105"/>
      <c r="F155" t="s">
        <v>159</v>
      </c>
      <c r="G155" t="s">
        <v>269</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5.48</v>
      </c>
      <c r="S155" s="151">
        <f t="shared" si="63"/>
        <v>5.48</v>
      </c>
      <c r="T155" s="151">
        <f t="shared" si="63"/>
        <v>5.48</v>
      </c>
      <c r="U155" s="151">
        <f t="shared" si="63"/>
        <v>5.48</v>
      </c>
      <c r="V155" s="151">
        <f t="shared" si="63"/>
        <v>5.48</v>
      </c>
      <c r="W155" s="151">
        <f t="shared" si="63"/>
        <v>5.15</v>
      </c>
      <c r="X155" s="151">
        <f t="shared" si="63"/>
        <v>5.15</v>
      </c>
      <c r="Y155" s="151">
        <f t="shared" si="63"/>
        <v>5.15</v>
      </c>
      <c r="Z155" s="151">
        <f t="shared" si="63"/>
        <v>5.15</v>
      </c>
      <c r="AA155" s="151">
        <f t="shared" si="63"/>
        <v>5.15</v>
      </c>
      <c r="AB155" s="151">
        <f t="shared" si="63"/>
        <v>5.6</v>
      </c>
      <c r="AC155" s="151">
        <f t="shared" si="63"/>
        <v>5.6</v>
      </c>
      <c r="AD155" s="151">
        <f t="shared" si="63"/>
        <v>5.6</v>
      </c>
      <c r="AE155" s="151">
        <f t="shared" si="63"/>
        <v>5.6</v>
      </c>
      <c r="AF155" s="151">
        <f t="shared" si="63"/>
        <v>5.6</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25">
      <c r="E156" s="105"/>
      <c r="F156" s="96" t="s">
        <v>160</v>
      </c>
      <c r="G156" s="96" t="s">
        <v>270</v>
      </c>
      <c r="H156" s="310"/>
      <c r="I156" s="269"/>
      <c r="J156" s="284">
        <f t="shared" si="58"/>
        <v>0</v>
      </c>
      <c r="K156" s="284">
        <f t="shared" ref="K156:AO156" si="64">ROUND(K127, $H101)</f>
        <v>0</v>
      </c>
      <c r="L156" s="284">
        <f t="shared" si="64"/>
        <v>0</v>
      </c>
      <c r="M156" s="284">
        <f t="shared" si="64"/>
        <v>0</v>
      </c>
      <c r="N156" s="284">
        <f t="shared" si="64"/>
        <v>0</v>
      </c>
      <c r="O156" s="284">
        <f t="shared" si="64"/>
        <v>0</v>
      </c>
      <c r="P156" s="284">
        <f t="shared" si="64"/>
        <v>0</v>
      </c>
      <c r="Q156" s="284">
        <f t="shared" si="64"/>
        <v>0</v>
      </c>
      <c r="R156" s="284">
        <f t="shared" si="64"/>
        <v>0.16300000000000001</v>
      </c>
      <c r="S156" s="284">
        <f t="shared" si="64"/>
        <v>0.16300000000000001</v>
      </c>
      <c r="T156" s="284">
        <f t="shared" si="64"/>
        <v>0.16300000000000001</v>
      </c>
      <c r="U156" s="284">
        <f t="shared" si="64"/>
        <v>0.16300000000000001</v>
      </c>
      <c r="V156" s="284">
        <f t="shared" si="64"/>
        <v>0.16300000000000001</v>
      </c>
      <c r="W156" s="284">
        <f t="shared" si="64"/>
        <v>8.6999999999999994E-2</v>
      </c>
      <c r="X156" s="284">
        <f t="shared" si="64"/>
        <v>8.6999999999999994E-2</v>
      </c>
      <c r="Y156" s="284">
        <f t="shared" si="64"/>
        <v>8.6999999999999994E-2</v>
      </c>
      <c r="Z156" s="284">
        <f t="shared" si="64"/>
        <v>8.6999999999999994E-2</v>
      </c>
      <c r="AA156" s="284">
        <f t="shared" si="64"/>
        <v>8.6999999999999994E-2</v>
      </c>
      <c r="AB156" s="284">
        <f t="shared" si="64"/>
        <v>6.3E-2</v>
      </c>
      <c r="AC156" s="284">
        <f t="shared" si="64"/>
        <v>6.3E-2</v>
      </c>
      <c r="AD156" s="284">
        <f t="shared" si="64"/>
        <v>6.3E-2</v>
      </c>
      <c r="AE156" s="284">
        <f t="shared" si="64"/>
        <v>6.3E-2</v>
      </c>
      <c r="AF156" s="284">
        <f t="shared" si="64"/>
        <v>6.3E-2</v>
      </c>
      <c r="AG156" s="284">
        <f t="shared" si="64"/>
        <v>0</v>
      </c>
      <c r="AH156" s="284">
        <f t="shared" si="64"/>
        <v>0</v>
      </c>
      <c r="AI156" s="284">
        <f t="shared" si="64"/>
        <v>0</v>
      </c>
      <c r="AJ156" s="284">
        <f t="shared" si="64"/>
        <v>0.13</v>
      </c>
      <c r="AK156" s="284">
        <f t="shared" si="64"/>
        <v>0</v>
      </c>
      <c r="AL156" s="284">
        <f t="shared" si="64"/>
        <v>0.122</v>
      </c>
      <c r="AM156" s="284">
        <f t="shared" si="64"/>
        <v>0</v>
      </c>
      <c r="AN156" s="284">
        <f t="shared" si="64"/>
        <v>0.108</v>
      </c>
      <c r="AO156" s="284">
        <f t="shared" si="64"/>
        <v>0</v>
      </c>
      <c r="AP156" s="267"/>
      <c r="AQ156" s="267"/>
    </row>
    <row r="157" spans="1:43" x14ac:dyDescent="0.2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25">
      <c r="E158" s="75" t="s">
        <v>710</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153</v>
      </c>
    </row>
    <row r="159" spans="1:43" x14ac:dyDescent="0.25">
      <c r="E159" s="105"/>
      <c r="F159" s="95" t="s">
        <v>154</v>
      </c>
      <c r="G159" s="95" t="s">
        <v>267</v>
      </c>
      <c r="H159" s="277"/>
      <c r="I159" s="265"/>
      <c r="J159" s="345">
        <f>ROUND(J130, $H95)</f>
        <v>6.6310000000000002</v>
      </c>
      <c r="K159" s="345">
        <f t="shared" ref="K159:AO159" si="65">ROUND(K130, $H95)</f>
        <v>6.6310000000000002</v>
      </c>
      <c r="L159" s="345">
        <f t="shared" si="65"/>
        <v>7.5650000000000004</v>
      </c>
      <c r="M159" s="345">
        <f t="shared" si="65"/>
        <v>7.5650000000000004</v>
      </c>
      <c r="N159" s="345">
        <f t="shared" si="65"/>
        <v>7.5650000000000004</v>
      </c>
      <c r="O159" s="345">
        <f t="shared" si="65"/>
        <v>7.5650000000000004</v>
      </c>
      <c r="P159" s="345">
        <f t="shared" si="65"/>
        <v>7.5650000000000004</v>
      </c>
      <c r="Q159" s="345">
        <f t="shared" si="65"/>
        <v>7.5650000000000004</v>
      </c>
      <c r="R159" s="345">
        <f t="shared" si="65"/>
        <v>5.0279999999999996</v>
      </c>
      <c r="S159" s="345">
        <f t="shared" si="65"/>
        <v>5.0279999999999996</v>
      </c>
      <c r="T159" s="345">
        <f t="shared" si="65"/>
        <v>5.0279999999999996</v>
      </c>
      <c r="U159" s="345">
        <f t="shared" si="65"/>
        <v>5.0279999999999996</v>
      </c>
      <c r="V159" s="345">
        <f t="shared" si="65"/>
        <v>5.0279999999999996</v>
      </c>
      <c r="W159" s="279">
        <f t="shared" si="65"/>
        <v>0</v>
      </c>
      <c r="X159" s="279">
        <f t="shared" si="65"/>
        <v>0</v>
      </c>
      <c r="Y159" s="279">
        <f t="shared" si="65"/>
        <v>0</v>
      </c>
      <c r="Z159" s="279">
        <f t="shared" si="65"/>
        <v>0</v>
      </c>
      <c r="AA159" s="279">
        <f t="shared" si="65"/>
        <v>0</v>
      </c>
      <c r="AB159" s="279">
        <f t="shared" si="65"/>
        <v>0</v>
      </c>
      <c r="AC159" s="279">
        <f t="shared" si="65"/>
        <v>0</v>
      </c>
      <c r="AD159" s="279">
        <f t="shared" si="65"/>
        <v>0</v>
      </c>
      <c r="AE159" s="279">
        <f t="shared" si="65"/>
        <v>0</v>
      </c>
      <c r="AF159" s="279">
        <f t="shared" si="65"/>
        <v>0</v>
      </c>
      <c r="AG159" s="345">
        <f t="shared" si="65"/>
        <v>19.754999999999999</v>
      </c>
      <c r="AH159" s="345">
        <f t="shared" si="65"/>
        <v>-7.7359999999999998</v>
      </c>
      <c r="AI159" s="279">
        <f t="shared" si="65"/>
        <v>0</v>
      </c>
      <c r="AJ159" s="345">
        <f t="shared" si="65"/>
        <v>-7.7359999999999998</v>
      </c>
      <c r="AK159" s="279">
        <f t="shared" si="65"/>
        <v>0</v>
      </c>
      <c r="AL159" s="279">
        <f t="shared" si="65"/>
        <v>0</v>
      </c>
      <c r="AM159" s="279">
        <f t="shared" si="65"/>
        <v>0</v>
      </c>
      <c r="AN159" s="279">
        <f t="shared" si="65"/>
        <v>0</v>
      </c>
      <c r="AO159" s="279">
        <f t="shared" si="65"/>
        <v>0</v>
      </c>
      <c r="AP159" s="267"/>
      <c r="AQ159" s="267"/>
    </row>
    <row r="160" spans="1:43" x14ac:dyDescent="0.25">
      <c r="E160" s="105"/>
      <c r="F160" t="s">
        <v>155</v>
      </c>
      <c r="G160" t="s">
        <v>267</v>
      </c>
      <c r="H160" s="278"/>
      <c r="I160" s="267"/>
      <c r="J160" s="296">
        <f t="shared" ref="J160:J165" si="66">ROUND(J131, $H96)</f>
        <v>1.004</v>
      </c>
      <c r="K160" s="296">
        <f t="shared" ref="K160:AO160" si="67">ROUND(K131, $H96)</f>
        <v>1.004</v>
      </c>
      <c r="L160" s="296">
        <f t="shared" si="67"/>
        <v>1.1459999999999999</v>
      </c>
      <c r="M160" s="296">
        <f t="shared" si="67"/>
        <v>1.1459999999999999</v>
      </c>
      <c r="N160" s="296">
        <f t="shared" si="67"/>
        <v>1.1459999999999999</v>
      </c>
      <c r="O160" s="296">
        <f t="shared" si="67"/>
        <v>1.1459999999999999</v>
      </c>
      <c r="P160" s="296">
        <f t="shared" si="67"/>
        <v>1.1459999999999999</v>
      </c>
      <c r="Q160" s="296">
        <f t="shared" si="67"/>
        <v>1.1459999999999999</v>
      </c>
      <c r="R160" s="296">
        <f t="shared" si="67"/>
        <v>0.74099999999999999</v>
      </c>
      <c r="S160" s="296">
        <f t="shared" si="67"/>
        <v>0.74099999999999999</v>
      </c>
      <c r="T160" s="296">
        <f t="shared" si="67"/>
        <v>0.74099999999999999</v>
      </c>
      <c r="U160" s="296">
        <f t="shared" si="67"/>
        <v>0.74099999999999999</v>
      </c>
      <c r="V160" s="296">
        <f t="shared" si="67"/>
        <v>0.74099999999999999</v>
      </c>
      <c r="W160" s="293">
        <f t="shared" si="67"/>
        <v>0</v>
      </c>
      <c r="X160" s="293">
        <f t="shared" si="67"/>
        <v>0</v>
      </c>
      <c r="Y160" s="293">
        <f t="shared" si="67"/>
        <v>0</v>
      </c>
      <c r="Z160" s="293">
        <f t="shared" si="67"/>
        <v>0</v>
      </c>
      <c r="AA160" s="293">
        <f t="shared" si="67"/>
        <v>0</v>
      </c>
      <c r="AB160" s="293">
        <f t="shared" si="67"/>
        <v>0</v>
      </c>
      <c r="AC160" s="293">
        <f t="shared" si="67"/>
        <v>0</v>
      </c>
      <c r="AD160" s="293">
        <f t="shared" si="67"/>
        <v>0</v>
      </c>
      <c r="AE160" s="293">
        <f t="shared" si="67"/>
        <v>0</v>
      </c>
      <c r="AF160" s="293">
        <f t="shared" si="67"/>
        <v>0</v>
      </c>
      <c r="AG160" s="296">
        <f t="shared" si="67"/>
        <v>1.07</v>
      </c>
      <c r="AH160" s="296">
        <f t="shared" si="67"/>
        <v>-1.171</v>
      </c>
      <c r="AI160" s="293">
        <f t="shared" si="67"/>
        <v>0</v>
      </c>
      <c r="AJ160" s="296">
        <f t="shared" si="67"/>
        <v>-1.171</v>
      </c>
      <c r="AK160" s="293">
        <f t="shared" si="67"/>
        <v>0</v>
      </c>
      <c r="AL160" s="293">
        <f t="shared" si="67"/>
        <v>0</v>
      </c>
      <c r="AM160" s="293">
        <f t="shared" si="67"/>
        <v>0</v>
      </c>
      <c r="AN160" s="293">
        <f t="shared" si="67"/>
        <v>0</v>
      </c>
      <c r="AO160" s="293">
        <f t="shared" si="67"/>
        <v>0</v>
      </c>
      <c r="AP160" s="267"/>
      <c r="AQ160" s="267"/>
    </row>
    <row r="161" spans="2:43" x14ac:dyDescent="0.25">
      <c r="E161" s="105"/>
      <c r="F161" t="s">
        <v>156</v>
      </c>
      <c r="G161" t="s">
        <v>267</v>
      </c>
      <c r="H161" s="278"/>
      <c r="I161" s="267"/>
      <c r="J161" s="296">
        <f t="shared" si="66"/>
        <v>0.14099999999999999</v>
      </c>
      <c r="K161" s="296">
        <f t="shared" ref="K161:AO161" si="68">ROUND(K132, $H97)</f>
        <v>0.14099999999999999</v>
      </c>
      <c r="L161" s="296">
        <f t="shared" si="68"/>
        <v>0.161</v>
      </c>
      <c r="M161" s="296">
        <f t="shared" si="68"/>
        <v>0.161</v>
      </c>
      <c r="N161" s="296">
        <f t="shared" si="68"/>
        <v>0.161</v>
      </c>
      <c r="O161" s="296">
        <f t="shared" si="68"/>
        <v>0.161</v>
      </c>
      <c r="P161" s="296">
        <f t="shared" si="68"/>
        <v>0.161</v>
      </c>
      <c r="Q161" s="296">
        <f t="shared" si="68"/>
        <v>0.161</v>
      </c>
      <c r="R161" s="296">
        <f t="shared" si="68"/>
        <v>0.106</v>
      </c>
      <c r="S161" s="296">
        <f t="shared" si="68"/>
        <v>0.106</v>
      </c>
      <c r="T161" s="296">
        <f t="shared" si="68"/>
        <v>0.106</v>
      </c>
      <c r="U161" s="296">
        <f t="shared" si="68"/>
        <v>0.106</v>
      </c>
      <c r="V161" s="296">
        <f t="shared" si="68"/>
        <v>0.106</v>
      </c>
      <c r="W161" s="293">
        <f t="shared" si="68"/>
        <v>0</v>
      </c>
      <c r="X161" s="293">
        <f t="shared" si="68"/>
        <v>0</v>
      </c>
      <c r="Y161" s="293">
        <f t="shared" si="68"/>
        <v>0</v>
      </c>
      <c r="Z161" s="293">
        <f t="shared" si="68"/>
        <v>0</v>
      </c>
      <c r="AA161" s="293">
        <f t="shared" si="68"/>
        <v>0</v>
      </c>
      <c r="AB161" s="293">
        <f t="shared" si="68"/>
        <v>0</v>
      </c>
      <c r="AC161" s="293">
        <f t="shared" si="68"/>
        <v>0</v>
      </c>
      <c r="AD161" s="293">
        <f t="shared" si="68"/>
        <v>0</v>
      </c>
      <c r="AE161" s="293">
        <f t="shared" si="68"/>
        <v>0</v>
      </c>
      <c r="AF161" s="293">
        <f t="shared" si="68"/>
        <v>0</v>
      </c>
      <c r="AG161" s="296">
        <f t="shared" si="68"/>
        <v>0.29399999999999998</v>
      </c>
      <c r="AH161" s="296">
        <f t="shared" si="68"/>
        <v>-0.16500000000000001</v>
      </c>
      <c r="AI161" s="293">
        <f t="shared" si="68"/>
        <v>0</v>
      </c>
      <c r="AJ161" s="296">
        <f t="shared" si="68"/>
        <v>-0.16500000000000001</v>
      </c>
      <c r="AK161" s="293">
        <f t="shared" si="68"/>
        <v>0</v>
      </c>
      <c r="AL161" s="293">
        <f t="shared" si="68"/>
        <v>0</v>
      </c>
      <c r="AM161" s="293">
        <f t="shared" si="68"/>
        <v>0</v>
      </c>
      <c r="AN161" s="293">
        <f t="shared" si="68"/>
        <v>0</v>
      </c>
      <c r="AO161" s="293">
        <f t="shared" si="68"/>
        <v>0</v>
      </c>
      <c r="AP161" s="267"/>
      <c r="AQ161" s="267"/>
    </row>
    <row r="162" spans="2:43" x14ac:dyDescent="0.25">
      <c r="E162" s="105"/>
      <c r="F162" t="s">
        <v>157</v>
      </c>
      <c r="G162" t="s">
        <v>268</v>
      </c>
      <c r="H162" s="78"/>
      <c r="J162" s="151">
        <f t="shared" si="66"/>
        <v>10.6</v>
      </c>
      <c r="K162" s="151">
        <f t="shared" ref="K162:AO162" si="69">ROUND(K133, $H98)</f>
        <v>0</v>
      </c>
      <c r="L162" s="151">
        <f t="shared" si="69"/>
        <v>8.68</v>
      </c>
      <c r="M162" s="151">
        <f t="shared" si="69"/>
        <v>9.8699999999999992</v>
      </c>
      <c r="N162" s="151">
        <f t="shared" si="69"/>
        <v>11.92</v>
      </c>
      <c r="O162" s="151">
        <f t="shared" si="69"/>
        <v>15.66</v>
      </c>
      <c r="P162" s="151">
        <f t="shared" si="69"/>
        <v>27.48</v>
      </c>
      <c r="Q162" s="151">
        <f t="shared" si="69"/>
        <v>0</v>
      </c>
      <c r="R162" s="151">
        <f t="shared" si="69"/>
        <v>8.99</v>
      </c>
      <c r="S162" s="151">
        <f t="shared" si="69"/>
        <v>40.35</v>
      </c>
      <c r="T162" s="151">
        <f t="shared" si="69"/>
        <v>76.64</v>
      </c>
      <c r="U162" s="151">
        <f t="shared" si="69"/>
        <v>114.9</v>
      </c>
      <c r="V162" s="151">
        <f t="shared" si="69"/>
        <v>284.89</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25">
      <c r="E163" s="105"/>
      <c r="F163" t="s">
        <v>158</v>
      </c>
      <c r="G163" t="s">
        <v>269</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3.23</v>
      </c>
      <c r="S163" s="151">
        <f t="shared" si="70"/>
        <v>3.23</v>
      </c>
      <c r="T163" s="151">
        <f t="shared" si="70"/>
        <v>3.23</v>
      </c>
      <c r="U163" s="151">
        <f t="shared" si="70"/>
        <v>3.23</v>
      </c>
      <c r="V163" s="151">
        <f t="shared" si="70"/>
        <v>3.23</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25">
      <c r="E164" s="105"/>
      <c r="F164" t="s">
        <v>159</v>
      </c>
      <c r="G164" t="s">
        <v>269</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3.23</v>
      </c>
      <c r="S164" s="151">
        <f t="shared" si="71"/>
        <v>3.23</v>
      </c>
      <c r="T164" s="151">
        <f t="shared" si="71"/>
        <v>3.23</v>
      </c>
      <c r="U164" s="151">
        <f t="shared" si="71"/>
        <v>3.23</v>
      </c>
      <c r="V164" s="151">
        <f t="shared" si="71"/>
        <v>3.23</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25">
      <c r="E165" s="105"/>
      <c r="F165" s="96" t="s">
        <v>160</v>
      </c>
      <c r="G165" s="96" t="s">
        <v>270</v>
      </c>
      <c r="H165" s="310"/>
      <c r="I165" s="269"/>
      <c r="J165" s="284">
        <f t="shared" si="66"/>
        <v>0</v>
      </c>
      <c r="K165" s="284">
        <f t="shared" ref="K165:AO165" si="72">ROUND(K136, $H101)</f>
        <v>0</v>
      </c>
      <c r="L165" s="284">
        <f t="shared" si="72"/>
        <v>0</v>
      </c>
      <c r="M165" s="284">
        <f t="shared" si="72"/>
        <v>0</v>
      </c>
      <c r="N165" s="284">
        <f t="shared" si="72"/>
        <v>0</v>
      </c>
      <c r="O165" s="284">
        <f t="shared" si="72"/>
        <v>0</v>
      </c>
      <c r="P165" s="284">
        <f t="shared" si="72"/>
        <v>0</v>
      </c>
      <c r="Q165" s="284">
        <f t="shared" si="72"/>
        <v>0</v>
      </c>
      <c r="R165" s="284">
        <f t="shared" si="72"/>
        <v>9.6000000000000002E-2</v>
      </c>
      <c r="S165" s="284">
        <f t="shared" si="72"/>
        <v>9.6000000000000002E-2</v>
      </c>
      <c r="T165" s="284">
        <f t="shared" si="72"/>
        <v>9.6000000000000002E-2</v>
      </c>
      <c r="U165" s="284">
        <f t="shared" si="72"/>
        <v>9.6000000000000002E-2</v>
      </c>
      <c r="V165" s="284">
        <f t="shared" si="72"/>
        <v>9.6000000000000002E-2</v>
      </c>
      <c r="W165" s="275">
        <f t="shared" si="72"/>
        <v>0</v>
      </c>
      <c r="X165" s="275">
        <f t="shared" si="72"/>
        <v>0</v>
      </c>
      <c r="Y165" s="275">
        <f t="shared" si="72"/>
        <v>0</v>
      </c>
      <c r="Z165" s="275">
        <f t="shared" si="72"/>
        <v>0</v>
      </c>
      <c r="AA165" s="275">
        <f t="shared" si="72"/>
        <v>0</v>
      </c>
      <c r="AB165" s="275">
        <f t="shared" si="72"/>
        <v>0</v>
      </c>
      <c r="AC165" s="275">
        <f t="shared" si="72"/>
        <v>0</v>
      </c>
      <c r="AD165" s="275">
        <f t="shared" si="72"/>
        <v>0</v>
      </c>
      <c r="AE165" s="275">
        <f t="shared" si="72"/>
        <v>0</v>
      </c>
      <c r="AF165" s="275">
        <f t="shared" si="72"/>
        <v>0</v>
      </c>
      <c r="AG165" s="284">
        <f t="shared" si="72"/>
        <v>0</v>
      </c>
      <c r="AH165" s="284">
        <f t="shared" si="72"/>
        <v>0</v>
      </c>
      <c r="AI165" s="275">
        <f t="shared" si="72"/>
        <v>0</v>
      </c>
      <c r="AJ165" s="284">
        <f t="shared" si="72"/>
        <v>0.13</v>
      </c>
      <c r="AK165" s="275">
        <f t="shared" si="72"/>
        <v>0</v>
      </c>
      <c r="AL165" s="275">
        <f t="shared" si="72"/>
        <v>0</v>
      </c>
      <c r="AM165" s="275">
        <f t="shared" si="72"/>
        <v>0</v>
      </c>
      <c r="AN165" s="275">
        <f t="shared" si="72"/>
        <v>0</v>
      </c>
      <c r="AO165" s="275">
        <f t="shared" si="72"/>
        <v>0</v>
      </c>
      <c r="AP165" s="267"/>
      <c r="AQ165" s="267"/>
    </row>
    <row r="166" spans="2:43" x14ac:dyDescent="0.2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E167" s="75" t="s">
        <v>711</v>
      </c>
      <c r="I167" t="s">
        <v>152</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153</v>
      </c>
    </row>
    <row r="168" spans="2:43" x14ac:dyDescent="0.25">
      <c r="C168" s="105"/>
      <c r="F168" s="95" t="s">
        <v>154</v>
      </c>
      <c r="G168" s="95" t="s">
        <v>267</v>
      </c>
      <c r="H168" s="277"/>
      <c r="I168" s="265"/>
      <c r="J168" s="345">
        <f t="shared" ref="J168" si="73">ROUND( J139, $H95)</f>
        <v>4.4530000000000003</v>
      </c>
      <c r="K168" s="345">
        <f t="shared" ref="K168:AO168" si="74">ROUND( K139, $H95)</f>
        <v>4.4530000000000003</v>
      </c>
      <c r="L168" s="345">
        <f t="shared" si="74"/>
        <v>5.0810000000000004</v>
      </c>
      <c r="M168" s="345">
        <f t="shared" si="74"/>
        <v>5.0810000000000004</v>
      </c>
      <c r="N168" s="345">
        <f t="shared" si="74"/>
        <v>5.0810000000000004</v>
      </c>
      <c r="O168" s="345">
        <f t="shared" si="74"/>
        <v>5.0810000000000004</v>
      </c>
      <c r="P168" s="345">
        <f t="shared" si="74"/>
        <v>5.0810000000000004</v>
      </c>
      <c r="Q168" s="345">
        <f t="shared" si="74"/>
        <v>5.0810000000000004</v>
      </c>
      <c r="R168" s="345">
        <f t="shared" si="74"/>
        <v>3.3769999999999998</v>
      </c>
      <c r="S168" s="345">
        <f t="shared" si="74"/>
        <v>3.3769999999999998</v>
      </c>
      <c r="T168" s="345">
        <f t="shared" si="74"/>
        <v>3.3769999999999998</v>
      </c>
      <c r="U168" s="345">
        <f t="shared" si="74"/>
        <v>3.3769999999999998</v>
      </c>
      <c r="V168" s="345">
        <f t="shared" si="74"/>
        <v>3.3769999999999998</v>
      </c>
      <c r="W168" s="345">
        <f t="shared" si="74"/>
        <v>3.129</v>
      </c>
      <c r="X168" s="345">
        <f t="shared" si="74"/>
        <v>3.129</v>
      </c>
      <c r="Y168" s="345">
        <f t="shared" si="74"/>
        <v>3.129</v>
      </c>
      <c r="Z168" s="345">
        <f t="shared" si="74"/>
        <v>3.129</v>
      </c>
      <c r="AA168" s="345">
        <f t="shared" si="74"/>
        <v>3.129</v>
      </c>
      <c r="AB168" s="345">
        <f t="shared" si="74"/>
        <v>2.8260000000000001</v>
      </c>
      <c r="AC168" s="345">
        <f t="shared" si="74"/>
        <v>2.8260000000000001</v>
      </c>
      <c r="AD168" s="345">
        <f t="shared" si="74"/>
        <v>2.8260000000000001</v>
      </c>
      <c r="AE168" s="345">
        <f t="shared" si="74"/>
        <v>2.8260000000000001</v>
      </c>
      <c r="AF168" s="345">
        <f t="shared" si="74"/>
        <v>2.8260000000000001</v>
      </c>
      <c r="AG168" s="345">
        <f t="shared" si="74"/>
        <v>13.266999999999999</v>
      </c>
      <c r="AH168" s="345">
        <f t="shared" si="74"/>
        <v>-7.7359999999999998</v>
      </c>
      <c r="AI168" s="345">
        <f t="shared" si="74"/>
        <v>-6.5179999999999998</v>
      </c>
      <c r="AJ168" s="345">
        <f t="shared" si="74"/>
        <v>-7.7359999999999998</v>
      </c>
      <c r="AK168" s="279">
        <f t="shared" si="74"/>
        <v>0</v>
      </c>
      <c r="AL168" s="345">
        <f t="shared" si="74"/>
        <v>-6.5179999999999998</v>
      </c>
      <c r="AM168" s="279">
        <f t="shared" si="74"/>
        <v>0</v>
      </c>
      <c r="AN168" s="345">
        <f t="shared" si="74"/>
        <v>-3.8839999999999999</v>
      </c>
      <c r="AO168" s="279">
        <f t="shared" si="74"/>
        <v>0</v>
      </c>
      <c r="AP168" s="267"/>
      <c r="AQ168" s="267"/>
    </row>
    <row r="169" spans="2:43" x14ac:dyDescent="0.25">
      <c r="C169" s="105"/>
      <c r="F169" t="s">
        <v>155</v>
      </c>
      <c r="G169" t="s">
        <v>267</v>
      </c>
      <c r="H169" s="278"/>
      <c r="I169" s="267"/>
      <c r="J169" s="296">
        <f t="shared" ref="J169:J174" si="75">ROUND( J140, $H96)</f>
        <v>0.67400000000000004</v>
      </c>
      <c r="K169" s="296">
        <f t="shared" ref="K169:AO169" si="76">ROUND( K140, $H96)</f>
        <v>0.67400000000000004</v>
      </c>
      <c r="L169" s="296">
        <f t="shared" si="76"/>
        <v>0.76900000000000002</v>
      </c>
      <c r="M169" s="296">
        <f t="shared" si="76"/>
        <v>0.76900000000000002</v>
      </c>
      <c r="N169" s="296">
        <f t="shared" si="76"/>
        <v>0.76900000000000002</v>
      </c>
      <c r="O169" s="296">
        <f t="shared" si="76"/>
        <v>0.76900000000000002</v>
      </c>
      <c r="P169" s="296">
        <f t="shared" si="76"/>
        <v>0.76900000000000002</v>
      </c>
      <c r="Q169" s="296">
        <f t="shared" si="76"/>
        <v>0.76900000000000002</v>
      </c>
      <c r="R169" s="296">
        <f t="shared" si="76"/>
        <v>0.497</v>
      </c>
      <c r="S169" s="296">
        <f t="shared" si="76"/>
        <v>0.497</v>
      </c>
      <c r="T169" s="296">
        <f t="shared" si="76"/>
        <v>0.497</v>
      </c>
      <c r="U169" s="296">
        <f t="shared" si="76"/>
        <v>0.497</v>
      </c>
      <c r="V169" s="296">
        <f t="shared" si="76"/>
        <v>0.497</v>
      </c>
      <c r="W169" s="296">
        <f t="shared" si="76"/>
        <v>0.42299999999999999</v>
      </c>
      <c r="X169" s="296">
        <f t="shared" si="76"/>
        <v>0.42299999999999999</v>
      </c>
      <c r="Y169" s="296">
        <f t="shared" si="76"/>
        <v>0.42299999999999999</v>
      </c>
      <c r="Z169" s="296">
        <f t="shared" si="76"/>
        <v>0.42299999999999999</v>
      </c>
      <c r="AA169" s="296">
        <f t="shared" si="76"/>
        <v>0.42299999999999999</v>
      </c>
      <c r="AB169" s="296">
        <f t="shared" si="76"/>
        <v>0.35499999999999998</v>
      </c>
      <c r="AC169" s="296">
        <f t="shared" si="76"/>
        <v>0.35499999999999998</v>
      </c>
      <c r="AD169" s="296">
        <f t="shared" si="76"/>
        <v>0.35499999999999998</v>
      </c>
      <c r="AE169" s="296">
        <f t="shared" si="76"/>
        <v>0.35499999999999998</v>
      </c>
      <c r="AF169" s="296">
        <f t="shared" si="76"/>
        <v>0.35499999999999998</v>
      </c>
      <c r="AG169" s="296">
        <f t="shared" si="76"/>
        <v>0.71799999999999997</v>
      </c>
      <c r="AH169" s="296">
        <f t="shared" si="76"/>
        <v>-1.171</v>
      </c>
      <c r="AI169" s="296">
        <f t="shared" si="76"/>
        <v>-0.97199999999999998</v>
      </c>
      <c r="AJ169" s="296">
        <f t="shared" si="76"/>
        <v>-1.171</v>
      </c>
      <c r="AK169" s="293">
        <f t="shared" si="76"/>
        <v>0</v>
      </c>
      <c r="AL169" s="296">
        <f t="shared" si="76"/>
        <v>-0.97199999999999998</v>
      </c>
      <c r="AM169" s="293">
        <f t="shared" si="76"/>
        <v>0</v>
      </c>
      <c r="AN169" s="296">
        <f t="shared" si="76"/>
        <v>-0.52500000000000002</v>
      </c>
      <c r="AO169" s="293">
        <f t="shared" si="76"/>
        <v>0</v>
      </c>
      <c r="AP169" s="267"/>
      <c r="AQ169" s="267"/>
    </row>
    <row r="170" spans="2:43" x14ac:dyDescent="0.25">
      <c r="C170" s="105"/>
      <c r="F170" t="s">
        <v>156</v>
      </c>
      <c r="G170" t="s">
        <v>267</v>
      </c>
      <c r="H170" s="278"/>
      <c r="I170" s="267"/>
      <c r="J170" s="296">
        <f t="shared" si="75"/>
        <v>9.5000000000000001E-2</v>
      </c>
      <c r="K170" s="296">
        <f t="shared" ref="K170:AO170" si="77">ROUND( K141, $H97)</f>
        <v>9.5000000000000001E-2</v>
      </c>
      <c r="L170" s="296">
        <f t="shared" si="77"/>
        <v>0.108</v>
      </c>
      <c r="M170" s="296">
        <f t="shared" si="77"/>
        <v>0.108</v>
      </c>
      <c r="N170" s="296">
        <f t="shared" si="77"/>
        <v>0.108</v>
      </c>
      <c r="O170" s="296">
        <f t="shared" si="77"/>
        <v>0.108</v>
      </c>
      <c r="P170" s="296">
        <f t="shared" si="77"/>
        <v>0.108</v>
      </c>
      <c r="Q170" s="296">
        <f t="shared" si="77"/>
        <v>0.108</v>
      </c>
      <c r="R170" s="296">
        <f t="shared" si="77"/>
        <v>7.0999999999999994E-2</v>
      </c>
      <c r="S170" s="296">
        <f t="shared" si="77"/>
        <v>7.0999999999999994E-2</v>
      </c>
      <c r="T170" s="296">
        <f t="shared" si="77"/>
        <v>7.0999999999999994E-2</v>
      </c>
      <c r="U170" s="296">
        <f t="shared" si="77"/>
        <v>7.0999999999999994E-2</v>
      </c>
      <c r="V170" s="296">
        <f t="shared" si="77"/>
        <v>7.0999999999999994E-2</v>
      </c>
      <c r="W170" s="296">
        <f t="shared" si="77"/>
        <v>6.3E-2</v>
      </c>
      <c r="X170" s="296">
        <f t="shared" si="77"/>
        <v>6.3E-2</v>
      </c>
      <c r="Y170" s="296">
        <f t="shared" si="77"/>
        <v>6.3E-2</v>
      </c>
      <c r="Z170" s="296">
        <f t="shared" si="77"/>
        <v>6.3E-2</v>
      </c>
      <c r="AA170" s="296">
        <f t="shared" si="77"/>
        <v>6.3E-2</v>
      </c>
      <c r="AB170" s="296">
        <f t="shared" si="77"/>
        <v>5.3999999999999999E-2</v>
      </c>
      <c r="AC170" s="296">
        <f t="shared" si="77"/>
        <v>5.3999999999999999E-2</v>
      </c>
      <c r="AD170" s="296">
        <f t="shared" si="77"/>
        <v>5.3999999999999999E-2</v>
      </c>
      <c r="AE170" s="296">
        <f t="shared" si="77"/>
        <v>5.3999999999999999E-2</v>
      </c>
      <c r="AF170" s="296">
        <f t="shared" si="77"/>
        <v>5.3999999999999999E-2</v>
      </c>
      <c r="AG170" s="296">
        <f t="shared" si="77"/>
        <v>0.19700000000000001</v>
      </c>
      <c r="AH170" s="296">
        <f t="shared" si="77"/>
        <v>-0.16500000000000001</v>
      </c>
      <c r="AI170" s="296">
        <f t="shared" si="77"/>
        <v>-0.13800000000000001</v>
      </c>
      <c r="AJ170" s="296">
        <f t="shared" si="77"/>
        <v>-0.16500000000000001</v>
      </c>
      <c r="AK170" s="293">
        <f t="shared" si="77"/>
        <v>0</v>
      </c>
      <c r="AL170" s="296">
        <f t="shared" si="77"/>
        <v>-0.13800000000000001</v>
      </c>
      <c r="AM170" s="293">
        <f t="shared" si="77"/>
        <v>0</v>
      </c>
      <c r="AN170" s="296">
        <f t="shared" si="77"/>
        <v>-7.8E-2</v>
      </c>
      <c r="AO170" s="293">
        <f t="shared" si="77"/>
        <v>0</v>
      </c>
      <c r="AP170" s="267"/>
      <c r="AQ170" s="267"/>
    </row>
    <row r="171" spans="2:43" x14ac:dyDescent="0.25">
      <c r="C171" s="105"/>
      <c r="F171" t="s">
        <v>157</v>
      </c>
      <c r="G171" t="s">
        <v>268</v>
      </c>
      <c r="H171" s="78"/>
      <c r="J171" s="151">
        <f t="shared" si="75"/>
        <v>7.12</v>
      </c>
      <c r="K171" s="151">
        <f t="shared" ref="K171:AO171" si="78">ROUND( K142, $H98)</f>
        <v>0</v>
      </c>
      <c r="L171" s="151">
        <f t="shared" si="78"/>
        <v>5.83</v>
      </c>
      <c r="M171" s="151">
        <f t="shared" si="78"/>
        <v>6.63</v>
      </c>
      <c r="N171" s="151">
        <f t="shared" si="78"/>
        <v>8.01</v>
      </c>
      <c r="O171" s="151">
        <f t="shared" si="78"/>
        <v>10.52</v>
      </c>
      <c r="P171" s="151">
        <f t="shared" si="78"/>
        <v>18.46</v>
      </c>
      <c r="Q171" s="151">
        <f t="shared" si="78"/>
        <v>0</v>
      </c>
      <c r="R171" s="151">
        <f t="shared" si="78"/>
        <v>6.04</v>
      </c>
      <c r="S171" s="151">
        <f t="shared" si="78"/>
        <v>27.1</v>
      </c>
      <c r="T171" s="151">
        <f t="shared" si="78"/>
        <v>51.47</v>
      </c>
      <c r="U171" s="151">
        <f t="shared" si="78"/>
        <v>77.16</v>
      </c>
      <c r="V171" s="151">
        <f t="shared" si="78"/>
        <v>191.33</v>
      </c>
      <c r="W171" s="151">
        <f t="shared" si="78"/>
        <v>10.3</v>
      </c>
      <c r="X171" s="151">
        <f t="shared" si="78"/>
        <v>46.19</v>
      </c>
      <c r="Y171" s="151">
        <f t="shared" si="78"/>
        <v>87.72</v>
      </c>
      <c r="Z171" s="151">
        <f t="shared" si="78"/>
        <v>131.51</v>
      </c>
      <c r="AA171" s="151">
        <f t="shared" si="78"/>
        <v>326.08</v>
      </c>
      <c r="AB171" s="151">
        <f t="shared" si="78"/>
        <v>262.95</v>
      </c>
      <c r="AC171" s="151">
        <f t="shared" si="78"/>
        <v>566.07000000000005</v>
      </c>
      <c r="AD171" s="151">
        <f t="shared" si="78"/>
        <v>1093.1199999999999</v>
      </c>
      <c r="AE171" s="151">
        <f t="shared" si="78"/>
        <v>1746.65</v>
      </c>
      <c r="AF171" s="151">
        <f t="shared" si="78"/>
        <v>4303.26</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25">
      <c r="C172" s="105"/>
      <c r="F172" t="s">
        <v>158</v>
      </c>
      <c r="G172" t="s">
        <v>269</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2.17</v>
      </c>
      <c r="S172" s="151">
        <f t="shared" si="79"/>
        <v>2.17</v>
      </c>
      <c r="T172" s="151">
        <f t="shared" si="79"/>
        <v>2.17</v>
      </c>
      <c r="U172" s="151">
        <f t="shared" si="79"/>
        <v>2.17</v>
      </c>
      <c r="V172" s="151">
        <f t="shared" si="79"/>
        <v>2.17</v>
      </c>
      <c r="W172" s="151">
        <f t="shared" si="79"/>
        <v>3.48</v>
      </c>
      <c r="X172" s="151">
        <f t="shared" si="79"/>
        <v>3.48</v>
      </c>
      <c r="Y172" s="151">
        <f t="shared" si="79"/>
        <v>3.48</v>
      </c>
      <c r="Z172" s="151">
        <f t="shared" si="79"/>
        <v>3.48</v>
      </c>
      <c r="AA172" s="151">
        <f t="shared" si="79"/>
        <v>3.48</v>
      </c>
      <c r="AB172" s="151">
        <f t="shared" si="79"/>
        <v>4.6500000000000004</v>
      </c>
      <c r="AC172" s="151">
        <f t="shared" si="79"/>
        <v>4.6500000000000004</v>
      </c>
      <c r="AD172" s="151">
        <f t="shared" si="79"/>
        <v>4.6500000000000004</v>
      </c>
      <c r="AE172" s="151">
        <f t="shared" si="79"/>
        <v>4.6500000000000004</v>
      </c>
      <c r="AF172" s="151">
        <f t="shared" si="79"/>
        <v>4.6500000000000004</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25">
      <c r="C173" s="105"/>
      <c r="F173" t="s">
        <v>159</v>
      </c>
      <c r="G173" t="s">
        <v>269</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2.17</v>
      </c>
      <c r="S173" s="151">
        <f t="shared" si="80"/>
        <v>2.17</v>
      </c>
      <c r="T173" s="151">
        <f t="shared" si="80"/>
        <v>2.17</v>
      </c>
      <c r="U173" s="151">
        <f t="shared" si="80"/>
        <v>2.17</v>
      </c>
      <c r="V173" s="151">
        <f t="shared" si="80"/>
        <v>2.17</v>
      </c>
      <c r="W173" s="151">
        <f t="shared" si="80"/>
        <v>3.48</v>
      </c>
      <c r="X173" s="151">
        <f t="shared" si="80"/>
        <v>3.48</v>
      </c>
      <c r="Y173" s="151">
        <f t="shared" si="80"/>
        <v>3.48</v>
      </c>
      <c r="Z173" s="151">
        <f t="shared" si="80"/>
        <v>3.48</v>
      </c>
      <c r="AA173" s="151">
        <f t="shared" si="80"/>
        <v>3.48</v>
      </c>
      <c r="AB173" s="151">
        <f t="shared" si="80"/>
        <v>4.6500000000000004</v>
      </c>
      <c r="AC173" s="151">
        <f t="shared" si="80"/>
        <v>4.6500000000000004</v>
      </c>
      <c r="AD173" s="151">
        <f t="shared" si="80"/>
        <v>4.6500000000000004</v>
      </c>
      <c r="AE173" s="151">
        <f t="shared" si="80"/>
        <v>4.6500000000000004</v>
      </c>
      <c r="AF173" s="151">
        <f t="shared" si="80"/>
        <v>4.6500000000000004</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25">
      <c r="C174" s="105"/>
      <c r="F174" s="96" t="s">
        <v>160</v>
      </c>
      <c r="G174" s="96" t="s">
        <v>270</v>
      </c>
      <c r="H174" s="310"/>
      <c r="I174" s="269"/>
      <c r="J174" s="284">
        <f t="shared" si="75"/>
        <v>0</v>
      </c>
      <c r="K174" s="284">
        <f t="shared" ref="K174:AO174" si="81">ROUND( K145, $H101)</f>
        <v>0</v>
      </c>
      <c r="L174" s="284">
        <f t="shared" si="81"/>
        <v>0</v>
      </c>
      <c r="M174" s="284">
        <f t="shared" si="81"/>
        <v>0</v>
      </c>
      <c r="N174" s="284">
        <f t="shared" si="81"/>
        <v>0</v>
      </c>
      <c r="O174" s="284">
        <f t="shared" si="81"/>
        <v>0</v>
      </c>
      <c r="P174" s="284">
        <f t="shared" si="81"/>
        <v>0</v>
      </c>
      <c r="Q174" s="284">
        <f t="shared" si="81"/>
        <v>0</v>
      </c>
      <c r="R174" s="284">
        <f t="shared" si="81"/>
        <v>6.4000000000000001E-2</v>
      </c>
      <c r="S174" s="284">
        <f t="shared" si="81"/>
        <v>6.4000000000000001E-2</v>
      </c>
      <c r="T174" s="284">
        <f t="shared" si="81"/>
        <v>6.4000000000000001E-2</v>
      </c>
      <c r="U174" s="284">
        <f t="shared" si="81"/>
        <v>6.4000000000000001E-2</v>
      </c>
      <c r="V174" s="284">
        <f t="shared" si="81"/>
        <v>6.4000000000000001E-2</v>
      </c>
      <c r="W174" s="284">
        <f t="shared" si="81"/>
        <v>5.8999999999999997E-2</v>
      </c>
      <c r="X174" s="284">
        <f t="shared" si="81"/>
        <v>5.8999999999999997E-2</v>
      </c>
      <c r="Y174" s="284">
        <f t="shared" si="81"/>
        <v>5.8999999999999997E-2</v>
      </c>
      <c r="Z174" s="284">
        <f t="shared" si="81"/>
        <v>5.8999999999999997E-2</v>
      </c>
      <c r="AA174" s="284">
        <f t="shared" si="81"/>
        <v>5.8999999999999997E-2</v>
      </c>
      <c r="AB174" s="284">
        <f t="shared" si="81"/>
        <v>5.1999999999999998E-2</v>
      </c>
      <c r="AC174" s="284">
        <f t="shared" si="81"/>
        <v>5.1999999999999998E-2</v>
      </c>
      <c r="AD174" s="284">
        <f t="shared" si="81"/>
        <v>5.1999999999999998E-2</v>
      </c>
      <c r="AE174" s="284">
        <f t="shared" si="81"/>
        <v>5.1999999999999998E-2</v>
      </c>
      <c r="AF174" s="284">
        <f t="shared" si="81"/>
        <v>5.1999999999999998E-2</v>
      </c>
      <c r="AG174" s="284">
        <f t="shared" si="81"/>
        <v>0</v>
      </c>
      <c r="AH174" s="284">
        <f t="shared" si="81"/>
        <v>0</v>
      </c>
      <c r="AI174" s="284">
        <f t="shared" si="81"/>
        <v>0</v>
      </c>
      <c r="AJ174" s="284">
        <f t="shared" si="81"/>
        <v>0.13</v>
      </c>
      <c r="AK174" s="275">
        <f t="shared" si="81"/>
        <v>0</v>
      </c>
      <c r="AL174" s="284">
        <f t="shared" si="81"/>
        <v>0.122</v>
      </c>
      <c r="AM174" s="275">
        <f t="shared" si="81"/>
        <v>0</v>
      </c>
      <c r="AN174" s="284">
        <f t="shared" si="81"/>
        <v>0.108</v>
      </c>
      <c r="AO174" s="275">
        <f t="shared" si="81"/>
        <v>0</v>
      </c>
      <c r="AP174" s="267"/>
      <c r="AQ174" s="267"/>
    </row>
    <row r="175" spans="2:43" x14ac:dyDescent="0.25">
      <c r="C175" s="105"/>
    </row>
    <row r="176" spans="2:43" x14ac:dyDescent="0.25">
      <c r="B176" s="85" t="s">
        <v>229</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25">
      <c r="E178" t="s">
        <v>230</v>
      </c>
      <c r="G178" s="6" t="s">
        <v>54</v>
      </c>
      <c r="H178" s="113">
        <f t="array" ref="H178">SUM(IF(ISERROR(H20:AO174), 1))</f>
        <v>0</v>
      </c>
    </row>
    <row r="180" spans="2:43" x14ac:dyDescent="0.25">
      <c r="B180" s="85" t="s">
        <v>105</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v11 - 2026/27</v>
      </c>
    </row>
    <row r="4" spans="1:43" x14ac:dyDescent="0.25">
      <c r="A4" s="60" t="str">
        <f>H211 &amp; IF(H211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712</v>
      </c>
    </row>
    <row r="10" spans="1:43" x14ac:dyDescent="0.25">
      <c r="C10" s="94"/>
    </row>
    <row r="11" spans="1:43" x14ac:dyDescent="0.25">
      <c r="B11" s="85" t="s">
        <v>713</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2"/>
      <c r="E12" s="2"/>
    </row>
    <row r="13" spans="1:43" x14ac:dyDescent="0.2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25">
      <c r="D14" s="75"/>
    </row>
    <row r="15" spans="1:43" x14ac:dyDescent="0.25">
      <c r="C15" s="78"/>
      <c r="D15" s="78"/>
      <c r="E15" s="346" t="s">
        <v>951</v>
      </c>
      <c r="G15" s="346" t="s">
        <v>147</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25">
      <c r="E16" s="94"/>
      <c r="G16" s="94"/>
    </row>
    <row r="17" spans="3:43" x14ac:dyDescent="0.25">
      <c r="C17" s="78"/>
      <c r="D17" s="78"/>
      <c r="E17" s="346" t="s">
        <v>885</v>
      </c>
      <c r="G17" s="346" t="s">
        <v>147</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25">
      <c r="D18" s="75"/>
    </row>
    <row r="19" spans="3:43" x14ac:dyDescent="0.25">
      <c r="E19" s="75" t="s">
        <v>243</v>
      </c>
      <c r="I19" t="s">
        <v>152</v>
      </c>
      <c r="AQ19" t="s">
        <v>244</v>
      </c>
    </row>
    <row r="20" spans="3:43" x14ac:dyDescent="0.25">
      <c r="E20" s="75"/>
      <c r="F20" s="86" t="s">
        <v>980</v>
      </c>
    </row>
    <row r="21" spans="3:43" x14ac:dyDescent="0.25">
      <c r="E21" s="75"/>
      <c r="F21" s="86" t="s">
        <v>976</v>
      </c>
    </row>
    <row r="22" spans="3:43" x14ac:dyDescent="0.25">
      <c r="F22" s="116" t="s">
        <v>245</v>
      </c>
      <c r="G22" s="116" t="s">
        <v>205</v>
      </c>
      <c r="H22" s="8">
        <v>0</v>
      </c>
      <c r="I22" s="95"/>
      <c r="J22" s="259">
        <f>INDEX('Volume adjustments'!$J$527:$Y$567,J$17 + 1 + $H22*$H$28, J$15)</f>
        <v>579883.72027765436</v>
      </c>
      <c r="K22" s="259">
        <f>INDEX('Volume adjustments'!$J$527:$Y$567,K$17 + 1 + $H22*$H$28, K$15)</f>
        <v>715.06892412151399</v>
      </c>
      <c r="L22" s="259">
        <f>INDEX('Volume adjustments'!$J$527:$Y$567,L$17 + 1 + $H22*$H$28, L$15)</f>
        <v>7.696930981475953</v>
      </c>
      <c r="M22" s="259">
        <f>INDEX('Volume adjustments'!$J$527:$Y$567,M$17 + 1 + $H22*$H$28, M$15)</f>
        <v>12258.078266776743</v>
      </c>
      <c r="N22" s="259">
        <f>INDEX('Volume adjustments'!$J$527:$Y$567,N$17 + 1 + $H22*$H$28, N$15)</f>
        <v>29158.406938515887</v>
      </c>
      <c r="O22" s="259">
        <f>INDEX('Volume adjustments'!$J$527:$Y$567,O$17 + 1 + $H22*$H$28, O$15)</f>
        <v>28526.128746387698</v>
      </c>
      <c r="P22" s="259">
        <f>INDEX('Volume adjustments'!$J$527:$Y$567,P$17 + 1 + $H22*$H$28, P$15)</f>
        <v>88426.692759469719</v>
      </c>
      <c r="Q22" s="259">
        <f>INDEX('Volume adjustments'!$J$527:$Y$567,Q$17 + 1 + $H22*$H$28, Q$15)</f>
        <v>198.0273246193633</v>
      </c>
      <c r="R22" s="259">
        <f>INDEX('Volume adjustments'!$J$527:$Y$567,R$17 + 1 + $H22*$H$28, R$15)</f>
        <v>13.447644288179097</v>
      </c>
      <c r="S22" s="259">
        <f>INDEX('Volume adjustments'!$J$527:$Y$567,S$17 + 1 + $H22*$H$28, S$15)</f>
        <v>52135.324507523284</v>
      </c>
      <c r="T22" s="259">
        <f>INDEX('Volume adjustments'!$J$527:$Y$567,T$17 + 1 + $H22*$H$28, T$15)</f>
        <v>60095.545827618633</v>
      </c>
      <c r="U22" s="259">
        <f>INDEX('Volume adjustments'!$J$527:$Y$567,U$17 + 1 + $H22*$H$28, U$15)</f>
        <v>36828.972836163521</v>
      </c>
      <c r="V22" s="259">
        <f>INDEX('Volume adjustments'!$J$527:$Y$567,V$17 + 1 + $H22*$H$28, V$15)</f>
        <v>62348.29685655464</v>
      </c>
      <c r="W22" s="259">
        <f>INDEX('Volume adjustments'!$J$527:$Y$567,W$17 + 1 + $H22*$H$28, W$15)</f>
        <v>2.5664192228811378</v>
      </c>
      <c r="X22" s="259">
        <f>INDEX('Volume adjustments'!$J$527:$Y$567,X$17 + 1 + $H22*$H$28, X$15)</f>
        <v>202.99214242792689</v>
      </c>
      <c r="Y22" s="259">
        <f>INDEX('Volume adjustments'!$J$527:$Y$567,Y$17 + 1 + $H22*$H$28, Y$15)</f>
        <v>1236.3318759829881</v>
      </c>
      <c r="Z22" s="259">
        <f>INDEX('Volume adjustments'!$J$527:$Y$567,Z$17 + 1 + $H22*$H$28, Z$15)</f>
        <v>3823.8592014583974</v>
      </c>
      <c r="AA22" s="259">
        <f>INDEX('Volume adjustments'!$J$527:$Y$567,AA$17 + 1 + $H22*$H$28, AA$15)</f>
        <v>68009.827254132833</v>
      </c>
      <c r="AB22" s="259">
        <f>INDEX('Volume adjustments'!$J$527:$Y$567,AB$17 + 1 + $H22*$H$28, AB$15)</f>
        <v>242.40888698105309</v>
      </c>
      <c r="AC22" s="259">
        <f>INDEX('Volume adjustments'!$J$527:$Y$567,AC$17 + 1 + $H22*$H$28, AC$15)</f>
        <v>12777.289122671493</v>
      </c>
      <c r="AD22" s="259">
        <f>INDEX('Volume adjustments'!$J$527:$Y$567,AD$17 + 1 + $H22*$H$28, AD$15)</f>
        <v>46010.796816080023</v>
      </c>
      <c r="AE22" s="259">
        <f>INDEX('Volume adjustments'!$J$527:$Y$567,AE$17 + 1 + $H22*$H$28, AE$15)</f>
        <v>41091.386751278791</v>
      </c>
      <c r="AF22" s="259">
        <f>INDEX('Volume adjustments'!$J$527:$Y$567,AF$17 + 1 + $H22*$H$28, AF$15)</f>
        <v>153851.35500201487</v>
      </c>
      <c r="AG22" s="259">
        <f>INDEX('Volume adjustments'!$J$527:$Y$567,AG$17 + 1 + $H22*$H$28, AG$15)</f>
        <v>5937.4754569442684</v>
      </c>
      <c r="AH22" s="259">
        <f>INDEX('Volume adjustments'!$J$527:$Y$567,AH$17 + 1 + $H22*$H$28, AH$15)</f>
        <v>6599.1284284156445</v>
      </c>
      <c r="AI22" s="259">
        <f>INDEX('Volume adjustments'!$J$527:$Y$567,AI$17 + 1 + $H22*$H$28, AI$15)</f>
        <v>0</v>
      </c>
      <c r="AJ22" s="259">
        <f>INDEX('Volume adjustments'!$J$527:$Y$567,AJ$17 + 1 + $H22*$H$28, AJ$15)</f>
        <v>4225.230599999999</v>
      </c>
      <c r="AK22" s="259">
        <f>INDEX('Volume adjustments'!$J$527:$Y$567,AK$17 + 1 + $H22*$H$28, AK$15)</f>
        <v>0</v>
      </c>
      <c r="AL22" s="259">
        <f>INDEX('Volume adjustments'!$J$527:$Y$567,AL$17 + 1 + $H22*$H$28, AL$15)</f>
        <v>235.35749999999996</v>
      </c>
      <c r="AM22" s="259">
        <f>INDEX('Volume adjustments'!$J$527:$Y$567,AM$17 + 1 + $H22*$H$28, AM$15)</f>
        <v>0</v>
      </c>
      <c r="AN22" s="259">
        <f>INDEX('Volume adjustments'!$J$527:$Y$567,AN$17 + 1 + $H22*$H$28, AN$15)</f>
        <v>112429.61859999999</v>
      </c>
      <c r="AO22" s="259">
        <f>INDEX('Volume adjustments'!$J$527:$Y$567,AO$17 + 1 + $H22*$H$28, AO$15)</f>
        <v>0</v>
      </c>
    </row>
    <row r="23" spans="3:43" x14ac:dyDescent="0.25">
      <c r="E23" s="94"/>
      <c r="F23" s="118" t="s">
        <v>246</v>
      </c>
      <c r="G23" s="118" t="s">
        <v>205</v>
      </c>
      <c r="H23" s="7">
        <v>1</v>
      </c>
      <c r="J23" s="311">
        <f>INDEX('Volume adjustments'!$J$527:$Y$567,J$17 + 1 + $H23*$H$28, J$15)</f>
        <v>1430655.1045502957</v>
      </c>
      <c r="K23" s="311">
        <f>INDEX('Volume adjustments'!$J$527:$Y$567,K$17 + 1 + $H23*$H$28, K$15)</f>
        <v>4081.6408178065876</v>
      </c>
      <c r="L23" s="311">
        <f>INDEX('Volume adjustments'!$J$527:$Y$567,L$17 + 1 + $H23*$H$28, L$15)</f>
        <v>25.332240503208126</v>
      </c>
      <c r="M23" s="311">
        <f>INDEX('Volume adjustments'!$J$527:$Y$567,M$17 + 1 + $H23*$H$28, M$15)</f>
        <v>45535.31819338545</v>
      </c>
      <c r="N23" s="311">
        <f>INDEX('Volume adjustments'!$J$527:$Y$567,N$17 + 1 + $H23*$H$28, N$15)</f>
        <v>108813.75209876517</v>
      </c>
      <c r="O23" s="311">
        <f>INDEX('Volume adjustments'!$J$527:$Y$567,O$17 + 1 + $H23*$H$28, O$15)</f>
        <v>105525.67882863466</v>
      </c>
      <c r="P23" s="311">
        <f>INDEX('Volume adjustments'!$J$527:$Y$567,P$17 + 1 + $H23*$H$28, P$15)</f>
        <v>312806.23371116089</v>
      </c>
      <c r="Q23" s="311">
        <f>INDEX('Volume adjustments'!$J$527:$Y$567,Q$17 + 1 + $H23*$H$28, Q$15)</f>
        <v>646.70434049451774</v>
      </c>
      <c r="R23" s="311">
        <f>INDEX('Volume adjustments'!$J$527:$Y$567,R$17 + 1 + $H23*$H$28, R$15)</f>
        <v>40.520219497595626</v>
      </c>
      <c r="S23" s="311">
        <f>INDEX('Volume adjustments'!$J$527:$Y$567,S$17 + 1 + $H23*$H$28, S$15)</f>
        <v>183989.97677608862</v>
      </c>
      <c r="T23" s="311">
        <f>INDEX('Volume adjustments'!$J$527:$Y$567,T$17 + 1 + $H23*$H$28, T$15)</f>
        <v>200290.54233089768</v>
      </c>
      <c r="U23" s="311">
        <f>INDEX('Volume adjustments'!$J$527:$Y$567,U$17 + 1 + $H23*$H$28, U$15)</f>
        <v>127169.13986490383</v>
      </c>
      <c r="V23" s="311">
        <f>INDEX('Volume adjustments'!$J$527:$Y$567,V$17 + 1 + $H23*$H$28, V$15)</f>
        <v>224807.17886229389</v>
      </c>
      <c r="W23" s="311">
        <f>INDEX('Volume adjustments'!$J$527:$Y$567,W$17 + 1 + $H23*$H$28, W$15)</f>
        <v>11.002529471759216</v>
      </c>
      <c r="X23" s="311">
        <f>INDEX('Volume adjustments'!$J$527:$Y$567,X$17 + 1 + $H23*$H$28, X$15)</f>
        <v>650.71252434400071</v>
      </c>
      <c r="Y23" s="311">
        <f>INDEX('Volume adjustments'!$J$527:$Y$567,Y$17 + 1 + $H23*$H$28, Y$15)</f>
        <v>3959.9119770152979</v>
      </c>
      <c r="Z23" s="311">
        <f>INDEX('Volume adjustments'!$J$527:$Y$567,Z$17 + 1 + $H23*$H$28, Z$15)</f>
        <v>12247.597024042267</v>
      </c>
      <c r="AA23" s="311">
        <f>INDEX('Volume adjustments'!$J$527:$Y$567,AA$17 + 1 + $H23*$H$28, AA$15)</f>
        <v>224289.01380512866</v>
      </c>
      <c r="AB23" s="311">
        <f>INDEX('Volume adjustments'!$J$527:$Y$567,AB$17 + 1 + $H23*$H$28, AB$15)</f>
        <v>1161.2830145445171</v>
      </c>
      <c r="AC23" s="311">
        <f>INDEX('Volume adjustments'!$J$527:$Y$567,AC$17 + 1 + $H23*$H$28, AC$15)</f>
        <v>45197.951800702001</v>
      </c>
      <c r="AD23" s="311">
        <f>INDEX('Volume adjustments'!$J$527:$Y$567,AD$17 + 1 + $H23*$H$28, AD$15)</f>
        <v>152757.53879532445</v>
      </c>
      <c r="AE23" s="311">
        <f>INDEX('Volume adjustments'!$J$527:$Y$567,AE$17 + 1 + $H23*$H$28, AE$15)</f>
        <v>134647.25017921132</v>
      </c>
      <c r="AF23" s="311">
        <f>INDEX('Volume adjustments'!$J$527:$Y$567,AF$17 + 1 + $H23*$H$28, AF$15)</f>
        <v>487503.85702717229</v>
      </c>
      <c r="AG23" s="311">
        <f>INDEX('Volume adjustments'!$J$527:$Y$567,AG$17 + 1 + $H23*$H$28, AG$15)</f>
        <v>24507.063165733918</v>
      </c>
      <c r="AH23" s="311">
        <f>INDEX('Volume adjustments'!$J$527:$Y$567,AH$17 + 1 + $H23*$H$28, AH$15)</f>
        <v>28720.756111830458</v>
      </c>
      <c r="AI23" s="311">
        <f>INDEX('Volume adjustments'!$J$527:$Y$567,AI$17 + 1 + $H23*$H$28, AI$15)</f>
        <v>0</v>
      </c>
      <c r="AJ23" s="311">
        <f>INDEX('Volume adjustments'!$J$527:$Y$567,AJ$17 + 1 + $H23*$H$28, AJ$15)</f>
        <v>14462.468000000003</v>
      </c>
      <c r="AK23" s="311">
        <f>INDEX('Volume adjustments'!$J$527:$Y$567,AK$17 + 1 + $H23*$H$28, AK$15)</f>
        <v>0</v>
      </c>
      <c r="AL23" s="311">
        <f>INDEX('Volume adjustments'!$J$527:$Y$567,AL$17 + 1 + $H23*$H$28, AL$15)</f>
        <v>947.41909999999996</v>
      </c>
      <c r="AM23" s="311">
        <f>INDEX('Volume adjustments'!$J$527:$Y$567,AM$17 + 1 + $H23*$H$28, AM$15)</f>
        <v>0</v>
      </c>
      <c r="AN23" s="311">
        <f>INDEX('Volume adjustments'!$J$527:$Y$567,AN$17 + 1 + $H23*$H$28, AN$15)</f>
        <v>305558.88569999998</v>
      </c>
      <c r="AO23" s="311">
        <f>INDEX('Volume adjustments'!$J$527:$Y$567,AO$17 + 1 + $H23*$H$28, AO$15)</f>
        <v>0</v>
      </c>
    </row>
    <row r="24" spans="3:43" x14ac:dyDescent="0.25">
      <c r="E24" s="94"/>
      <c r="F24" s="118" t="s">
        <v>247</v>
      </c>
      <c r="G24" s="118" t="s">
        <v>205</v>
      </c>
      <c r="H24" s="7">
        <v>2</v>
      </c>
      <c r="J24" s="311">
        <f>INDEX('Volume adjustments'!$J$527:$Y$567,J$17 + 1 + $H24*$H$28, J$15)</f>
        <v>2144526.879086318</v>
      </c>
      <c r="K24" s="311">
        <f>INDEX('Volume adjustments'!$J$527:$Y$567,K$17 + 1 + $H24*$H$28, K$15)</f>
        <v>17683.252822043934</v>
      </c>
      <c r="L24" s="311">
        <f>INDEX('Volume adjustments'!$J$527:$Y$567,L$17 + 1 + $H24*$H$28, L$15)</f>
        <v>39.923331593029232</v>
      </c>
      <c r="M24" s="311">
        <f>INDEX('Volume adjustments'!$J$527:$Y$567,M$17 + 1 + $H24*$H$28, M$15)</f>
        <v>47280.034446671227</v>
      </c>
      <c r="N24" s="311">
        <f>INDEX('Volume adjustments'!$J$527:$Y$567,N$17 + 1 + $H24*$H$28, N$15)</f>
        <v>112611.67120953253</v>
      </c>
      <c r="O24" s="311">
        <f>INDEX('Volume adjustments'!$J$527:$Y$567,O$17 + 1 + $H24*$H$28, O$15)</f>
        <v>114192.44307093632</v>
      </c>
      <c r="P24" s="311">
        <f>INDEX('Volume adjustments'!$J$527:$Y$567,P$17 + 1 + $H24*$H$28, P$15)</f>
        <v>356653.55904973327</v>
      </c>
      <c r="Q24" s="311">
        <f>INDEX('Volume adjustments'!$J$527:$Y$567,Q$17 + 1 + $H24*$H$28, Q$15)</f>
        <v>3204.1147499679787</v>
      </c>
      <c r="R24" s="311">
        <f>INDEX('Volume adjustments'!$J$527:$Y$567,R$17 + 1 + $H24*$H$28, R$15)</f>
        <v>70.471131041730487</v>
      </c>
      <c r="S24" s="311">
        <f>INDEX('Volume adjustments'!$J$527:$Y$567,S$17 + 1 + $H24*$H$28, S$15)</f>
        <v>207554.39368217392</v>
      </c>
      <c r="T24" s="311">
        <f>INDEX('Volume adjustments'!$J$527:$Y$567,T$17 + 1 + $H24*$H$28, T$15)</f>
        <v>234321.50176221589</v>
      </c>
      <c r="U24" s="311">
        <f>INDEX('Volume adjustments'!$J$527:$Y$567,U$17 + 1 + $H24*$H$28, U$15)</f>
        <v>149128.24605172256</v>
      </c>
      <c r="V24" s="311">
        <f>INDEX('Volume adjustments'!$J$527:$Y$567,V$17 + 1 + $H24*$H$28, V$15)</f>
        <v>257080.66833231715</v>
      </c>
      <c r="W24" s="311">
        <f>INDEX('Volume adjustments'!$J$527:$Y$567,W$17 + 1 + $H24*$H$28, W$15)</f>
        <v>11.361295850310261</v>
      </c>
      <c r="X24" s="311">
        <f>INDEX('Volume adjustments'!$J$527:$Y$567,X$17 + 1 + $H24*$H$28, X$15)</f>
        <v>969.79862163028963</v>
      </c>
      <c r="Y24" s="311">
        <f>INDEX('Volume adjustments'!$J$527:$Y$567,Y$17 + 1 + $H24*$H$28, Y$15)</f>
        <v>5536.7329464132736</v>
      </c>
      <c r="Z24" s="311">
        <f>INDEX('Volume adjustments'!$J$527:$Y$567,Z$17 + 1 + $H24*$H$28, Z$15)</f>
        <v>17663.053036980134</v>
      </c>
      <c r="AA24" s="311">
        <f>INDEX('Volume adjustments'!$J$527:$Y$567,AA$17 + 1 + $H24*$H$28, AA$15)</f>
        <v>307183.24702094012</v>
      </c>
      <c r="AB24" s="311">
        <f>INDEX('Volume adjustments'!$J$527:$Y$567,AB$17 + 1 + $H24*$H$28, AB$15)</f>
        <v>2208.6032563465164</v>
      </c>
      <c r="AC24" s="311">
        <f>INDEX('Volume adjustments'!$J$527:$Y$567,AC$17 + 1 + $H24*$H$28, AC$15)</f>
        <v>59499.165019762986</v>
      </c>
      <c r="AD24" s="311">
        <f>INDEX('Volume adjustments'!$J$527:$Y$567,AD$17 + 1 + $H24*$H$28, AD$15)</f>
        <v>209436.08229326349</v>
      </c>
      <c r="AE24" s="311">
        <f>INDEX('Volume adjustments'!$J$527:$Y$567,AE$17 + 1 + $H24*$H$28, AE$15)</f>
        <v>178323.48614948278</v>
      </c>
      <c r="AF24" s="311">
        <f>INDEX('Volume adjustments'!$J$527:$Y$567,AF$17 + 1 + $H24*$H$28, AF$15)</f>
        <v>723222.40697721124</v>
      </c>
      <c r="AG24" s="311">
        <f>INDEX('Volume adjustments'!$J$527:$Y$567,AG$17 + 1 + $H24*$H$28, AG$15)</f>
        <v>73996.161970165136</v>
      </c>
      <c r="AH24" s="311">
        <f>INDEX('Volume adjustments'!$J$527:$Y$567,AH$17 + 1 + $H24*$H$28, AH$15)</f>
        <v>17040.400238646263</v>
      </c>
      <c r="AI24" s="311">
        <f>INDEX('Volume adjustments'!$J$527:$Y$567,AI$17 + 1 + $H24*$H$28, AI$15)</f>
        <v>0</v>
      </c>
      <c r="AJ24" s="311">
        <f>INDEX('Volume adjustments'!$J$527:$Y$567,AJ$17 + 1 + $H24*$H$28, AJ$15)</f>
        <v>21962.315499999997</v>
      </c>
      <c r="AK24" s="311">
        <f>INDEX('Volume adjustments'!$J$527:$Y$567,AK$17 + 1 + $H24*$H$28, AK$15)</f>
        <v>0</v>
      </c>
      <c r="AL24" s="311">
        <f>INDEX('Volume adjustments'!$J$527:$Y$567,AL$17 + 1 + $H24*$H$28, AL$15)</f>
        <v>1266.3393000000001</v>
      </c>
      <c r="AM24" s="311">
        <f>INDEX('Volume adjustments'!$J$527:$Y$567,AM$17 + 1 + $H24*$H$28, AM$15)</f>
        <v>0</v>
      </c>
      <c r="AN24" s="311">
        <f>INDEX('Volume adjustments'!$J$527:$Y$567,AN$17 + 1 + $H24*$H$28, AN$15)</f>
        <v>457934.66330000001</v>
      </c>
      <c r="AO24" s="311">
        <f>INDEX('Volume adjustments'!$J$527:$Y$567,AO$17 + 1 + $H24*$H$28, AO$15)</f>
        <v>0</v>
      </c>
    </row>
    <row r="25" spans="3:43" x14ac:dyDescent="0.25">
      <c r="E25" s="94"/>
      <c r="F25" s="118" t="s">
        <v>210</v>
      </c>
      <c r="G25" s="118" t="s">
        <v>210</v>
      </c>
      <c r="H25" s="7">
        <v>3</v>
      </c>
      <c r="J25" s="311">
        <f>INDEX('Volume adjustments'!$J$527:$Y$567,J$17 + 1 + $H25*$H$28, J$15)</f>
        <v>1493778.5153092039</v>
      </c>
      <c r="K25" s="311">
        <f>INDEX('Volume adjustments'!$J$527:$Y$567,K$17 + 1 + $H25*$H$28, K$15)</f>
        <v>7577.1293347193641</v>
      </c>
      <c r="L25" s="311">
        <f>INDEX('Volume adjustments'!$J$527:$Y$567,L$17 + 1 + $H25*$H$28, L$15)</f>
        <v>9.9596740630511906</v>
      </c>
      <c r="M25" s="311">
        <f>INDEX('Volume adjustments'!$J$527:$Y$567,M$17 + 1 + $H25*$H$28, M$15)</f>
        <v>37167.77725980278</v>
      </c>
      <c r="N25" s="311">
        <f>INDEX('Volume adjustments'!$J$527:$Y$567,N$17 + 1 + $H25*$H$28, N$15)</f>
        <v>31815.382020491983</v>
      </c>
      <c r="O25" s="311">
        <f>INDEX('Volume adjustments'!$J$527:$Y$567,O$17 + 1 + $H25*$H$28, O$15)</f>
        <v>14625.283377887516</v>
      </c>
      <c r="P25" s="311">
        <f>INDEX('Volume adjustments'!$J$527:$Y$567,P$17 + 1 + $H25*$H$28, P$15)</f>
        <v>16549.260014474206</v>
      </c>
      <c r="Q25" s="311">
        <f>INDEX('Volume adjustments'!$J$527:$Y$567,Q$17 + 1 + $H25*$H$28, Q$15)</f>
        <v>589.96666666666681</v>
      </c>
      <c r="R25" s="311">
        <f>INDEX('Volume adjustments'!$J$527:$Y$567,R$17 + 1 + $H25*$H$28, R$15)</f>
        <v>14.217631648321902</v>
      </c>
      <c r="S25" s="311">
        <f>INDEX('Volume adjustments'!$J$527:$Y$567,S$17 + 1 + $H25*$H$28, S$15)</f>
        <v>5811.9647088104448</v>
      </c>
      <c r="T25" s="311">
        <f>INDEX('Volume adjustments'!$J$527:$Y$567,T$17 + 1 + $H25*$H$28, T$15)</f>
        <v>2997.8891875604468</v>
      </c>
      <c r="U25" s="311">
        <f>INDEX('Volume adjustments'!$J$527:$Y$567,U$17 + 1 + $H25*$H$28, U$15)</f>
        <v>1261.3070362297005</v>
      </c>
      <c r="V25" s="311">
        <f>INDEX('Volume adjustments'!$J$527:$Y$567,V$17 + 1 + $H25*$H$28, V$15)</f>
        <v>1046.0114712693974</v>
      </c>
      <c r="W25" s="311">
        <f>INDEX('Volume adjustments'!$J$527:$Y$567,W$17 + 1 + $H25*$H$28, W$15)</f>
        <v>1.1300558635282172</v>
      </c>
      <c r="X25" s="311">
        <f>INDEX('Volume adjustments'!$J$527:$Y$567,X$17 + 1 + $H25*$H$28, X$15)</f>
        <v>10.170502771753956</v>
      </c>
      <c r="Y25" s="311">
        <f>INDEX('Volume adjustments'!$J$527:$Y$567,Y$17 + 1 + $H25*$H$28, Y$15)</f>
        <v>33.90167590584651</v>
      </c>
      <c r="Z25" s="311">
        <f>INDEX('Volume adjustments'!$J$527:$Y$567,Z$17 + 1 + $H25*$H$28, Z$15)</f>
        <v>64.413184221108395</v>
      </c>
      <c r="AA25" s="311">
        <f>INDEX('Volume adjustments'!$J$527:$Y$567,AA$17 + 1 + $H25*$H$28, AA$15)</f>
        <v>620.40066907699111</v>
      </c>
      <c r="AB25" s="311">
        <f>INDEX('Volume adjustments'!$J$527:$Y$567,AB$17 + 1 + $H25*$H$28, AB$15)</f>
        <v>79.202625039218034</v>
      </c>
      <c r="AC25" s="311">
        <f>INDEX('Volume adjustments'!$J$527:$Y$567,AC$17 + 1 + $H25*$H$28, AC$15)</f>
        <v>218.31492799271635</v>
      </c>
      <c r="AD25" s="311">
        <f>INDEX('Volume adjustments'!$J$527:$Y$567,AD$17 + 1 + $H25*$H$28, AD$15)</f>
        <v>282.28627898593101</v>
      </c>
      <c r="AE25" s="311">
        <f>INDEX('Volume adjustments'!$J$527:$Y$567,AE$17 + 1 + $H25*$H$28, AE$15)</f>
        <v>136.06604814429764</v>
      </c>
      <c r="AF25" s="311">
        <f>INDEX('Volume adjustments'!$J$527:$Y$567,AF$17 + 1 + $H25*$H$28, AF$15)</f>
        <v>193.94488951911072</v>
      </c>
      <c r="AG25" s="311">
        <f>INDEX('Volume adjustments'!$J$527:$Y$567,AG$17 + 1 + $H25*$H$28, AG$15)</f>
        <v>915.3</v>
      </c>
      <c r="AH25" s="311">
        <f>INDEX('Volume adjustments'!$J$527:$Y$567,AH$17 + 1 + $H25*$H$28, AH$15)</f>
        <v>24062.24357489097</v>
      </c>
      <c r="AI25" s="311">
        <f>INDEX('Volume adjustments'!$J$527:$Y$567,AI$17 + 1 + $H25*$H$28, AI$15)</f>
        <v>0</v>
      </c>
      <c r="AJ25" s="311">
        <f>INDEX('Volume adjustments'!$J$527:$Y$567,AJ$17 + 1 + $H25*$H$28, AJ$15)</f>
        <v>372</v>
      </c>
      <c r="AK25" s="311">
        <f>INDEX('Volume adjustments'!$J$527:$Y$567,AK$17 + 1 + $H25*$H$28, AK$15)</f>
        <v>0</v>
      </c>
      <c r="AL25" s="311">
        <f>INDEX('Volume adjustments'!$J$527:$Y$567,AL$17 + 1 + $H25*$H$28, AL$15)</f>
        <v>36</v>
      </c>
      <c r="AM25" s="311">
        <f>INDEX('Volume adjustments'!$J$527:$Y$567,AM$17 + 1 + $H25*$H$28, AM$15)</f>
        <v>0</v>
      </c>
      <c r="AN25" s="311">
        <f>INDEX('Volume adjustments'!$J$527:$Y$567,AN$17 + 1 + $H25*$H$28, AN$15)</f>
        <v>176</v>
      </c>
      <c r="AO25" s="311">
        <f>INDEX('Volume adjustments'!$J$527:$Y$567,AO$17 + 1 + $H25*$H$28, AO$15)</f>
        <v>0</v>
      </c>
    </row>
    <row r="26" spans="3:43" x14ac:dyDescent="0.25">
      <c r="E26" s="94"/>
      <c r="F26" s="118" t="s">
        <v>248</v>
      </c>
      <c r="G26" s="118" t="s">
        <v>249</v>
      </c>
      <c r="H26" s="7">
        <v>4</v>
      </c>
      <c r="J26" s="311">
        <f>INDEX('Volume adjustments'!$J$527:$Y$567,J$17 + 1 + $H26*$H$28, J$15)</f>
        <v>0</v>
      </c>
      <c r="K26" s="311">
        <f>INDEX('Volume adjustments'!$J$527:$Y$567,K$17 + 1 + $H26*$H$28, K$15)</f>
        <v>0</v>
      </c>
      <c r="L26" s="311">
        <f>INDEX('Volume adjustments'!$J$527:$Y$567,L$17 + 1 + $H26*$H$28, L$15)</f>
        <v>0</v>
      </c>
      <c r="M26" s="311">
        <f>INDEX('Volume adjustments'!$J$527:$Y$567,M$17 + 1 + $H26*$H$28, M$15)</f>
        <v>0</v>
      </c>
      <c r="N26" s="311">
        <f>INDEX('Volume adjustments'!$J$527:$Y$567,N$17 + 1 + $H26*$H$28, N$15)</f>
        <v>0</v>
      </c>
      <c r="O26" s="311">
        <f>INDEX('Volume adjustments'!$J$527:$Y$567,O$17 + 1 + $H26*$H$28, O$15)</f>
        <v>0</v>
      </c>
      <c r="P26" s="311">
        <f>INDEX('Volume adjustments'!$J$527:$Y$567,P$17 + 1 + $H26*$H$28, P$15)</f>
        <v>0</v>
      </c>
      <c r="Q26" s="311">
        <f>INDEX('Volume adjustments'!$J$527:$Y$567,Q$17 + 1 + $H26*$H$28, Q$15)</f>
        <v>0</v>
      </c>
      <c r="R26" s="311">
        <f>INDEX('Volume adjustments'!$J$527:$Y$567,R$17 + 1 + $H26*$H$28, R$15)</f>
        <v>843</v>
      </c>
      <c r="S26" s="311">
        <f>INDEX('Volume adjustments'!$J$527:$Y$567,S$17 + 1 + $H26*$H$28, S$15)</f>
        <v>254239</v>
      </c>
      <c r="T26" s="311">
        <f>INDEX('Volume adjustments'!$J$527:$Y$567,T$17 + 1 + $H26*$H$28, T$15)</f>
        <v>338005</v>
      </c>
      <c r="U26" s="311">
        <f>INDEX('Volume adjustments'!$J$527:$Y$567,U$17 + 1 + $H26*$H$28, U$15)</f>
        <v>231229</v>
      </c>
      <c r="V26" s="311">
        <f>INDEX('Volume adjustments'!$J$527:$Y$567,V$17 + 1 + $H26*$H$28, V$15)</f>
        <v>396537</v>
      </c>
      <c r="W26" s="311">
        <f>INDEX('Volume adjustments'!$J$527:$Y$567,W$17 + 1 + $H26*$H$28, W$15)</f>
        <v>40</v>
      </c>
      <c r="X26" s="311">
        <f>INDEX('Volume adjustments'!$J$527:$Y$567,X$17 + 1 + $H26*$H$28, X$15)</f>
        <v>465</v>
      </c>
      <c r="Y26" s="311">
        <f>INDEX('Volume adjustments'!$J$527:$Y$567,Y$17 + 1 + $H26*$H$28, Y$15)</f>
        <v>4520</v>
      </c>
      <c r="Z26" s="311">
        <f>INDEX('Volume adjustments'!$J$527:$Y$567,Z$17 + 1 + $H26*$H$28, Z$15)</f>
        <v>11840</v>
      </c>
      <c r="AA26" s="311">
        <f>INDEX('Volume adjustments'!$J$527:$Y$567,AA$17 + 1 + $H26*$H$28, AA$15)</f>
        <v>308442</v>
      </c>
      <c r="AB26" s="311">
        <f>INDEX('Volume adjustments'!$J$527:$Y$567,AB$17 + 1 + $H26*$H$28, AB$15)</f>
        <v>18295</v>
      </c>
      <c r="AC26" s="311">
        <f>INDEX('Volume adjustments'!$J$527:$Y$567,AC$17 + 1 + $H26*$H$28, AC$15)</f>
        <v>57982</v>
      </c>
      <c r="AD26" s="311">
        <f>INDEX('Volume adjustments'!$J$527:$Y$567,AD$17 + 1 + $H26*$H$28, AD$15)</f>
        <v>196857</v>
      </c>
      <c r="AE26" s="311">
        <f>INDEX('Volume adjustments'!$J$527:$Y$567,AE$17 + 1 + $H26*$H$28, AE$15)</f>
        <v>188257</v>
      </c>
      <c r="AF26" s="311">
        <f>INDEX('Volume adjustments'!$J$527:$Y$567,AF$17 + 1 + $H26*$H$28, AF$15)</f>
        <v>718872</v>
      </c>
      <c r="AG26" s="311">
        <f>INDEX('Volume adjustments'!$J$527:$Y$567,AG$17 + 1 + $H26*$H$28, AG$15)</f>
        <v>0</v>
      </c>
      <c r="AH26" s="311">
        <f>INDEX('Volume adjustments'!$J$527:$Y$567,AH$17 + 1 + $H26*$H$28, AH$15)</f>
        <v>0</v>
      </c>
      <c r="AI26" s="311">
        <f>INDEX('Volume adjustments'!$J$527:$Y$567,AI$17 + 1 + $H26*$H$28, AI$15)</f>
        <v>0</v>
      </c>
      <c r="AJ26" s="311">
        <f>INDEX('Volume adjustments'!$J$527:$Y$567,AJ$17 + 1 + $H26*$H$28, AJ$15)</f>
        <v>0</v>
      </c>
      <c r="AK26" s="311">
        <f>INDEX('Volume adjustments'!$J$527:$Y$567,AK$17 + 1 + $H26*$H$28, AK$15)</f>
        <v>0</v>
      </c>
      <c r="AL26" s="311">
        <f>INDEX('Volume adjustments'!$J$527:$Y$567,AL$17 + 1 + $H26*$H$28, AL$15)</f>
        <v>0</v>
      </c>
      <c r="AM26" s="311">
        <f>INDEX('Volume adjustments'!$J$527:$Y$567,AM$17 + 1 + $H26*$H$28, AM$15)</f>
        <v>0</v>
      </c>
      <c r="AN26" s="311">
        <f>INDEX('Volume adjustments'!$J$527:$Y$567,AN$17 + 1 + $H26*$H$28, AN$15)</f>
        <v>0</v>
      </c>
      <c r="AO26" s="311">
        <f>INDEX('Volume adjustments'!$J$527:$Y$567,AO$17 + 1 + $H26*$H$28, AO$15)</f>
        <v>0</v>
      </c>
    </row>
    <row r="27" spans="3:43" x14ac:dyDescent="0.25">
      <c r="E27" s="94"/>
      <c r="F27" s="118" t="s">
        <v>250</v>
      </c>
      <c r="G27" s="118" t="s">
        <v>249</v>
      </c>
      <c r="H27" s="7">
        <v>5</v>
      </c>
      <c r="J27" s="311">
        <f>INDEX('Volume adjustments'!$J$527:$Y$567,J$17 + 1 + $H27*$H$28, J$15)</f>
        <v>0</v>
      </c>
      <c r="K27" s="311">
        <f>INDEX('Volume adjustments'!$J$527:$Y$567,K$17 + 1 + $H27*$H$28, K$15)</f>
        <v>0</v>
      </c>
      <c r="L27" s="311">
        <f>INDEX('Volume adjustments'!$J$527:$Y$567,L$17 + 1 + $H27*$H$28, L$15)</f>
        <v>0</v>
      </c>
      <c r="M27" s="311">
        <f>INDEX('Volume adjustments'!$J$527:$Y$567,M$17 + 1 + $H27*$H$28, M$15)</f>
        <v>0</v>
      </c>
      <c r="N27" s="311">
        <f>INDEX('Volume adjustments'!$J$527:$Y$567,N$17 + 1 + $H27*$H$28, N$15)</f>
        <v>0</v>
      </c>
      <c r="O27" s="311">
        <f>INDEX('Volume adjustments'!$J$527:$Y$567,O$17 + 1 + $H27*$H$28, O$15)</f>
        <v>0</v>
      </c>
      <c r="P27" s="311">
        <f>INDEX('Volume adjustments'!$J$527:$Y$567,P$17 + 1 + $H27*$H$28, P$15)</f>
        <v>0</v>
      </c>
      <c r="Q27" s="311">
        <f>INDEX('Volume adjustments'!$J$527:$Y$567,Q$17 + 1 + $H27*$H$28, Q$15)</f>
        <v>0</v>
      </c>
      <c r="R27" s="311">
        <f>INDEX('Volume adjustments'!$J$527:$Y$567,R$17 + 1 + $H27*$H$28, R$15)</f>
        <v>94.747945205479454</v>
      </c>
      <c r="S27" s="311">
        <f>INDEX('Volume adjustments'!$J$527:$Y$567,S$17 + 1 + $H27*$H$28, S$15)</f>
        <v>15271.972602739726</v>
      </c>
      <c r="T27" s="311">
        <f>INDEX('Volume adjustments'!$J$527:$Y$567,T$17 + 1 + $H27*$H$28, T$15)</f>
        <v>3904.3616438356166</v>
      </c>
      <c r="U27" s="311">
        <f>INDEX('Volume adjustments'!$J$527:$Y$567,U$17 + 1 + $H27*$H$28, U$15)</f>
        <v>1581.5972602739726</v>
      </c>
      <c r="V27" s="311">
        <f>INDEX('Volume adjustments'!$J$527:$Y$567,V$17 + 1 + $H27*$H$28, V$15)</f>
        <v>1918.6273972602739</v>
      </c>
      <c r="W27" s="311">
        <f>INDEX('Volume adjustments'!$J$527:$Y$567,W$17 + 1 + $H27*$H$28, W$15)</f>
        <v>0</v>
      </c>
      <c r="X27" s="311">
        <f>INDEX('Volume adjustments'!$J$527:$Y$567,X$17 + 1 + $H27*$H$28, X$15)</f>
        <v>104.53150684931506</v>
      </c>
      <c r="Y27" s="311">
        <f>INDEX('Volume adjustments'!$J$527:$Y$567,Y$17 + 1 + $H27*$H$28, Y$15)</f>
        <v>66.739726027397253</v>
      </c>
      <c r="Z27" s="311">
        <f>INDEX('Volume adjustments'!$J$527:$Y$567,Z$17 + 1 + $H27*$H$28, Z$15)</f>
        <v>129.77534246575343</v>
      </c>
      <c r="AA27" s="311">
        <f>INDEX('Volume adjustments'!$J$527:$Y$567,AA$17 + 1 + $H27*$H$28, AA$15)</f>
        <v>1205.8054794520549</v>
      </c>
      <c r="AB27" s="311">
        <f>INDEX('Volume adjustments'!$J$527:$Y$567,AB$17 + 1 + $H27*$H$28, AB$15)</f>
        <v>1900.6575342465753</v>
      </c>
      <c r="AC27" s="311">
        <f>INDEX('Volume adjustments'!$J$527:$Y$567,AC$17 + 1 + $H27*$H$28, AC$15)</f>
        <v>2483.0904109589042</v>
      </c>
      <c r="AD27" s="311">
        <f>INDEX('Volume adjustments'!$J$527:$Y$567,AD$17 + 1 + $H27*$H$28, AD$15)</f>
        <v>2999.0904109589042</v>
      </c>
      <c r="AE27" s="311">
        <f>INDEX('Volume adjustments'!$J$527:$Y$567,AE$17 + 1 + $H27*$H$28, AE$15)</f>
        <v>1930.1698630136987</v>
      </c>
      <c r="AF27" s="311">
        <f>INDEX('Volume adjustments'!$J$527:$Y$567,AF$17 + 1 + $H27*$H$28, AF$15)</f>
        <v>3922.6410958904112</v>
      </c>
      <c r="AG27" s="311">
        <f>INDEX('Volume adjustments'!$J$527:$Y$567,AG$17 + 1 + $H27*$H$28, AG$15)</f>
        <v>0</v>
      </c>
      <c r="AH27" s="311">
        <f>INDEX('Volume adjustments'!$J$527:$Y$567,AH$17 + 1 + $H27*$H$28, AH$15)</f>
        <v>0</v>
      </c>
      <c r="AI27" s="311">
        <f>INDEX('Volume adjustments'!$J$527:$Y$567,AI$17 + 1 + $H27*$H$28, AI$15)</f>
        <v>0</v>
      </c>
      <c r="AJ27" s="311">
        <f>INDEX('Volume adjustments'!$J$527:$Y$567,AJ$17 + 1 + $H27*$H$28, AJ$15)</f>
        <v>0</v>
      </c>
      <c r="AK27" s="311">
        <f>INDEX('Volume adjustments'!$J$527:$Y$567,AK$17 + 1 + $H27*$H$28, AK$15)</f>
        <v>0</v>
      </c>
      <c r="AL27" s="311">
        <f>INDEX('Volume adjustments'!$J$527:$Y$567,AL$17 + 1 + $H27*$H$28, AL$15)</f>
        <v>0</v>
      </c>
      <c r="AM27" s="311">
        <f>INDEX('Volume adjustments'!$J$527:$Y$567,AM$17 + 1 + $H27*$H$28, AM$15)</f>
        <v>0</v>
      </c>
      <c r="AN27" s="311">
        <f>INDEX('Volume adjustments'!$J$527:$Y$567,AN$17 + 1 + $H27*$H$28, AN$15)</f>
        <v>0</v>
      </c>
      <c r="AO27" s="311">
        <f>INDEX('Volume adjustments'!$J$527:$Y$567,AO$17 + 1 + $H27*$H$28, AO$15)</f>
        <v>0</v>
      </c>
    </row>
    <row r="28" spans="3:43" x14ac:dyDescent="0.25">
      <c r="E28" s="94"/>
      <c r="F28" s="120" t="s">
        <v>251</v>
      </c>
      <c r="G28" s="120" t="s">
        <v>252</v>
      </c>
      <c r="H28" s="9">
        <v>6</v>
      </c>
      <c r="I28" s="96"/>
      <c r="J28" s="258">
        <f>INDEX('Volume adjustments'!$J$527:$Y$567,J$17 + 1 + $H28*$H$28, J$15)</f>
        <v>0</v>
      </c>
      <c r="K28" s="258">
        <f>INDEX('Volume adjustments'!$J$527:$Y$567,K$17 + 1 + $H28*$H$28, K$15)</f>
        <v>0</v>
      </c>
      <c r="L28" s="258">
        <f>INDEX('Volume adjustments'!$J$527:$Y$567,L$17 + 1 + $H28*$H$28, L$15)</f>
        <v>0</v>
      </c>
      <c r="M28" s="258">
        <f>INDEX('Volume adjustments'!$J$527:$Y$567,M$17 + 1 + $H28*$H$28, M$15)</f>
        <v>0</v>
      </c>
      <c r="N28" s="258">
        <f>INDEX('Volume adjustments'!$J$527:$Y$567,N$17 + 1 + $H28*$H$28, N$15)</f>
        <v>0</v>
      </c>
      <c r="O28" s="258">
        <f>INDEX('Volume adjustments'!$J$527:$Y$567,O$17 + 1 + $H28*$H$28, O$15)</f>
        <v>0</v>
      </c>
      <c r="P28" s="258">
        <f>INDEX('Volume adjustments'!$J$527:$Y$567,P$17 + 1 + $H28*$H$28, P$15)</f>
        <v>0</v>
      </c>
      <c r="Q28" s="258">
        <f>INDEX('Volume adjustments'!$J$527:$Y$567,Q$17 + 1 + $H28*$H$28, Q$15)</f>
        <v>0</v>
      </c>
      <c r="R28" s="258">
        <f>INDEX('Volume adjustments'!$J$527:$Y$567,R$17 + 1 + $H28*$H$28, R$15)</f>
        <v>81.983999999999995</v>
      </c>
      <c r="S28" s="258">
        <f>INDEX('Volume adjustments'!$J$527:$Y$567,S$17 + 1 + $H28*$H$28, S$15)</f>
        <v>30892.314999999999</v>
      </c>
      <c r="T28" s="258">
        <f>INDEX('Volume adjustments'!$J$527:$Y$567,T$17 + 1 + $H28*$H$28, T$15)</f>
        <v>37540.389000000003</v>
      </c>
      <c r="U28" s="258">
        <f>INDEX('Volume adjustments'!$J$527:$Y$567,U$17 + 1 + $H28*$H$28, U$15)</f>
        <v>21900.852999999999</v>
      </c>
      <c r="V28" s="258">
        <f>INDEX('Volume adjustments'!$J$527:$Y$567,V$17 + 1 + $H28*$H$28, V$15)</f>
        <v>48141.654000000002</v>
      </c>
      <c r="W28" s="258">
        <f>INDEX('Volume adjustments'!$J$527:$Y$567,W$17 + 1 + $H28*$H$28, W$15)</f>
        <v>0.121</v>
      </c>
      <c r="X28" s="258">
        <f>INDEX('Volume adjustments'!$J$527:$Y$567,X$17 + 1 + $H28*$H$28, X$15)</f>
        <v>114.407</v>
      </c>
      <c r="Y28" s="258">
        <f>INDEX('Volume adjustments'!$J$527:$Y$567,Y$17 + 1 + $H28*$H$28, Y$15)</f>
        <v>856.41800000000001</v>
      </c>
      <c r="Z28" s="258">
        <f>INDEX('Volume adjustments'!$J$527:$Y$567,Z$17 + 1 + $H28*$H$28, Z$15)</f>
        <v>2245.5549999999998</v>
      </c>
      <c r="AA28" s="258">
        <f>INDEX('Volume adjustments'!$J$527:$Y$567,AA$17 + 1 + $H28*$H$28, AA$15)</f>
        <v>41099.591999999997</v>
      </c>
      <c r="AB28" s="258">
        <f>INDEX('Volume adjustments'!$J$527:$Y$567,AB$17 + 1 + $H28*$H$28, AB$15)</f>
        <v>2734.0590000000002</v>
      </c>
      <c r="AC28" s="258">
        <f>INDEX('Volume adjustments'!$J$527:$Y$567,AC$17 + 1 + $H28*$H$28, AC$15)</f>
        <v>10425.413</v>
      </c>
      <c r="AD28" s="258">
        <f>INDEX('Volume adjustments'!$J$527:$Y$567,AD$17 + 1 + $H28*$H$28, AD$15)</f>
        <v>29969.406999999999</v>
      </c>
      <c r="AE28" s="258">
        <f>INDEX('Volume adjustments'!$J$527:$Y$567,AE$17 + 1 + $H28*$H$28, AE$15)</f>
        <v>23654.614000000001</v>
      </c>
      <c r="AF28" s="258">
        <f>INDEX('Volume adjustments'!$J$527:$Y$567,AF$17 + 1 + $H28*$H$28, AF$15)</f>
        <v>167436.514</v>
      </c>
      <c r="AG28" s="258">
        <f>INDEX('Volume adjustments'!$J$527:$Y$567,AG$17 + 1 + $H28*$H$28, AG$15)</f>
        <v>0</v>
      </c>
      <c r="AH28" s="258">
        <f>INDEX('Volume adjustments'!$J$527:$Y$567,AH$17 + 1 + $H28*$H$28, AH$15)</f>
        <v>0</v>
      </c>
      <c r="AI28" s="258">
        <f>INDEX('Volume adjustments'!$J$527:$Y$567,AI$17 + 1 + $H28*$H$28, AI$15)</f>
        <v>0</v>
      </c>
      <c r="AJ28" s="258">
        <f>INDEX('Volume adjustments'!$J$527:$Y$567,AJ$17 + 1 + $H28*$H$28, AJ$15)</f>
        <v>2476.223</v>
      </c>
      <c r="AK28" s="258">
        <f>INDEX('Volume adjustments'!$J$527:$Y$567,AK$17 + 1 + $H28*$H$28, AK$15)</f>
        <v>0</v>
      </c>
      <c r="AL28" s="258">
        <f>INDEX('Volume adjustments'!$J$527:$Y$567,AL$17 + 1 + $H28*$H$28, AL$15)</f>
        <v>449.26600000000002</v>
      </c>
      <c r="AM28" s="258">
        <f>INDEX('Volume adjustments'!$J$527:$Y$567,AM$17 + 1 + $H28*$H$28, AM$15)</f>
        <v>0</v>
      </c>
      <c r="AN28" s="258">
        <f>INDEX('Volume adjustments'!$J$527:$Y$567,AN$17 + 1 + $H28*$H$28, AN$15)</f>
        <v>19742.777000000002</v>
      </c>
      <c r="AO28" s="258">
        <f>INDEX('Volume adjustments'!$J$527:$Y$567,AO$17 + 1 + $H28*$H$28, AO$15)</f>
        <v>0</v>
      </c>
    </row>
    <row r="29" spans="3:43" s="14" customFormat="1" x14ac:dyDescent="0.25">
      <c r="E29" s="350"/>
      <c r="F29" s="123"/>
      <c r="G29" s="123"/>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row>
    <row r="30" spans="3:43" x14ac:dyDescent="0.25">
      <c r="E30" s="75" t="s">
        <v>253</v>
      </c>
      <c r="F30" s="129"/>
      <c r="G30" s="129"/>
      <c r="I30" t="s">
        <v>152</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244</v>
      </c>
    </row>
    <row r="31" spans="3:43" x14ac:dyDescent="0.25">
      <c r="E31" s="75"/>
      <c r="F31" s="86" t="s">
        <v>980</v>
      </c>
    </row>
    <row r="32" spans="3:43" x14ac:dyDescent="0.25">
      <c r="E32" s="75"/>
      <c r="F32" s="352" t="s">
        <v>976</v>
      </c>
      <c r="G32" s="96"/>
    </row>
    <row r="33" spans="5:43" x14ac:dyDescent="0.25">
      <c r="F33" s="118" t="s">
        <v>245</v>
      </c>
      <c r="G33" s="118" t="s">
        <v>205</v>
      </c>
      <c r="H33" s="8">
        <v>0</v>
      </c>
      <c r="I33" s="95"/>
      <c r="J33" s="259">
        <f>INDEX('Volume adjustments'!$J$571:$Y$611,J$17 + 1 + $H33*$H$39, J$15)</f>
        <v>16127.506661950501</v>
      </c>
      <c r="K33" s="259">
        <f>INDEX('Volume adjustments'!$J$571:$Y$611,K$17 + 1 + $H33*$H$39, K$15)</f>
        <v>0</v>
      </c>
      <c r="L33" s="259">
        <f>INDEX('Volume adjustments'!$J$571:$Y$611,L$17 + 1 + $H33*$H$39, L$15)</f>
        <v>0</v>
      </c>
      <c r="M33" s="259">
        <f>INDEX('Volume adjustments'!$J$571:$Y$611,M$17 + 1 + $H33*$H$39, M$15)</f>
        <v>329.07846552302044</v>
      </c>
      <c r="N33" s="259">
        <f>INDEX('Volume adjustments'!$J$571:$Y$611,N$17 + 1 + $H33*$H$39, N$15)</f>
        <v>93.827394510249619</v>
      </c>
      <c r="O33" s="259">
        <f>INDEX('Volume adjustments'!$J$571:$Y$611,O$17 + 1 + $H33*$H$39, O$15)</f>
        <v>118.17195849188202</v>
      </c>
      <c r="P33" s="259">
        <f>INDEX('Volume adjustments'!$J$571:$Y$611,P$17 + 1 + $H33*$H$39, P$15)</f>
        <v>61.470355801425313</v>
      </c>
      <c r="Q33" s="259">
        <f>INDEX('Volume adjustments'!$J$571:$Y$611,Q$17 + 1 + $H33*$H$39, Q$15)</f>
        <v>0</v>
      </c>
      <c r="R33" s="259">
        <f>INDEX('Volume adjustments'!$J$571:$Y$611,R$17 + 1 + $H33*$H$39, R$15)</f>
        <v>0</v>
      </c>
      <c r="S33" s="259">
        <f>INDEX('Volume adjustments'!$J$571:$Y$611,S$17 + 1 + $H33*$H$39, S$15)</f>
        <v>69.139060154742793</v>
      </c>
      <c r="T33" s="259">
        <f>INDEX('Volume adjustments'!$J$571:$Y$611,T$17 + 1 + $H33*$H$39, T$15)</f>
        <v>720.85360039384284</v>
      </c>
      <c r="U33" s="259">
        <f>INDEX('Volume adjustments'!$J$571:$Y$611,U$17 + 1 + $H33*$H$39, U$15)</f>
        <v>1229.971444169684</v>
      </c>
      <c r="V33" s="259">
        <f>INDEX('Volume adjustments'!$J$571:$Y$611,V$17 + 1 + $H33*$H$39, V$15)</f>
        <v>651.8457421548685</v>
      </c>
      <c r="W33" s="259">
        <f>INDEX('Volume adjustments'!$J$571:$Y$611,W$17 + 1 + $H33*$H$39, W$15)</f>
        <v>0</v>
      </c>
      <c r="X33" s="259">
        <f>INDEX('Volume adjustments'!$J$571:$Y$611,X$17 + 1 + $H33*$H$39, X$15)</f>
        <v>0</v>
      </c>
      <c r="Y33" s="259">
        <f>INDEX('Volume adjustments'!$J$571:$Y$611,Y$17 + 1 + $H33*$H$39, Y$15)</f>
        <v>0</v>
      </c>
      <c r="Z33" s="259">
        <f>INDEX('Volume adjustments'!$J$571:$Y$611,Z$17 + 1 + $H33*$H$39, Z$15)</f>
        <v>0</v>
      </c>
      <c r="AA33" s="259">
        <f>INDEX('Volume adjustments'!$J$571:$Y$611,AA$17 + 1 + $H33*$H$39, AA$15)</f>
        <v>0</v>
      </c>
      <c r="AB33" s="259">
        <f>INDEX('Volume adjustments'!$J$571:$Y$611,AB$17 + 1 + $H33*$H$39, AB$15)</f>
        <v>0</v>
      </c>
      <c r="AC33" s="259">
        <f>INDEX('Volume adjustments'!$J$571:$Y$611,AC$17 + 1 + $H33*$H$39, AC$15)</f>
        <v>0</v>
      </c>
      <c r="AD33" s="259">
        <f>INDEX('Volume adjustments'!$J$571:$Y$611,AD$17 + 1 + $H33*$H$39, AD$15)</f>
        <v>0</v>
      </c>
      <c r="AE33" s="259">
        <f>INDEX('Volume adjustments'!$J$571:$Y$611,AE$17 + 1 + $H33*$H$39, AE$15)</f>
        <v>0</v>
      </c>
      <c r="AF33" s="259">
        <f>INDEX('Volume adjustments'!$J$571:$Y$611,AF$17 + 1 + $H33*$H$39, AF$15)</f>
        <v>0</v>
      </c>
      <c r="AG33" s="259">
        <f>INDEX('Volume adjustments'!$J$571:$Y$611,AG$17 + 1 + $H33*$H$39, AG$15)</f>
        <v>14.024757151810981</v>
      </c>
      <c r="AH33" s="259">
        <f>INDEX('Volume adjustments'!$J$571:$Y$611,AH$17 + 1 + $H33*$H$39, AH$15)</f>
        <v>159.863</v>
      </c>
      <c r="AI33" s="259">
        <f>INDEX('Volume adjustments'!$J$571:$Y$611,AI$17 + 1 + $H33*$H$39, AI$15)</f>
        <v>0</v>
      </c>
      <c r="AJ33" s="259">
        <f>INDEX('Volume adjustments'!$J$571:$Y$611,AJ$17 + 1 + $H33*$H$39, AJ$15)</f>
        <v>0</v>
      </c>
      <c r="AK33" s="259">
        <f>INDEX('Volume adjustments'!$J$571:$Y$611,AK$17 + 1 + $H33*$H$39, AK$15)</f>
        <v>0</v>
      </c>
      <c r="AL33" s="259">
        <f>INDEX('Volume adjustments'!$J$571:$Y$611,AL$17 + 1 + $H33*$H$39, AL$15)</f>
        <v>0</v>
      </c>
      <c r="AM33" s="259">
        <f>INDEX('Volume adjustments'!$J$571:$Y$611,AM$17 + 1 + $H33*$H$39, AM$15)</f>
        <v>0</v>
      </c>
      <c r="AN33" s="259">
        <f>INDEX('Volume adjustments'!$J$571:$Y$611,AN$17 + 1 + $H33*$H$39, AN$15)</f>
        <v>0</v>
      </c>
      <c r="AO33" s="259">
        <f>INDEX('Volume adjustments'!$J$571:$Y$611,AO$17 + 1 + $H33*$H$39, AO$15)</f>
        <v>0</v>
      </c>
    </row>
    <row r="34" spans="5:43" x14ac:dyDescent="0.25">
      <c r="E34" s="94"/>
      <c r="F34" s="118" t="s">
        <v>246</v>
      </c>
      <c r="G34" s="118" t="s">
        <v>205</v>
      </c>
      <c r="H34" s="7">
        <v>1</v>
      </c>
      <c r="J34" s="311">
        <f>INDEX('Volume adjustments'!$J$571:$Y$611,J$17 + 1 + $H34*$H$39, J$15)</f>
        <v>39606.222663234104</v>
      </c>
      <c r="K34" s="311">
        <f>INDEX('Volume adjustments'!$J$571:$Y$611,K$17 + 1 + $H34*$H$39, K$15)</f>
        <v>0</v>
      </c>
      <c r="L34" s="311">
        <f>INDEX('Volume adjustments'!$J$571:$Y$611,L$17 + 1 + $H34*$H$39, L$15)</f>
        <v>0</v>
      </c>
      <c r="M34" s="311">
        <f>INDEX('Volume adjustments'!$J$571:$Y$611,M$17 + 1 + $H34*$H$39, M$15)</f>
        <v>1235.1438249573946</v>
      </c>
      <c r="N34" s="311">
        <f>INDEX('Volume adjustments'!$J$571:$Y$611,N$17 + 1 + $H34*$H$39, N$15)</f>
        <v>350.01259872653554</v>
      </c>
      <c r="O34" s="311">
        <f>INDEX('Volume adjustments'!$J$571:$Y$611,O$17 + 1 + $H34*$H$39, O$15)</f>
        <v>439.04272692967311</v>
      </c>
      <c r="P34" s="311">
        <f>INDEX('Volume adjustments'!$J$571:$Y$611,P$17 + 1 + $H34*$H$39, P$15)</f>
        <v>224.5665870758485</v>
      </c>
      <c r="Q34" s="311">
        <f>INDEX('Volume adjustments'!$J$571:$Y$611,Q$17 + 1 + $H34*$H$39, Q$15)</f>
        <v>0</v>
      </c>
      <c r="R34" s="311">
        <f>INDEX('Volume adjustments'!$J$571:$Y$611,R$17 + 1 + $H34*$H$39, R$15)</f>
        <v>0</v>
      </c>
      <c r="S34" s="311">
        <f>INDEX('Volume adjustments'!$J$571:$Y$611,S$17 + 1 + $H34*$H$39, S$15)</f>
        <v>224.9158936646063</v>
      </c>
      <c r="T34" s="311">
        <f>INDEX('Volume adjustments'!$J$571:$Y$611,T$17 + 1 + $H34*$H$39, T$15)</f>
        <v>1902.5677891009304</v>
      </c>
      <c r="U34" s="311">
        <f>INDEX('Volume adjustments'!$J$571:$Y$611,U$17 + 1 + $H34*$H$39, U$15)</f>
        <v>3649.5449112820097</v>
      </c>
      <c r="V34" s="311">
        <f>INDEX('Volume adjustments'!$J$571:$Y$611,V$17 + 1 + $H34*$H$39, V$15)</f>
        <v>2358.5634723120479</v>
      </c>
      <c r="W34" s="311">
        <f>INDEX('Volume adjustments'!$J$571:$Y$611,W$17 + 1 + $H34*$H$39, W$15)</f>
        <v>0</v>
      </c>
      <c r="X34" s="311">
        <f>INDEX('Volume adjustments'!$J$571:$Y$611,X$17 + 1 + $H34*$H$39, X$15)</f>
        <v>0</v>
      </c>
      <c r="Y34" s="311">
        <f>INDEX('Volume adjustments'!$J$571:$Y$611,Y$17 + 1 + $H34*$H$39, Y$15)</f>
        <v>0</v>
      </c>
      <c r="Z34" s="311">
        <f>INDEX('Volume adjustments'!$J$571:$Y$611,Z$17 + 1 + $H34*$H$39, Z$15)</f>
        <v>0</v>
      </c>
      <c r="AA34" s="311">
        <f>INDEX('Volume adjustments'!$J$571:$Y$611,AA$17 + 1 + $H34*$H$39, AA$15)</f>
        <v>0</v>
      </c>
      <c r="AB34" s="311">
        <f>INDEX('Volume adjustments'!$J$571:$Y$611,AB$17 + 1 + $H34*$H$39, AB$15)</f>
        <v>0</v>
      </c>
      <c r="AC34" s="311">
        <f>INDEX('Volume adjustments'!$J$571:$Y$611,AC$17 + 1 + $H34*$H$39, AC$15)</f>
        <v>0</v>
      </c>
      <c r="AD34" s="311">
        <f>INDEX('Volume adjustments'!$J$571:$Y$611,AD$17 + 1 + $H34*$H$39, AD$15)</f>
        <v>0</v>
      </c>
      <c r="AE34" s="311">
        <f>INDEX('Volume adjustments'!$J$571:$Y$611,AE$17 + 1 + $H34*$H$39, AE$15)</f>
        <v>0</v>
      </c>
      <c r="AF34" s="311">
        <f>INDEX('Volume adjustments'!$J$571:$Y$611,AF$17 + 1 + $H34*$H$39, AF$15)</f>
        <v>0</v>
      </c>
      <c r="AG34" s="311">
        <f>INDEX('Volume adjustments'!$J$571:$Y$611,AG$17 + 1 + $H34*$H$39, AG$15)</f>
        <v>121.69638635406008</v>
      </c>
      <c r="AH34" s="311">
        <f>INDEX('Volume adjustments'!$J$571:$Y$611,AH$17 + 1 + $H34*$H$39, AH$15)</f>
        <v>706.57100000000003</v>
      </c>
      <c r="AI34" s="311">
        <f>INDEX('Volume adjustments'!$J$571:$Y$611,AI$17 + 1 + $H34*$H$39, AI$15)</f>
        <v>0</v>
      </c>
      <c r="AJ34" s="311">
        <f>INDEX('Volume adjustments'!$J$571:$Y$611,AJ$17 + 1 + $H34*$H$39, AJ$15)</f>
        <v>0</v>
      </c>
      <c r="AK34" s="311">
        <f>INDEX('Volume adjustments'!$J$571:$Y$611,AK$17 + 1 + $H34*$H$39, AK$15)</f>
        <v>0</v>
      </c>
      <c r="AL34" s="311">
        <f>INDEX('Volume adjustments'!$J$571:$Y$611,AL$17 + 1 + $H34*$H$39, AL$15)</f>
        <v>0</v>
      </c>
      <c r="AM34" s="311">
        <f>INDEX('Volume adjustments'!$J$571:$Y$611,AM$17 + 1 + $H34*$H$39, AM$15)</f>
        <v>0</v>
      </c>
      <c r="AN34" s="311">
        <f>INDEX('Volume adjustments'!$J$571:$Y$611,AN$17 + 1 + $H34*$H$39, AN$15)</f>
        <v>0</v>
      </c>
      <c r="AO34" s="311">
        <f>INDEX('Volume adjustments'!$J$571:$Y$611,AO$17 + 1 + $H34*$H$39, AO$15)</f>
        <v>0</v>
      </c>
    </row>
    <row r="35" spans="5:43" x14ac:dyDescent="0.25">
      <c r="E35" s="94"/>
      <c r="F35" s="118" t="s">
        <v>247</v>
      </c>
      <c r="G35" s="118" t="s">
        <v>205</v>
      </c>
      <c r="H35" s="7">
        <v>2</v>
      </c>
      <c r="J35" s="311">
        <f>INDEX('Volume adjustments'!$J$571:$Y$611,J$17 + 1 + $H35*$H$39, J$15)</f>
        <v>56456.583827742812</v>
      </c>
      <c r="K35" s="311">
        <f>INDEX('Volume adjustments'!$J$571:$Y$611,K$17 + 1 + $H35*$H$39, K$15)</f>
        <v>0</v>
      </c>
      <c r="L35" s="311">
        <f>INDEX('Volume adjustments'!$J$571:$Y$611,L$17 + 1 + $H35*$H$39, L$15)</f>
        <v>0</v>
      </c>
      <c r="M35" s="311">
        <f>INDEX('Volume adjustments'!$J$571:$Y$611,M$17 + 1 + $H35*$H$39, M$15)</f>
        <v>1213.8972596975429</v>
      </c>
      <c r="N35" s="311">
        <f>INDEX('Volume adjustments'!$J$571:$Y$611,N$17 + 1 + $H35*$H$39, N$15)</f>
        <v>347.81386389483004</v>
      </c>
      <c r="O35" s="311">
        <f>INDEX('Volume adjustments'!$J$571:$Y$611,O$17 + 1 + $H35*$H$39, O$15)</f>
        <v>449.68866278313999</v>
      </c>
      <c r="P35" s="311">
        <f>INDEX('Volume adjustments'!$J$571:$Y$611,P$17 + 1 + $H35*$H$39, P$15)</f>
        <v>230.16194603042726</v>
      </c>
      <c r="Q35" s="311">
        <f>INDEX('Volume adjustments'!$J$571:$Y$611,Q$17 + 1 + $H35*$H$39, Q$15)</f>
        <v>0</v>
      </c>
      <c r="R35" s="311">
        <f>INDEX('Volume adjustments'!$J$571:$Y$611,R$17 + 1 + $H35*$H$39, R$15)</f>
        <v>0</v>
      </c>
      <c r="S35" s="311">
        <f>INDEX('Volume adjustments'!$J$571:$Y$611,S$17 + 1 + $H35*$H$39, S$15)</f>
        <v>324.38540708140818</v>
      </c>
      <c r="T35" s="311">
        <f>INDEX('Volume adjustments'!$J$571:$Y$611,T$17 + 1 + $H35*$H$39, T$15)</f>
        <v>2391.6379085410845</v>
      </c>
      <c r="U35" s="311">
        <f>INDEX('Volume adjustments'!$J$571:$Y$611,U$17 + 1 + $H35*$H$39, U$15)</f>
        <v>4431.4649009080076</v>
      </c>
      <c r="V35" s="311">
        <f>INDEX('Volume adjustments'!$J$571:$Y$611,V$17 + 1 + $H35*$H$39, V$15)</f>
        <v>2717.5809132152681</v>
      </c>
      <c r="W35" s="311">
        <f>INDEX('Volume adjustments'!$J$571:$Y$611,W$17 + 1 + $H35*$H$39, W$15)</f>
        <v>0</v>
      </c>
      <c r="X35" s="311">
        <f>INDEX('Volume adjustments'!$J$571:$Y$611,X$17 + 1 + $H35*$H$39, X$15)</f>
        <v>0</v>
      </c>
      <c r="Y35" s="311">
        <f>INDEX('Volume adjustments'!$J$571:$Y$611,Y$17 + 1 + $H35*$H$39, Y$15)</f>
        <v>0</v>
      </c>
      <c r="Z35" s="311">
        <f>INDEX('Volume adjustments'!$J$571:$Y$611,Z$17 + 1 + $H35*$H$39, Z$15)</f>
        <v>0</v>
      </c>
      <c r="AA35" s="311">
        <f>INDEX('Volume adjustments'!$J$571:$Y$611,AA$17 + 1 + $H35*$H$39, AA$15)</f>
        <v>0</v>
      </c>
      <c r="AB35" s="311">
        <f>INDEX('Volume adjustments'!$J$571:$Y$611,AB$17 + 1 + $H35*$H$39, AB$15)</f>
        <v>0</v>
      </c>
      <c r="AC35" s="311">
        <f>INDEX('Volume adjustments'!$J$571:$Y$611,AC$17 + 1 + $H35*$H$39, AC$15)</f>
        <v>0</v>
      </c>
      <c r="AD35" s="311">
        <f>INDEX('Volume adjustments'!$J$571:$Y$611,AD$17 + 1 + $H35*$H$39, AD$15)</f>
        <v>0</v>
      </c>
      <c r="AE35" s="311">
        <f>INDEX('Volume adjustments'!$J$571:$Y$611,AE$17 + 1 + $H35*$H$39, AE$15)</f>
        <v>0</v>
      </c>
      <c r="AF35" s="311">
        <f>INDEX('Volume adjustments'!$J$571:$Y$611,AF$17 + 1 + $H35*$H$39, AF$15)</f>
        <v>0</v>
      </c>
      <c r="AG35" s="311">
        <f>INDEX('Volume adjustments'!$J$571:$Y$611,AG$17 + 1 + $H35*$H$39, AG$15)</f>
        <v>188.91722132605392</v>
      </c>
      <c r="AH35" s="311">
        <f>INDEX('Volume adjustments'!$J$571:$Y$611,AH$17 + 1 + $H35*$H$39, AH$15)</f>
        <v>409.77800000000002</v>
      </c>
      <c r="AI35" s="311">
        <f>INDEX('Volume adjustments'!$J$571:$Y$611,AI$17 + 1 + $H35*$H$39, AI$15)</f>
        <v>0</v>
      </c>
      <c r="AJ35" s="311">
        <f>INDEX('Volume adjustments'!$J$571:$Y$611,AJ$17 + 1 + $H35*$H$39, AJ$15)</f>
        <v>0</v>
      </c>
      <c r="AK35" s="311">
        <f>INDEX('Volume adjustments'!$J$571:$Y$611,AK$17 + 1 + $H35*$H$39, AK$15)</f>
        <v>0</v>
      </c>
      <c r="AL35" s="311">
        <f>INDEX('Volume adjustments'!$J$571:$Y$611,AL$17 + 1 + $H35*$H$39, AL$15)</f>
        <v>0</v>
      </c>
      <c r="AM35" s="311">
        <f>INDEX('Volume adjustments'!$J$571:$Y$611,AM$17 + 1 + $H35*$H$39, AM$15)</f>
        <v>0</v>
      </c>
      <c r="AN35" s="311">
        <f>INDEX('Volume adjustments'!$J$571:$Y$611,AN$17 + 1 + $H35*$H$39, AN$15)</f>
        <v>0</v>
      </c>
      <c r="AO35" s="311">
        <f>INDEX('Volume adjustments'!$J$571:$Y$611,AO$17 + 1 + $H35*$H$39, AO$15)</f>
        <v>0</v>
      </c>
    </row>
    <row r="36" spans="5:43" x14ac:dyDescent="0.25">
      <c r="E36" s="94"/>
      <c r="F36" s="118" t="s">
        <v>210</v>
      </c>
      <c r="G36" s="118" t="s">
        <v>210</v>
      </c>
      <c r="H36" s="7">
        <v>3</v>
      </c>
      <c r="J36" s="311">
        <f>INDEX('Volume adjustments'!$J$571:$Y$611,J$17 + 1 + $H36*$H$39, J$15)</f>
        <v>40123.208470178259</v>
      </c>
      <c r="K36" s="311">
        <f>INDEX('Volume adjustments'!$J$571:$Y$611,K$17 + 1 + $H36*$H$39, K$15)</f>
        <v>0</v>
      </c>
      <c r="L36" s="311">
        <f>INDEX('Volume adjustments'!$J$571:$Y$611,L$17 + 1 + $H36*$H$39, L$15)</f>
        <v>0</v>
      </c>
      <c r="M36" s="311">
        <f>INDEX('Volume adjustments'!$J$571:$Y$611,M$17 + 1 + $H36*$H$39, M$15)</f>
        <v>325.88785128898581</v>
      </c>
      <c r="N36" s="311">
        <f>INDEX('Volume adjustments'!$J$571:$Y$611,N$17 + 1 + $H36*$H$39, N$15)</f>
        <v>74.815548214216406</v>
      </c>
      <c r="O36" s="311">
        <f>INDEX('Volume adjustments'!$J$571:$Y$611,O$17 + 1 + $H36*$H$39, O$15)</f>
        <v>95.699251553147761</v>
      </c>
      <c r="P36" s="311">
        <f>INDEX('Volume adjustments'!$J$571:$Y$611,P$17 + 1 + $H36*$H$39, P$15)</f>
        <v>51.16719983041633</v>
      </c>
      <c r="Q36" s="311">
        <f>INDEX('Volume adjustments'!$J$571:$Y$611,Q$17 + 1 + $H36*$H$39, Q$15)</f>
        <v>0</v>
      </c>
      <c r="R36" s="311">
        <f>INDEX('Volume adjustments'!$J$571:$Y$611,R$17 + 1 + $H36*$H$39, R$15)</f>
        <v>0</v>
      </c>
      <c r="S36" s="311">
        <f>INDEX('Volume adjustments'!$J$571:$Y$611,S$17 + 1 + $H36*$H$39, S$15)</f>
        <v>16.587870269212281</v>
      </c>
      <c r="T36" s="311">
        <f>INDEX('Volume adjustments'!$J$571:$Y$611,T$17 + 1 + $H36*$H$39, T$15)</f>
        <v>68.903461118266407</v>
      </c>
      <c r="U36" s="311">
        <f>INDEX('Volume adjustments'!$J$571:$Y$611,U$17 + 1 + $H36*$H$39, U$15)</f>
        <v>63.799501035431824</v>
      </c>
      <c r="V36" s="311">
        <f>INDEX('Volume adjustments'!$J$571:$Y$611,V$17 + 1 + $H36*$H$39, V$15)</f>
        <v>22.967820372755462</v>
      </c>
      <c r="W36" s="311">
        <f>INDEX('Volume adjustments'!$J$571:$Y$611,W$17 + 1 + $H36*$H$39, W$15)</f>
        <v>0</v>
      </c>
      <c r="X36" s="311">
        <f>INDEX('Volume adjustments'!$J$571:$Y$611,X$17 + 1 + $H36*$H$39, X$15)</f>
        <v>0</v>
      </c>
      <c r="Y36" s="311">
        <f>INDEX('Volume adjustments'!$J$571:$Y$611,Y$17 + 1 + $H36*$H$39, Y$15)</f>
        <v>0</v>
      </c>
      <c r="Z36" s="311">
        <f>INDEX('Volume adjustments'!$J$571:$Y$611,Z$17 + 1 + $H36*$H$39, Z$15)</f>
        <v>0</v>
      </c>
      <c r="AA36" s="311">
        <f>INDEX('Volume adjustments'!$J$571:$Y$611,AA$17 + 1 + $H36*$H$39, AA$15)</f>
        <v>0</v>
      </c>
      <c r="AB36" s="311">
        <f>INDEX('Volume adjustments'!$J$571:$Y$611,AB$17 + 1 + $H36*$H$39, AB$15)</f>
        <v>0</v>
      </c>
      <c r="AC36" s="311">
        <f>INDEX('Volume adjustments'!$J$571:$Y$611,AC$17 + 1 + $H36*$H$39, AC$15)</f>
        <v>0</v>
      </c>
      <c r="AD36" s="311">
        <f>INDEX('Volume adjustments'!$J$571:$Y$611,AD$17 + 1 + $H36*$H$39, AD$15)</f>
        <v>0</v>
      </c>
      <c r="AE36" s="311">
        <f>INDEX('Volume adjustments'!$J$571:$Y$611,AE$17 + 1 + $H36*$H$39, AE$15)</f>
        <v>0</v>
      </c>
      <c r="AF36" s="311">
        <f>INDEX('Volume adjustments'!$J$571:$Y$611,AF$17 + 1 + $H36*$H$39, AF$15)</f>
        <v>0</v>
      </c>
      <c r="AG36" s="311">
        <f>INDEX('Volume adjustments'!$J$571:$Y$611,AG$17 + 1 + $H36*$H$39, AG$15)</f>
        <v>168.09041872801774</v>
      </c>
      <c r="AH36" s="311">
        <f>INDEX('Volume adjustments'!$J$571:$Y$611,AH$17 + 1 + $H36*$H$39, AH$15)</f>
        <v>395.6</v>
      </c>
      <c r="AI36" s="311">
        <f>INDEX('Volume adjustments'!$J$571:$Y$611,AI$17 + 1 + $H36*$H$39, AI$15)</f>
        <v>0</v>
      </c>
      <c r="AJ36" s="311">
        <f>INDEX('Volume adjustments'!$J$571:$Y$611,AJ$17 + 1 + $H36*$H$39, AJ$15)</f>
        <v>0</v>
      </c>
      <c r="AK36" s="311">
        <f>INDEX('Volume adjustments'!$J$571:$Y$611,AK$17 + 1 + $H36*$H$39, AK$15)</f>
        <v>0</v>
      </c>
      <c r="AL36" s="311">
        <f>INDEX('Volume adjustments'!$J$571:$Y$611,AL$17 + 1 + $H36*$H$39, AL$15)</f>
        <v>0</v>
      </c>
      <c r="AM36" s="311">
        <f>INDEX('Volume adjustments'!$J$571:$Y$611,AM$17 + 1 + $H36*$H$39, AM$15)</f>
        <v>0</v>
      </c>
      <c r="AN36" s="311">
        <f>INDEX('Volume adjustments'!$J$571:$Y$611,AN$17 + 1 + $H36*$H$39, AN$15)</f>
        <v>0</v>
      </c>
      <c r="AO36" s="311">
        <f>INDEX('Volume adjustments'!$J$571:$Y$611,AO$17 + 1 + $H36*$H$39, AO$15)</f>
        <v>0</v>
      </c>
    </row>
    <row r="37" spans="5:43" x14ac:dyDescent="0.25">
      <c r="E37" s="94"/>
      <c r="F37" s="118" t="s">
        <v>248</v>
      </c>
      <c r="G37" s="118" t="s">
        <v>249</v>
      </c>
      <c r="H37" s="7">
        <v>4</v>
      </c>
      <c r="J37" s="311">
        <f>INDEX('Volume adjustments'!$J$571:$Y$611,J$17 + 1 + $H37*$H$39, J$15)</f>
        <v>0</v>
      </c>
      <c r="K37" s="311">
        <f>INDEX('Volume adjustments'!$J$571:$Y$611,K$17 + 1 + $H37*$H$39, K$15)</f>
        <v>0</v>
      </c>
      <c r="L37" s="311">
        <f>INDEX('Volume adjustments'!$J$571:$Y$611,L$17 + 1 + $H37*$H$39, L$15)</f>
        <v>0</v>
      </c>
      <c r="M37" s="311">
        <f>INDEX('Volume adjustments'!$J$571:$Y$611,M$17 + 1 + $H37*$H$39, M$15)</f>
        <v>0</v>
      </c>
      <c r="N37" s="311">
        <f>INDEX('Volume adjustments'!$J$571:$Y$611,N$17 + 1 + $H37*$H$39, N$15)</f>
        <v>0</v>
      </c>
      <c r="O37" s="311">
        <f>INDEX('Volume adjustments'!$J$571:$Y$611,O$17 + 1 + $H37*$H$39, O$15)</f>
        <v>0</v>
      </c>
      <c r="P37" s="311">
        <f>INDEX('Volume adjustments'!$J$571:$Y$611,P$17 + 1 + $H37*$H$39, P$15)</f>
        <v>0</v>
      </c>
      <c r="Q37" s="311">
        <f>INDEX('Volume adjustments'!$J$571:$Y$611,Q$17 + 1 + $H37*$H$39, Q$15)</f>
        <v>0</v>
      </c>
      <c r="R37" s="311">
        <f>INDEX('Volume adjustments'!$J$571:$Y$611,R$17 + 1 + $H37*$H$39, R$15)</f>
        <v>0</v>
      </c>
      <c r="S37" s="311">
        <f>INDEX('Volume adjustments'!$J$571:$Y$611,S$17 + 1 + $H37*$H$39, S$15)</f>
        <v>746</v>
      </c>
      <c r="T37" s="311">
        <f>INDEX('Volume adjustments'!$J$571:$Y$611,T$17 + 1 + $H37*$H$39, T$15)</f>
        <v>5999</v>
      </c>
      <c r="U37" s="311">
        <f>INDEX('Volume adjustments'!$J$571:$Y$611,U$17 + 1 + $H37*$H$39, U$15)</f>
        <v>8922</v>
      </c>
      <c r="V37" s="311">
        <f>INDEX('Volume adjustments'!$J$571:$Y$611,V$17 + 1 + $H37*$H$39, V$15)</f>
        <v>6146</v>
      </c>
      <c r="W37" s="311">
        <f>INDEX('Volume adjustments'!$J$571:$Y$611,W$17 + 1 + $H37*$H$39, W$15)</f>
        <v>0</v>
      </c>
      <c r="X37" s="311">
        <f>INDEX('Volume adjustments'!$J$571:$Y$611,X$17 + 1 + $H37*$H$39, X$15)</f>
        <v>0</v>
      </c>
      <c r="Y37" s="311">
        <f>INDEX('Volume adjustments'!$J$571:$Y$611,Y$17 + 1 + $H37*$H$39, Y$15)</f>
        <v>0</v>
      </c>
      <c r="Z37" s="311">
        <f>INDEX('Volume adjustments'!$J$571:$Y$611,Z$17 + 1 + $H37*$H$39, Z$15)</f>
        <v>0</v>
      </c>
      <c r="AA37" s="311">
        <f>INDEX('Volume adjustments'!$J$571:$Y$611,AA$17 + 1 + $H37*$H$39, AA$15)</f>
        <v>0</v>
      </c>
      <c r="AB37" s="311">
        <f>INDEX('Volume adjustments'!$J$571:$Y$611,AB$17 + 1 + $H37*$H$39, AB$15)</f>
        <v>0</v>
      </c>
      <c r="AC37" s="311">
        <f>INDEX('Volume adjustments'!$J$571:$Y$611,AC$17 + 1 + $H37*$H$39, AC$15)</f>
        <v>0</v>
      </c>
      <c r="AD37" s="311">
        <f>INDEX('Volume adjustments'!$J$571:$Y$611,AD$17 + 1 + $H37*$H$39, AD$15)</f>
        <v>0</v>
      </c>
      <c r="AE37" s="311">
        <f>INDEX('Volume adjustments'!$J$571:$Y$611,AE$17 + 1 + $H37*$H$39, AE$15)</f>
        <v>0</v>
      </c>
      <c r="AF37" s="311">
        <f>INDEX('Volume adjustments'!$J$571:$Y$611,AF$17 + 1 + $H37*$H$39, AF$15)</f>
        <v>0</v>
      </c>
      <c r="AG37" s="311">
        <f>INDEX('Volume adjustments'!$J$571:$Y$611,AG$17 + 1 + $H37*$H$39, AG$15)</f>
        <v>0</v>
      </c>
      <c r="AH37" s="311">
        <f>INDEX('Volume adjustments'!$J$571:$Y$611,AH$17 + 1 + $H37*$H$39, AH$15)</f>
        <v>0</v>
      </c>
      <c r="AI37" s="311">
        <f>INDEX('Volume adjustments'!$J$571:$Y$611,AI$17 + 1 + $H37*$H$39, AI$15)</f>
        <v>0</v>
      </c>
      <c r="AJ37" s="311">
        <f>INDEX('Volume adjustments'!$J$571:$Y$611,AJ$17 + 1 + $H37*$H$39, AJ$15)</f>
        <v>0</v>
      </c>
      <c r="AK37" s="311">
        <f>INDEX('Volume adjustments'!$J$571:$Y$611,AK$17 + 1 + $H37*$H$39, AK$15)</f>
        <v>0</v>
      </c>
      <c r="AL37" s="311">
        <f>INDEX('Volume adjustments'!$J$571:$Y$611,AL$17 + 1 + $H37*$H$39, AL$15)</f>
        <v>0</v>
      </c>
      <c r="AM37" s="311">
        <f>INDEX('Volume adjustments'!$J$571:$Y$611,AM$17 + 1 + $H37*$H$39, AM$15)</f>
        <v>0</v>
      </c>
      <c r="AN37" s="311">
        <f>INDEX('Volume adjustments'!$J$571:$Y$611,AN$17 + 1 + $H37*$H$39, AN$15)</f>
        <v>0</v>
      </c>
      <c r="AO37" s="311">
        <f>INDEX('Volume adjustments'!$J$571:$Y$611,AO$17 + 1 + $H37*$H$39, AO$15)</f>
        <v>0</v>
      </c>
    </row>
    <row r="38" spans="5:43" x14ac:dyDescent="0.25">
      <c r="E38" s="94"/>
      <c r="F38" s="118" t="s">
        <v>250</v>
      </c>
      <c r="G38" s="118" t="s">
        <v>249</v>
      </c>
      <c r="H38" s="7">
        <v>5</v>
      </c>
      <c r="J38" s="311">
        <f>INDEX('Volume adjustments'!$J$571:$Y$611,J$17 + 1 + $H38*$H$39, J$15)</f>
        <v>0</v>
      </c>
      <c r="K38" s="311">
        <f>INDEX('Volume adjustments'!$J$571:$Y$611,K$17 + 1 + $H38*$H$39, K$15)</f>
        <v>0</v>
      </c>
      <c r="L38" s="311">
        <f>INDEX('Volume adjustments'!$J$571:$Y$611,L$17 + 1 + $H38*$H$39, L$15)</f>
        <v>0</v>
      </c>
      <c r="M38" s="311">
        <f>INDEX('Volume adjustments'!$J$571:$Y$611,M$17 + 1 + $H38*$H$39, M$15)</f>
        <v>0</v>
      </c>
      <c r="N38" s="311">
        <f>INDEX('Volume adjustments'!$J$571:$Y$611,N$17 + 1 + $H38*$H$39, N$15)</f>
        <v>0</v>
      </c>
      <c r="O38" s="311">
        <f>INDEX('Volume adjustments'!$J$571:$Y$611,O$17 + 1 + $H38*$H$39, O$15)</f>
        <v>0</v>
      </c>
      <c r="P38" s="311">
        <f>INDEX('Volume adjustments'!$J$571:$Y$611,P$17 + 1 + $H38*$H$39, P$15)</f>
        <v>0</v>
      </c>
      <c r="Q38" s="311">
        <f>INDEX('Volume adjustments'!$J$571:$Y$611,Q$17 + 1 + $H38*$H$39, Q$15)</f>
        <v>0</v>
      </c>
      <c r="R38" s="311">
        <f>INDEX('Volume adjustments'!$J$571:$Y$611,R$17 + 1 + $H38*$H$39, R$15)</f>
        <v>0</v>
      </c>
      <c r="S38" s="311">
        <f>INDEX('Volume adjustments'!$J$571:$Y$611,S$17 + 1 + $H38*$H$39, S$15)</f>
        <v>16.265753424657536</v>
      </c>
      <c r="T38" s="311">
        <f>INDEX('Volume adjustments'!$J$571:$Y$611,T$17 + 1 + $H38*$H$39, T$15)</f>
        <v>0</v>
      </c>
      <c r="U38" s="311">
        <f>INDEX('Volume adjustments'!$J$571:$Y$611,U$17 + 1 + $H38*$H$39, U$15)</f>
        <v>3.5671232876712327</v>
      </c>
      <c r="V38" s="311">
        <f>INDEX('Volume adjustments'!$J$571:$Y$611,V$17 + 1 + $H38*$H$39, V$15)</f>
        <v>0</v>
      </c>
      <c r="W38" s="311">
        <f>INDEX('Volume adjustments'!$J$571:$Y$611,W$17 + 1 + $H38*$H$39, W$15)</f>
        <v>0</v>
      </c>
      <c r="X38" s="311">
        <f>INDEX('Volume adjustments'!$J$571:$Y$611,X$17 + 1 + $H38*$H$39, X$15)</f>
        <v>0</v>
      </c>
      <c r="Y38" s="311">
        <f>INDEX('Volume adjustments'!$J$571:$Y$611,Y$17 + 1 + $H38*$H$39, Y$15)</f>
        <v>0</v>
      </c>
      <c r="Z38" s="311">
        <f>INDEX('Volume adjustments'!$J$571:$Y$611,Z$17 + 1 + $H38*$H$39, Z$15)</f>
        <v>0</v>
      </c>
      <c r="AA38" s="311">
        <f>INDEX('Volume adjustments'!$J$571:$Y$611,AA$17 + 1 + $H38*$H$39, AA$15)</f>
        <v>0</v>
      </c>
      <c r="AB38" s="311">
        <f>INDEX('Volume adjustments'!$J$571:$Y$611,AB$17 + 1 + $H38*$H$39, AB$15)</f>
        <v>0</v>
      </c>
      <c r="AC38" s="311">
        <f>INDEX('Volume adjustments'!$J$571:$Y$611,AC$17 + 1 + $H38*$H$39, AC$15)</f>
        <v>0</v>
      </c>
      <c r="AD38" s="311">
        <f>INDEX('Volume adjustments'!$J$571:$Y$611,AD$17 + 1 + $H38*$H$39, AD$15)</f>
        <v>0</v>
      </c>
      <c r="AE38" s="311">
        <f>INDEX('Volume adjustments'!$J$571:$Y$611,AE$17 + 1 + $H38*$H$39, AE$15)</f>
        <v>0</v>
      </c>
      <c r="AF38" s="311">
        <f>INDEX('Volume adjustments'!$J$571:$Y$611,AF$17 + 1 + $H38*$H$39, AF$15)</f>
        <v>0</v>
      </c>
      <c r="AG38" s="311">
        <f>INDEX('Volume adjustments'!$J$571:$Y$611,AG$17 + 1 + $H38*$H$39, AG$15)</f>
        <v>0</v>
      </c>
      <c r="AH38" s="311">
        <f>INDEX('Volume adjustments'!$J$571:$Y$611,AH$17 + 1 + $H38*$H$39, AH$15)</f>
        <v>0</v>
      </c>
      <c r="AI38" s="311">
        <f>INDEX('Volume adjustments'!$J$571:$Y$611,AI$17 + 1 + $H38*$H$39, AI$15)</f>
        <v>0</v>
      </c>
      <c r="AJ38" s="311">
        <f>INDEX('Volume adjustments'!$J$571:$Y$611,AJ$17 + 1 + $H38*$H$39, AJ$15)</f>
        <v>0</v>
      </c>
      <c r="AK38" s="311">
        <f>INDEX('Volume adjustments'!$J$571:$Y$611,AK$17 + 1 + $H38*$H$39, AK$15)</f>
        <v>0</v>
      </c>
      <c r="AL38" s="311">
        <f>INDEX('Volume adjustments'!$J$571:$Y$611,AL$17 + 1 + $H38*$H$39, AL$15)</f>
        <v>0</v>
      </c>
      <c r="AM38" s="311">
        <f>INDEX('Volume adjustments'!$J$571:$Y$611,AM$17 + 1 + $H38*$H$39, AM$15)</f>
        <v>0</v>
      </c>
      <c r="AN38" s="311">
        <f>INDEX('Volume adjustments'!$J$571:$Y$611,AN$17 + 1 + $H38*$H$39, AN$15)</f>
        <v>0</v>
      </c>
      <c r="AO38" s="311">
        <f>INDEX('Volume adjustments'!$J$571:$Y$611,AO$17 + 1 + $H38*$H$39, AO$15)</f>
        <v>0</v>
      </c>
    </row>
    <row r="39" spans="5:43" x14ac:dyDescent="0.25">
      <c r="E39" s="94"/>
      <c r="F39" s="120" t="s">
        <v>251</v>
      </c>
      <c r="G39" s="120" t="s">
        <v>252</v>
      </c>
      <c r="H39" s="9">
        <v>6</v>
      </c>
      <c r="I39" s="96"/>
      <c r="J39" s="258">
        <f>INDEX('Volume adjustments'!$J$571:$Y$611,J$17 + 1 + $H39*$H$39, J$15)</f>
        <v>0</v>
      </c>
      <c r="K39" s="258">
        <f>INDEX('Volume adjustments'!$J$571:$Y$611,K$17 + 1 + $H39*$H$39, K$15)</f>
        <v>0</v>
      </c>
      <c r="L39" s="258">
        <f>INDEX('Volume adjustments'!$J$571:$Y$611,L$17 + 1 + $H39*$H$39, L$15)</f>
        <v>0</v>
      </c>
      <c r="M39" s="258">
        <f>INDEX('Volume adjustments'!$J$571:$Y$611,M$17 + 1 + $H39*$H$39, M$15)</f>
        <v>0</v>
      </c>
      <c r="N39" s="258">
        <f>INDEX('Volume adjustments'!$J$571:$Y$611,N$17 + 1 + $H39*$H$39, N$15)</f>
        <v>0</v>
      </c>
      <c r="O39" s="258">
        <f>INDEX('Volume adjustments'!$J$571:$Y$611,O$17 + 1 + $H39*$H$39, O$15)</f>
        <v>0</v>
      </c>
      <c r="P39" s="258">
        <f>INDEX('Volume adjustments'!$J$571:$Y$611,P$17 + 1 + $H39*$H$39, P$15)</f>
        <v>0</v>
      </c>
      <c r="Q39" s="258">
        <f>INDEX('Volume adjustments'!$J$571:$Y$611,Q$17 + 1 + $H39*$H$39, Q$15)</f>
        <v>0</v>
      </c>
      <c r="R39" s="258">
        <f>INDEX('Volume adjustments'!$J$571:$Y$611,R$17 + 1 + $H39*$H$39, R$15)</f>
        <v>0</v>
      </c>
      <c r="S39" s="258">
        <f>INDEX('Volume adjustments'!$J$571:$Y$611,S$17 + 1 + $H39*$H$39, S$15)</f>
        <v>10.371</v>
      </c>
      <c r="T39" s="258">
        <f>INDEX('Volume adjustments'!$J$571:$Y$611,T$17 + 1 + $H39*$H$39, T$15)</f>
        <v>381.089</v>
      </c>
      <c r="U39" s="258">
        <f>INDEX('Volume adjustments'!$J$571:$Y$611,U$17 + 1 + $H39*$H$39, U$15)</f>
        <v>516.75760000000002</v>
      </c>
      <c r="V39" s="258">
        <f>INDEX('Volume adjustments'!$J$571:$Y$611,V$17 + 1 + $H39*$H$39, V$15)</f>
        <v>359.30200000000002</v>
      </c>
      <c r="W39" s="258">
        <f>INDEX('Volume adjustments'!$J$571:$Y$611,W$17 + 1 + $H39*$H$39, W$15)</f>
        <v>0</v>
      </c>
      <c r="X39" s="258">
        <f>INDEX('Volume adjustments'!$J$571:$Y$611,X$17 + 1 + $H39*$H$39, X$15)</f>
        <v>0</v>
      </c>
      <c r="Y39" s="258">
        <f>INDEX('Volume adjustments'!$J$571:$Y$611,Y$17 + 1 + $H39*$H$39, Y$15)</f>
        <v>0</v>
      </c>
      <c r="Z39" s="258">
        <f>INDEX('Volume adjustments'!$J$571:$Y$611,Z$17 + 1 + $H39*$H$39, Z$15)</f>
        <v>0</v>
      </c>
      <c r="AA39" s="258">
        <f>INDEX('Volume adjustments'!$J$571:$Y$611,AA$17 + 1 + $H39*$H$39, AA$15)</f>
        <v>0</v>
      </c>
      <c r="AB39" s="258">
        <f>INDEX('Volume adjustments'!$J$571:$Y$611,AB$17 + 1 + $H39*$H$39, AB$15)</f>
        <v>0</v>
      </c>
      <c r="AC39" s="258">
        <f>INDEX('Volume adjustments'!$J$571:$Y$611,AC$17 + 1 + $H39*$H$39, AC$15)</f>
        <v>0</v>
      </c>
      <c r="AD39" s="258">
        <f>INDEX('Volume adjustments'!$J$571:$Y$611,AD$17 + 1 + $H39*$H$39, AD$15)</f>
        <v>0</v>
      </c>
      <c r="AE39" s="258">
        <f>INDEX('Volume adjustments'!$J$571:$Y$611,AE$17 + 1 + $H39*$H$39, AE$15)</f>
        <v>0</v>
      </c>
      <c r="AF39" s="258">
        <f>INDEX('Volume adjustments'!$J$571:$Y$611,AF$17 + 1 + $H39*$H$39, AF$15)</f>
        <v>0</v>
      </c>
      <c r="AG39" s="258">
        <f>INDEX('Volume adjustments'!$J$571:$Y$611,AG$17 + 1 + $H39*$H$39, AG$15)</f>
        <v>0</v>
      </c>
      <c r="AH39" s="258">
        <f>INDEX('Volume adjustments'!$J$571:$Y$611,AH$17 + 1 + $H39*$H$39, AH$15)</f>
        <v>0</v>
      </c>
      <c r="AI39" s="258">
        <f>INDEX('Volume adjustments'!$J$571:$Y$611,AI$17 + 1 + $H39*$H$39, AI$15)</f>
        <v>0</v>
      </c>
      <c r="AJ39" s="258">
        <f>INDEX('Volume adjustments'!$J$571:$Y$611,AJ$17 + 1 + $H39*$H$39, AJ$15)</f>
        <v>0</v>
      </c>
      <c r="AK39" s="258">
        <f>INDEX('Volume adjustments'!$J$571:$Y$611,AK$17 + 1 + $H39*$H$39, AK$15)</f>
        <v>0</v>
      </c>
      <c r="AL39" s="258">
        <f>INDEX('Volume adjustments'!$J$571:$Y$611,AL$17 + 1 + $H39*$H$39, AL$15)</f>
        <v>0</v>
      </c>
      <c r="AM39" s="258">
        <f>INDEX('Volume adjustments'!$J$571:$Y$611,AM$17 + 1 + $H39*$H$39, AM$15)</f>
        <v>0</v>
      </c>
      <c r="AN39" s="258">
        <f>INDEX('Volume adjustments'!$J$571:$Y$611,AN$17 + 1 + $H39*$H$39, AN$15)</f>
        <v>0</v>
      </c>
      <c r="AO39" s="258">
        <f>INDEX('Volume adjustments'!$J$571:$Y$611,AO$17 + 1 + $H39*$H$39, AO$15)</f>
        <v>0</v>
      </c>
    </row>
    <row r="40" spans="5:43" s="14" customFormat="1" x14ac:dyDescent="0.25">
      <c r="E40" s="350"/>
      <c r="F40" s="123"/>
      <c r="G40" s="123"/>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row>
    <row r="41" spans="5:43" x14ac:dyDescent="0.25">
      <c r="E41" s="75" t="s">
        <v>254</v>
      </c>
      <c r="F41" s="129"/>
      <c r="G41" s="129"/>
      <c r="I41" t="s">
        <v>152</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244</v>
      </c>
    </row>
    <row r="42" spans="5:43" x14ac:dyDescent="0.25">
      <c r="E42" s="75"/>
      <c r="F42" s="86" t="s">
        <v>980</v>
      </c>
    </row>
    <row r="43" spans="5:43" x14ac:dyDescent="0.25">
      <c r="E43" s="75"/>
      <c r="F43" s="352" t="s">
        <v>976</v>
      </c>
      <c r="G43" s="96"/>
    </row>
    <row r="44" spans="5:43" x14ac:dyDescent="0.25">
      <c r="E44" s="94"/>
      <c r="F44" s="118" t="s">
        <v>245</v>
      </c>
      <c r="G44" s="118" t="s">
        <v>205</v>
      </c>
      <c r="H44" s="8">
        <v>0</v>
      </c>
      <c r="I44" s="95"/>
      <c r="J44" s="259">
        <f>INDEX('Volume adjustments'!$J$615:$Y$655,J$17 + 1 + $H44*$H$50, J$15)</f>
        <v>31829.037375021369</v>
      </c>
      <c r="K44" s="259">
        <f>INDEX('Volume adjustments'!$J$615:$Y$655,K$17 + 1 + $H44*$H$50, K$15)</f>
        <v>0</v>
      </c>
      <c r="L44" s="259">
        <f>INDEX('Volume adjustments'!$J$615:$Y$655,L$17 + 1 + $H44*$H$50, L$15)</f>
        <v>0</v>
      </c>
      <c r="M44" s="259">
        <f>INDEX('Volume adjustments'!$J$615:$Y$655,M$17 + 1 + $H44*$H$50, M$15)</f>
        <v>643.82002526439703</v>
      </c>
      <c r="N44" s="259">
        <f>INDEX('Volume adjustments'!$J$615:$Y$655,N$17 + 1 + $H44*$H$50, N$15)</f>
        <v>63.777721905310862</v>
      </c>
      <c r="O44" s="259">
        <f>INDEX('Volume adjustments'!$J$615:$Y$655,O$17 + 1 + $H44*$H$50, O$15)</f>
        <v>25.242002373418064</v>
      </c>
      <c r="P44" s="259">
        <f>INDEX('Volume adjustments'!$J$615:$Y$655,P$17 + 1 + $H44*$H$50, P$15)</f>
        <v>150.47467025223492</v>
      </c>
      <c r="Q44" s="259">
        <f>INDEX('Volume adjustments'!$J$615:$Y$655,Q$17 + 1 + $H44*$H$50, Q$15)</f>
        <v>0</v>
      </c>
      <c r="R44" s="259">
        <f>INDEX('Volume adjustments'!$J$615:$Y$655,R$17 + 1 + $H44*$H$50, R$15)</f>
        <v>0</v>
      </c>
      <c r="S44" s="259">
        <f>INDEX('Volume adjustments'!$J$615:$Y$655,S$17 + 1 + $H44*$H$50, S$15)</f>
        <v>355.27523191957931</v>
      </c>
      <c r="T44" s="259">
        <f>INDEX('Volume adjustments'!$J$615:$Y$655,T$17 + 1 + $H44*$H$50, T$15)</f>
        <v>2001.739870641889</v>
      </c>
      <c r="U44" s="259">
        <f>INDEX('Volume adjustments'!$J$615:$Y$655,U$17 + 1 + $H44*$H$50, U$15)</f>
        <v>2413.4032334363415</v>
      </c>
      <c r="V44" s="259">
        <f>INDEX('Volume adjustments'!$J$615:$Y$655,V$17 + 1 + $H44*$H$50, V$15)</f>
        <v>7748.6955125512804</v>
      </c>
      <c r="W44" s="259">
        <f>INDEX('Volume adjustments'!$J$615:$Y$655,W$17 + 1 + $H44*$H$50, W$15)</f>
        <v>0</v>
      </c>
      <c r="X44" s="259">
        <f>INDEX('Volume adjustments'!$J$615:$Y$655,X$17 + 1 + $H44*$H$50, X$15)</f>
        <v>21.920595632617061</v>
      </c>
      <c r="Y44" s="259">
        <f>INDEX('Volume adjustments'!$J$615:$Y$655,Y$17 + 1 + $H44*$H$50, Y$15)</f>
        <v>23.099592989369587</v>
      </c>
      <c r="Z44" s="259">
        <f>INDEX('Volume adjustments'!$J$615:$Y$655,Z$17 + 1 + $H44*$H$50, Z$15)</f>
        <v>340.2666582654191</v>
      </c>
      <c r="AA44" s="259">
        <f>INDEX('Volume adjustments'!$J$615:$Y$655,AA$17 + 1 + $H44*$H$50, AA$15)</f>
        <v>3281.5835476877965</v>
      </c>
      <c r="AB44" s="259">
        <f>INDEX('Volume adjustments'!$J$615:$Y$655,AB$17 + 1 + $H44*$H$50, AB$15)</f>
        <v>0</v>
      </c>
      <c r="AC44" s="259">
        <f>INDEX('Volume adjustments'!$J$615:$Y$655,AC$17 + 1 + $H44*$H$50, AC$15)</f>
        <v>70.258122065776249</v>
      </c>
      <c r="AD44" s="259">
        <f>INDEX('Volume adjustments'!$J$615:$Y$655,AD$17 + 1 + $H44*$H$50, AD$15)</f>
        <v>746.83356114339722</v>
      </c>
      <c r="AE44" s="259">
        <f>INDEX('Volume adjustments'!$J$615:$Y$655,AE$17 + 1 + $H44*$H$50, AE$15)</f>
        <v>917.22498545853773</v>
      </c>
      <c r="AF44" s="259">
        <f>INDEX('Volume adjustments'!$J$615:$Y$655,AF$17 + 1 + $H44*$H$50, AF$15)</f>
        <v>5927.8182270778243</v>
      </c>
      <c r="AG44" s="259">
        <f>INDEX('Volume adjustments'!$J$615:$Y$655,AG$17 + 1 + $H44*$H$50, AG$15)</f>
        <v>40.707850525482606</v>
      </c>
      <c r="AH44" s="259">
        <f>INDEX('Volume adjustments'!$J$615:$Y$655,AH$17 + 1 + $H44*$H$50, AH$15)</f>
        <v>230.125</v>
      </c>
      <c r="AI44" s="259">
        <f>INDEX('Volume adjustments'!$J$615:$Y$655,AI$17 + 1 + $H44*$H$50, AI$15)</f>
        <v>0</v>
      </c>
      <c r="AJ44" s="259">
        <f>INDEX('Volume adjustments'!$J$615:$Y$655,AJ$17 + 1 + $H44*$H$50, AJ$15)</f>
        <v>84.814999999999998</v>
      </c>
      <c r="AK44" s="259">
        <f>INDEX('Volume adjustments'!$J$615:$Y$655,AK$17 + 1 + $H44*$H$50, AK$15)</f>
        <v>0</v>
      </c>
      <c r="AL44" s="259">
        <f>INDEX('Volume adjustments'!$J$615:$Y$655,AL$17 + 1 + $H44*$H$50, AL$15)</f>
        <v>0.17</v>
      </c>
      <c r="AM44" s="259">
        <f>INDEX('Volume adjustments'!$J$615:$Y$655,AM$17 + 1 + $H44*$H$50, AM$15)</f>
        <v>0</v>
      </c>
      <c r="AN44" s="259">
        <f>INDEX('Volume adjustments'!$J$615:$Y$655,AN$17 + 1 + $H44*$H$50, AN$15)</f>
        <v>0</v>
      </c>
      <c r="AO44" s="259">
        <f>INDEX('Volume adjustments'!$J$615:$Y$655,AO$17 + 1 + $H44*$H$50, AO$15)</f>
        <v>0</v>
      </c>
    </row>
    <row r="45" spans="5:43" x14ac:dyDescent="0.25">
      <c r="E45" s="94"/>
      <c r="F45" s="118" t="s">
        <v>246</v>
      </c>
      <c r="G45" s="118" t="s">
        <v>205</v>
      </c>
      <c r="H45" s="7">
        <v>1</v>
      </c>
      <c r="J45" s="311">
        <f>INDEX('Volume adjustments'!$J$615:$Y$655,J$17 + 1 + $H45*$H$50, J$15)</f>
        <v>79080.430414891482</v>
      </c>
      <c r="K45" s="311">
        <f>INDEX('Volume adjustments'!$J$615:$Y$655,K$17 + 1 + $H45*$H$50, K$15)</f>
        <v>0</v>
      </c>
      <c r="L45" s="311">
        <f>INDEX('Volume adjustments'!$J$615:$Y$655,L$17 + 1 + $H45*$H$50, L$15)</f>
        <v>0</v>
      </c>
      <c r="M45" s="311">
        <f>INDEX('Volume adjustments'!$J$615:$Y$655,M$17 + 1 + $H45*$H$50, M$15)</f>
        <v>2405.0519923834713</v>
      </c>
      <c r="N45" s="311">
        <f>INDEX('Volume adjustments'!$J$615:$Y$655,N$17 + 1 + $H45*$H$50, N$15)</f>
        <v>233.59451056002302</v>
      </c>
      <c r="O45" s="311">
        <f>INDEX('Volume adjustments'!$J$615:$Y$655,O$17 + 1 + $H45*$H$50, O$15)</f>
        <v>94.278144601704184</v>
      </c>
      <c r="P45" s="311">
        <f>INDEX('Volume adjustments'!$J$615:$Y$655,P$17 + 1 + $H45*$H$50, P$15)</f>
        <v>560.72102389980466</v>
      </c>
      <c r="Q45" s="311">
        <f>INDEX('Volume adjustments'!$J$615:$Y$655,Q$17 + 1 + $H45*$H$50, Q$15)</f>
        <v>0</v>
      </c>
      <c r="R45" s="311">
        <f>INDEX('Volume adjustments'!$J$615:$Y$655,R$17 + 1 + $H45*$H$50, R$15)</f>
        <v>0</v>
      </c>
      <c r="S45" s="311">
        <f>INDEX('Volume adjustments'!$J$615:$Y$655,S$17 + 1 + $H45*$H$50, S$15)</f>
        <v>1195.1781652446687</v>
      </c>
      <c r="T45" s="311">
        <f>INDEX('Volume adjustments'!$J$615:$Y$655,T$17 + 1 + $H45*$H$50, T$15)</f>
        <v>5895.9240720745174</v>
      </c>
      <c r="U45" s="311">
        <f>INDEX('Volume adjustments'!$J$615:$Y$655,U$17 + 1 + $H45*$H$50, U$15)</f>
        <v>6919.4852937500391</v>
      </c>
      <c r="V45" s="311">
        <f>INDEX('Volume adjustments'!$J$615:$Y$655,V$17 + 1 + $H45*$H$50, V$15)</f>
        <v>24846.692244107315</v>
      </c>
      <c r="W45" s="311">
        <f>INDEX('Volume adjustments'!$J$615:$Y$655,W$17 + 1 + $H45*$H$50, W$15)</f>
        <v>0</v>
      </c>
      <c r="X45" s="311">
        <f>INDEX('Volume adjustments'!$J$615:$Y$655,X$17 + 1 + $H45*$H$50, X$15)</f>
        <v>79.699102276418756</v>
      </c>
      <c r="Y45" s="311">
        <f>INDEX('Volume adjustments'!$J$615:$Y$655,Y$17 + 1 + $H45*$H$50, Y$15)</f>
        <v>59.259669945692295</v>
      </c>
      <c r="Z45" s="311">
        <f>INDEX('Volume adjustments'!$J$615:$Y$655,Z$17 + 1 + $H45*$H$50, Z$15)</f>
        <v>977.42062749509728</v>
      </c>
      <c r="AA45" s="311">
        <f>INDEX('Volume adjustments'!$J$615:$Y$655,AA$17 + 1 + $H45*$H$50, AA$15)</f>
        <v>10459.138616231952</v>
      </c>
      <c r="AB45" s="311">
        <f>INDEX('Volume adjustments'!$J$615:$Y$655,AB$17 + 1 + $H45*$H$50, AB$15)</f>
        <v>0</v>
      </c>
      <c r="AC45" s="311">
        <f>INDEX('Volume adjustments'!$J$615:$Y$655,AC$17 + 1 + $H45*$H$50, AC$15)</f>
        <v>209.75268025935443</v>
      </c>
      <c r="AD45" s="311">
        <f>INDEX('Volume adjustments'!$J$615:$Y$655,AD$17 + 1 + $H45*$H$50, AD$15)</f>
        <v>2001.0417419758055</v>
      </c>
      <c r="AE45" s="311">
        <f>INDEX('Volume adjustments'!$J$615:$Y$655,AE$17 + 1 + $H45*$H$50, AE$15)</f>
        <v>2868.2140479588438</v>
      </c>
      <c r="AF45" s="311">
        <f>INDEX('Volume adjustments'!$J$615:$Y$655,AF$17 + 1 + $H45*$H$50, AF$15)</f>
        <v>17803.108321774722</v>
      </c>
      <c r="AG45" s="311">
        <f>INDEX('Volume adjustments'!$J$615:$Y$655,AG$17 + 1 + $H45*$H$50, AG$15)</f>
        <v>377.84831934996407</v>
      </c>
      <c r="AH45" s="311">
        <f>INDEX('Volume adjustments'!$J$615:$Y$655,AH$17 + 1 + $H45*$H$50, AH$15)</f>
        <v>984.601</v>
      </c>
      <c r="AI45" s="311">
        <f>INDEX('Volume adjustments'!$J$615:$Y$655,AI$17 + 1 + $H45*$H$50, AI$15)</f>
        <v>0</v>
      </c>
      <c r="AJ45" s="311">
        <f>INDEX('Volume adjustments'!$J$615:$Y$655,AJ$17 + 1 + $H45*$H$50, AJ$15)</f>
        <v>251.92699999999999</v>
      </c>
      <c r="AK45" s="311">
        <f>INDEX('Volume adjustments'!$J$615:$Y$655,AK$17 + 1 + $H45*$H$50, AK$15)</f>
        <v>0</v>
      </c>
      <c r="AL45" s="311">
        <f>INDEX('Volume adjustments'!$J$615:$Y$655,AL$17 + 1 + $H45*$H$50, AL$15)</f>
        <v>1.5920000000000001</v>
      </c>
      <c r="AM45" s="311">
        <f>INDEX('Volume adjustments'!$J$615:$Y$655,AM$17 + 1 + $H45*$H$50, AM$15)</f>
        <v>0</v>
      </c>
      <c r="AN45" s="311">
        <f>INDEX('Volume adjustments'!$J$615:$Y$655,AN$17 + 1 + $H45*$H$50, AN$15)</f>
        <v>0</v>
      </c>
      <c r="AO45" s="311">
        <f>INDEX('Volume adjustments'!$J$615:$Y$655,AO$17 + 1 + $H45*$H$50, AO$15)</f>
        <v>0</v>
      </c>
    </row>
    <row r="46" spans="5:43" x14ac:dyDescent="0.25">
      <c r="E46" s="94"/>
      <c r="F46" s="118" t="s">
        <v>247</v>
      </c>
      <c r="G46" s="118" t="s">
        <v>205</v>
      </c>
      <c r="H46" s="7">
        <v>2</v>
      </c>
      <c r="J46" s="311">
        <f>INDEX('Volume adjustments'!$J$615:$Y$655,J$17 + 1 + $H46*$H$50, J$15)</f>
        <v>118157.8057162469</v>
      </c>
      <c r="K46" s="311">
        <f>INDEX('Volume adjustments'!$J$615:$Y$655,K$17 + 1 + $H46*$H$50, K$15)</f>
        <v>0</v>
      </c>
      <c r="L46" s="311">
        <f>INDEX('Volume adjustments'!$J$615:$Y$655,L$17 + 1 + $H46*$H$50, L$15)</f>
        <v>0</v>
      </c>
      <c r="M46" s="311">
        <f>INDEX('Volume adjustments'!$J$615:$Y$655,M$17 + 1 + $H46*$H$50, M$15)</f>
        <v>2463.3335185133765</v>
      </c>
      <c r="N46" s="311">
        <f>INDEX('Volume adjustments'!$J$615:$Y$655,N$17 + 1 + $H46*$H$50, N$15)</f>
        <v>229.96841444690912</v>
      </c>
      <c r="O46" s="311">
        <f>INDEX('Volume adjustments'!$J$615:$Y$655,O$17 + 1 + $H46*$H$50, O$15)</f>
        <v>99.215814288248879</v>
      </c>
      <c r="P46" s="311">
        <f>INDEX('Volume adjustments'!$J$615:$Y$655,P$17 + 1 + $H46*$H$50, P$15)</f>
        <v>579.21794245192518</v>
      </c>
      <c r="Q46" s="311">
        <f>INDEX('Volume adjustments'!$J$615:$Y$655,Q$17 + 1 + $H46*$H$50, Q$15)</f>
        <v>0</v>
      </c>
      <c r="R46" s="311">
        <f>INDEX('Volume adjustments'!$J$615:$Y$655,R$17 + 1 + $H46*$H$50, R$15)</f>
        <v>0</v>
      </c>
      <c r="S46" s="311">
        <f>INDEX('Volume adjustments'!$J$615:$Y$655,S$17 + 1 + $H46*$H$50, S$15)</f>
        <v>1500.0113393091394</v>
      </c>
      <c r="T46" s="311">
        <f>INDEX('Volume adjustments'!$J$615:$Y$655,T$17 + 1 + $H46*$H$50, T$15)</f>
        <v>6309.7310700949438</v>
      </c>
      <c r="U46" s="311">
        <f>INDEX('Volume adjustments'!$J$615:$Y$655,U$17 + 1 + $H46*$H$50, U$15)</f>
        <v>9202.1264358624467</v>
      </c>
      <c r="V46" s="311">
        <f>INDEX('Volume adjustments'!$J$615:$Y$655,V$17 + 1 + $H46*$H$50, V$15)</f>
        <v>31307.872645210697</v>
      </c>
      <c r="W46" s="311">
        <f>INDEX('Volume adjustments'!$J$615:$Y$655,W$17 + 1 + $H46*$H$50, W$15)</f>
        <v>0</v>
      </c>
      <c r="X46" s="311">
        <f>INDEX('Volume adjustments'!$J$615:$Y$655,X$17 + 1 + $H46*$H$50, X$15)</f>
        <v>80.365104526443531</v>
      </c>
      <c r="Y46" s="311">
        <f>INDEX('Volume adjustments'!$J$615:$Y$655,Y$17 + 1 + $H46*$H$50, Y$15)</f>
        <v>102.85449916564507</v>
      </c>
      <c r="Z46" s="311">
        <f>INDEX('Volume adjustments'!$J$615:$Y$655,Z$17 + 1 + $H46*$H$50, Z$15)</f>
        <v>1236.5020422378602</v>
      </c>
      <c r="AA46" s="311">
        <f>INDEX('Volume adjustments'!$J$615:$Y$655,AA$17 + 1 + $H46*$H$50, AA$15)</f>
        <v>10852.495700512316</v>
      </c>
      <c r="AB46" s="311">
        <f>INDEX('Volume adjustments'!$J$615:$Y$655,AB$17 + 1 + $H46*$H$50, AB$15)</f>
        <v>0</v>
      </c>
      <c r="AC46" s="311">
        <f>INDEX('Volume adjustments'!$J$615:$Y$655,AC$17 + 1 + $H46*$H$50, AC$15)</f>
        <v>176.04767660096385</v>
      </c>
      <c r="AD46" s="311">
        <f>INDEX('Volume adjustments'!$J$615:$Y$655,AD$17 + 1 + $H46*$H$50, AD$15)</f>
        <v>3212.5747073624748</v>
      </c>
      <c r="AE46" s="311">
        <f>INDEX('Volume adjustments'!$J$615:$Y$655,AE$17 + 1 + $H46*$H$50, AE$15)</f>
        <v>3658.760540971949</v>
      </c>
      <c r="AF46" s="311">
        <f>INDEX('Volume adjustments'!$J$615:$Y$655,AF$17 + 1 + $H46*$H$50, AF$15)</f>
        <v>28428.944949375062</v>
      </c>
      <c r="AG46" s="311">
        <f>INDEX('Volume adjustments'!$J$615:$Y$655,AG$17 + 1 + $H46*$H$50, AG$15)</f>
        <v>604.00730285321674</v>
      </c>
      <c r="AH46" s="311">
        <f>INDEX('Volume adjustments'!$J$615:$Y$655,AH$17 + 1 + $H46*$H$50, AH$15)</f>
        <v>580.29999999999995</v>
      </c>
      <c r="AI46" s="311">
        <f>INDEX('Volume adjustments'!$J$615:$Y$655,AI$17 + 1 + $H46*$H$50, AI$15)</f>
        <v>0</v>
      </c>
      <c r="AJ46" s="311">
        <f>INDEX('Volume adjustments'!$J$615:$Y$655,AJ$17 + 1 + $H46*$H$50, AJ$15)</f>
        <v>504.68799999999999</v>
      </c>
      <c r="AK46" s="311">
        <f>INDEX('Volume adjustments'!$J$615:$Y$655,AK$17 + 1 + $H46*$H$50, AK$15)</f>
        <v>0</v>
      </c>
      <c r="AL46" s="311">
        <f>INDEX('Volume adjustments'!$J$615:$Y$655,AL$17 + 1 + $H46*$H$50, AL$15)</f>
        <v>1.3879999999999999</v>
      </c>
      <c r="AM46" s="311">
        <f>INDEX('Volume adjustments'!$J$615:$Y$655,AM$17 + 1 + $H46*$H$50, AM$15)</f>
        <v>0</v>
      </c>
      <c r="AN46" s="311">
        <f>INDEX('Volume adjustments'!$J$615:$Y$655,AN$17 + 1 + $H46*$H$50, AN$15)</f>
        <v>0</v>
      </c>
      <c r="AO46" s="311">
        <f>INDEX('Volume adjustments'!$J$615:$Y$655,AO$17 + 1 + $H46*$H$50, AO$15)</f>
        <v>0</v>
      </c>
    </row>
    <row r="47" spans="5:43" x14ac:dyDescent="0.25">
      <c r="E47" s="94"/>
      <c r="F47" s="118" t="s">
        <v>210</v>
      </c>
      <c r="G47" s="118" t="s">
        <v>210</v>
      </c>
      <c r="H47" s="7">
        <v>3</v>
      </c>
      <c r="J47" s="311">
        <f>INDEX('Volume adjustments'!$J$615:$Y$655,J$17 + 1 + $H47*$H$50, J$15)</f>
        <v>76462.255868941589</v>
      </c>
      <c r="K47" s="311">
        <f>INDEX('Volume adjustments'!$J$615:$Y$655,K$17 + 1 + $H47*$H$50, K$15)</f>
        <v>0</v>
      </c>
      <c r="L47" s="311">
        <f>INDEX('Volume adjustments'!$J$615:$Y$655,L$17 + 1 + $H47*$H$50, L$15)</f>
        <v>0</v>
      </c>
      <c r="M47" s="311">
        <f>INDEX('Volume adjustments'!$J$615:$Y$655,M$17 + 1 + $H47*$H$50, M$15)</f>
        <v>553.94980099030954</v>
      </c>
      <c r="N47" s="311">
        <f>INDEX('Volume adjustments'!$J$615:$Y$655,N$17 + 1 + $H47*$H$50, N$15)</f>
        <v>62.523511014723212</v>
      </c>
      <c r="O47" s="311">
        <f>INDEX('Volume adjustments'!$J$615:$Y$655,O$17 + 1 + $H47*$H$50, O$15)</f>
        <v>10.207920165669094</v>
      </c>
      <c r="P47" s="311">
        <f>INDEX('Volume adjustments'!$J$615:$Y$655,P$17 + 1 + $H47*$H$50, P$15)</f>
        <v>92.509276501376092</v>
      </c>
      <c r="Q47" s="311">
        <f>INDEX('Volume adjustments'!$J$615:$Y$655,Q$17 + 1 + $H47*$H$50, Q$15)</f>
        <v>0</v>
      </c>
      <c r="R47" s="311">
        <f>INDEX('Volume adjustments'!$J$615:$Y$655,R$17 + 1 + $H47*$H$50, R$15)</f>
        <v>0</v>
      </c>
      <c r="S47" s="311">
        <f>INDEX('Volume adjustments'!$J$615:$Y$655,S$17 + 1 + $H47*$H$50, S$15)</f>
        <v>57.419550931888651</v>
      </c>
      <c r="T47" s="311">
        <f>INDEX('Volume adjustments'!$J$615:$Y$655,T$17 + 1 + $H47*$H$50, T$15)</f>
        <v>119.94306194661185</v>
      </c>
      <c r="U47" s="311">
        <f>INDEX('Volume adjustments'!$J$615:$Y$655,U$17 + 1 + $H47*$H$50, U$15)</f>
        <v>80.387371304644105</v>
      </c>
      <c r="V47" s="311">
        <f>INDEX('Volume adjustments'!$J$615:$Y$655,V$17 + 1 + $H47*$H$50, V$15)</f>
        <v>145.46286236078453</v>
      </c>
      <c r="W47" s="311">
        <f>INDEX('Volume adjustments'!$J$615:$Y$655,W$17 + 1 + $H47*$H$50, W$15)</f>
        <v>0</v>
      </c>
      <c r="X47" s="311">
        <f>INDEX('Volume adjustments'!$J$615:$Y$655,X$17 + 1 + $H47*$H$50, X$15)</f>
        <v>1</v>
      </c>
      <c r="Y47" s="311">
        <f>INDEX('Volume adjustments'!$J$615:$Y$655,Y$17 + 1 + $H47*$H$50, Y$15)</f>
        <v>1.2759900207086368</v>
      </c>
      <c r="Z47" s="311">
        <f>INDEX('Volume adjustments'!$J$615:$Y$655,Z$17 + 1 + $H47*$H$50, Z$15)</f>
        <v>8.9319301449604591</v>
      </c>
      <c r="AA47" s="311">
        <f>INDEX('Volume adjustments'!$J$615:$Y$655,AA$17 + 1 + $H47*$H$50, AA$15)</f>
        <v>47.211630766219535</v>
      </c>
      <c r="AB47" s="311">
        <f>INDEX('Volume adjustments'!$J$615:$Y$655,AB$17 + 1 + $H47*$H$50, AB$15)</f>
        <v>0</v>
      </c>
      <c r="AC47" s="311">
        <f>INDEX('Volume adjustments'!$J$615:$Y$655,AC$17 + 1 + $H47*$H$50, AC$15)</f>
        <v>7.6559401242518197</v>
      </c>
      <c r="AD47" s="311">
        <f>INDEX('Volume adjustments'!$J$615:$Y$655,AD$17 + 1 + $H47*$H$50, AD$15)</f>
        <v>6.3799501035431829</v>
      </c>
      <c r="AE47" s="311">
        <f>INDEX('Volume adjustments'!$J$615:$Y$655,AE$17 + 1 + $H47*$H$50, AE$15)</f>
        <v>5.1039600828345471</v>
      </c>
      <c r="AF47" s="311">
        <f>INDEX('Volume adjustments'!$J$615:$Y$655,AF$17 + 1 + $H47*$H$50, AF$15)</f>
        <v>8.9319301449604591</v>
      </c>
      <c r="AG47" s="311">
        <f>INDEX('Volume adjustments'!$J$615:$Y$655,AG$17 + 1 + $H47*$H$50, AG$15)</f>
        <v>290.92572472156917</v>
      </c>
      <c r="AH47" s="311">
        <f>INDEX('Volume adjustments'!$J$615:$Y$655,AH$17 + 1 + $H47*$H$50, AH$15)</f>
        <v>673.7</v>
      </c>
      <c r="AI47" s="311">
        <f>INDEX('Volume adjustments'!$J$615:$Y$655,AI$17 + 1 + $H47*$H$50, AI$15)</f>
        <v>0</v>
      </c>
      <c r="AJ47" s="311">
        <f>INDEX('Volume adjustments'!$J$615:$Y$655,AJ$17 + 1 + $H47*$H$50, AJ$15)</f>
        <v>11</v>
      </c>
      <c r="AK47" s="311">
        <f>INDEX('Volume adjustments'!$J$615:$Y$655,AK$17 + 1 + $H47*$H$50, AK$15)</f>
        <v>0</v>
      </c>
      <c r="AL47" s="311">
        <f>INDEX('Volume adjustments'!$J$615:$Y$655,AL$17 + 1 + $H47*$H$50, AL$15)</f>
        <v>1</v>
      </c>
      <c r="AM47" s="311">
        <f>INDEX('Volume adjustments'!$J$615:$Y$655,AM$17 + 1 + $H47*$H$50, AM$15)</f>
        <v>0</v>
      </c>
      <c r="AN47" s="311">
        <f>INDEX('Volume adjustments'!$J$615:$Y$655,AN$17 + 1 + $H47*$H$50, AN$15)</f>
        <v>0</v>
      </c>
      <c r="AO47" s="311">
        <f>INDEX('Volume adjustments'!$J$615:$Y$655,AO$17 + 1 + $H47*$H$50, AO$15)</f>
        <v>0</v>
      </c>
    </row>
    <row r="48" spans="5:43" x14ac:dyDescent="0.25">
      <c r="E48" s="94"/>
      <c r="F48" s="118" t="s">
        <v>248</v>
      </c>
      <c r="G48" s="118" t="s">
        <v>249</v>
      </c>
      <c r="H48" s="7">
        <v>4</v>
      </c>
      <c r="J48" s="311">
        <f>INDEX('Volume adjustments'!$J$615:$Y$655,J$17 + 1 + $H48*$H$50, J$15)</f>
        <v>0</v>
      </c>
      <c r="K48" s="311">
        <f>INDEX('Volume adjustments'!$J$615:$Y$655,K$17 + 1 + $H48*$H$50, K$15)</f>
        <v>0</v>
      </c>
      <c r="L48" s="311">
        <f>INDEX('Volume adjustments'!$J$615:$Y$655,L$17 + 1 + $H48*$H$50, L$15)</f>
        <v>0</v>
      </c>
      <c r="M48" s="311">
        <f>INDEX('Volume adjustments'!$J$615:$Y$655,M$17 + 1 + $H48*$H$50, M$15)</f>
        <v>0</v>
      </c>
      <c r="N48" s="311">
        <f>INDEX('Volume adjustments'!$J$615:$Y$655,N$17 + 1 + $H48*$H$50, N$15)</f>
        <v>0</v>
      </c>
      <c r="O48" s="311">
        <f>INDEX('Volume adjustments'!$J$615:$Y$655,O$17 + 1 + $H48*$H$50, O$15)</f>
        <v>0</v>
      </c>
      <c r="P48" s="311">
        <f>INDEX('Volume adjustments'!$J$615:$Y$655,P$17 + 1 + $H48*$H$50, P$15)</f>
        <v>0</v>
      </c>
      <c r="Q48" s="311">
        <f>INDEX('Volume adjustments'!$J$615:$Y$655,Q$17 + 1 + $H48*$H$50, Q$15)</f>
        <v>0</v>
      </c>
      <c r="R48" s="311">
        <f>INDEX('Volume adjustments'!$J$615:$Y$655,R$17 + 1 + $H48*$H$50, R$15)</f>
        <v>0</v>
      </c>
      <c r="S48" s="311">
        <f>INDEX('Volume adjustments'!$J$615:$Y$655,S$17 + 1 + $H48*$H$50, S$15)</f>
        <v>5717</v>
      </c>
      <c r="T48" s="311">
        <f>INDEX('Volume adjustments'!$J$615:$Y$655,T$17 + 1 + $H48*$H$50, T$15)</f>
        <v>13264</v>
      </c>
      <c r="U48" s="311">
        <f>INDEX('Volume adjustments'!$J$615:$Y$655,U$17 + 1 + $H48*$H$50, U$15)</f>
        <v>11561</v>
      </c>
      <c r="V48" s="311">
        <f>INDEX('Volume adjustments'!$J$615:$Y$655,V$17 + 1 + $H48*$H$50, V$15)</f>
        <v>63486</v>
      </c>
      <c r="W48" s="311">
        <f>INDEX('Volume adjustments'!$J$615:$Y$655,W$17 + 1 + $H48*$H$50, W$15)</f>
        <v>0</v>
      </c>
      <c r="X48" s="311">
        <f>INDEX('Volume adjustments'!$J$615:$Y$655,X$17 + 1 + $H48*$H$50, X$15)</f>
        <v>0</v>
      </c>
      <c r="Y48" s="311">
        <f>INDEX('Volume adjustments'!$J$615:$Y$655,Y$17 + 1 + $H48*$H$50, Y$15)</f>
        <v>150</v>
      </c>
      <c r="Z48" s="311">
        <f>INDEX('Volume adjustments'!$J$615:$Y$655,Z$17 + 1 + $H48*$H$50, Z$15)</f>
        <v>1491</v>
      </c>
      <c r="AA48" s="311">
        <f>INDEX('Volume adjustments'!$J$615:$Y$655,AA$17 + 1 + $H48*$H$50, AA$15)</f>
        <v>24657</v>
      </c>
      <c r="AB48" s="311">
        <f>INDEX('Volume adjustments'!$J$615:$Y$655,AB$17 + 1 + $H48*$H$50, AB$15)</f>
        <v>0</v>
      </c>
      <c r="AC48" s="311">
        <f>INDEX('Volume adjustments'!$J$615:$Y$655,AC$17 + 1 + $H48*$H$50, AC$15)</f>
        <v>1515</v>
      </c>
      <c r="AD48" s="311">
        <f>INDEX('Volume adjustments'!$J$615:$Y$655,AD$17 + 1 + $H48*$H$50, AD$15)</f>
        <v>3806</v>
      </c>
      <c r="AE48" s="311">
        <f>INDEX('Volume adjustments'!$J$615:$Y$655,AE$17 + 1 + $H48*$H$50, AE$15)</f>
        <v>5150</v>
      </c>
      <c r="AF48" s="311">
        <f>INDEX('Volume adjustments'!$J$615:$Y$655,AF$17 + 1 + $H48*$H$50, AF$15)</f>
        <v>34520</v>
      </c>
      <c r="AG48" s="311">
        <f>INDEX('Volume adjustments'!$J$615:$Y$655,AG$17 + 1 + $H48*$H$50, AG$15)</f>
        <v>0</v>
      </c>
      <c r="AH48" s="311">
        <f>INDEX('Volume adjustments'!$J$615:$Y$655,AH$17 + 1 + $H48*$H$50, AH$15)</f>
        <v>0</v>
      </c>
      <c r="AI48" s="311">
        <f>INDEX('Volume adjustments'!$J$615:$Y$655,AI$17 + 1 + $H48*$H$50, AI$15)</f>
        <v>0</v>
      </c>
      <c r="AJ48" s="311">
        <f>INDEX('Volume adjustments'!$J$615:$Y$655,AJ$17 + 1 + $H48*$H$50, AJ$15)</f>
        <v>0</v>
      </c>
      <c r="AK48" s="311">
        <f>INDEX('Volume adjustments'!$J$615:$Y$655,AK$17 + 1 + $H48*$H$50, AK$15)</f>
        <v>0</v>
      </c>
      <c r="AL48" s="311">
        <f>INDEX('Volume adjustments'!$J$615:$Y$655,AL$17 + 1 + $H48*$H$50, AL$15)</f>
        <v>0</v>
      </c>
      <c r="AM48" s="311">
        <f>INDEX('Volume adjustments'!$J$615:$Y$655,AM$17 + 1 + $H48*$H$50, AM$15)</f>
        <v>0</v>
      </c>
      <c r="AN48" s="311">
        <f>INDEX('Volume adjustments'!$J$615:$Y$655,AN$17 + 1 + $H48*$H$50, AN$15)</f>
        <v>0</v>
      </c>
      <c r="AO48" s="311">
        <f>INDEX('Volume adjustments'!$J$615:$Y$655,AO$17 + 1 + $H48*$H$50, AO$15)</f>
        <v>0</v>
      </c>
    </row>
    <row r="49" spans="3:43" x14ac:dyDescent="0.25">
      <c r="E49" s="94"/>
      <c r="F49" s="118" t="s">
        <v>250</v>
      </c>
      <c r="G49" s="118" t="s">
        <v>249</v>
      </c>
      <c r="H49" s="7">
        <v>5</v>
      </c>
      <c r="J49" s="311">
        <f>INDEX('Volume adjustments'!$J$615:$Y$655,J$17 + 1 + $H49*$H$50, J$15)</f>
        <v>0</v>
      </c>
      <c r="K49" s="311">
        <f>INDEX('Volume adjustments'!$J$615:$Y$655,K$17 + 1 + $H49*$H$50, K$15)</f>
        <v>0</v>
      </c>
      <c r="L49" s="311">
        <f>INDEX('Volume adjustments'!$J$615:$Y$655,L$17 + 1 + $H49*$H$50, L$15)</f>
        <v>0</v>
      </c>
      <c r="M49" s="311">
        <f>INDEX('Volume adjustments'!$J$615:$Y$655,M$17 + 1 + $H49*$H$50, M$15)</f>
        <v>0</v>
      </c>
      <c r="N49" s="311">
        <f>INDEX('Volume adjustments'!$J$615:$Y$655,N$17 + 1 + $H49*$H$50, N$15)</f>
        <v>0</v>
      </c>
      <c r="O49" s="311">
        <f>INDEX('Volume adjustments'!$J$615:$Y$655,O$17 + 1 + $H49*$H$50, O$15)</f>
        <v>0</v>
      </c>
      <c r="P49" s="311">
        <f>INDEX('Volume adjustments'!$J$615:$Y$655,P$17 + 1 + $H49*$H$50, P$15)</f>
        <v>0</v>
      </c>
      <c r="Q49" s="311">
        <f>INDEX('Volume adjustments'!$J$615:$Y$655,Q$17 + 1 + $H49*$H$50, Q$15)</f>
        <v>0</v>
      </c>
      <c r="R49" s="311">
        <f>INDEX('Volume adjustments'!$J$615:$Y$655,R$17 + 1 + $H49*$H$50, R$15)</f>
        <v>0</v>
      </c>
      <c r="S49" s="311">
        <f>INDEX('Volume adjustments'!$J$615:$Y$655,S$17 + 1 + $H49*$H$50, S$15)</f>
        <v>6.117808219178082</v>
      </c>
      <c r="T49" s="311">
        <f>INDEX('Volume adjustments'!$J$615:$Y$655,T$17 + 1 + $H49*$H$50, T$15)</f>
        <v>0.33972602739726027</v>
      </c>
      <c r="U49" s="311">
        <f>INDEX('Volume adjustments'!$J$615:$Y$655,U$17 + 1 + $H49*$H$50, U$15)</f>
        <v>0</v>
      </c>
      <c r="V49" s="311">
        <f>INDEX('Volume adjustments'!$J$615:$Y$655,V$17 + 1 + $H49*$H$50, V$15)</f>
        <v>0</v>
      </c>
      <c r="W49" s="311">
        <f>INDEX('Volume adjustments'!$J$615:$Y$655,W$17 + 1 + $H49*$H$50, W$15)</f>
        <v>0</v>
      </c>
      <c r="X49" s="311">
        <f>INDEX('Volume adjustments'!$J$615:$Y$655,X$17 + 1 + $H49*$H$50, X$15)</f>
        <v>0</v>
      </c>
      <c r="Y49" s="311">
        <f>INDEX('Volume adjustments'!$J$615:$Y$655,Y$17 + 1 + $H49*$H$50, Y$15)</f>
        <v>0</v>
      </c>
      <c r="Z49" s="311">
        <f>INDEX('Volume adjustments'!$J$615:$Y$655,Z$17 + 1 + $H49*$H$50, Z$15)</f>
        <v>0</v>
      </c>
      <c r="AA49" s="311">
        <f>INDEX('Volume adjustments'!$J$615:$Y$655,AA$17 + 1 + $H49*$H$50, AA$15)</f>
        <v>64.717808219178082</v>
      </c>
      <c r="AB49" s="311">
        <f>INDEX('Volume adjustments'!$J$615:$Y$655,AB$17 + 1 + $H49*$H$50, AB$15)</f>
        <v>0</v>
      </c>
      <c r="AC49" s="311">
        <f>INDEX('Volume adjustments'!$J$615:$Y$655,AC$17 + 1 + $H49*$H$50, AC$15)</f>
        <v>0</v>
      </c>
      <c r="AD49" s="311">
        <f>INDEX('Volume adjustments'!$J$615:$Y$655,AD$17 + 1 + $H49*$H$50, AD$15)</f>
        <v>0</v>
      </c>
      <c r="AE49" s="311">
        <f>INDEX('Volume adjustments'!$J$615:$Y$655,AE$17 + 1 + $H49*$H$50, AE$15)</f>
        <v>0</v>
      </c>
      <c r="AF49" s="311">
        <f>INDEX('Volume adjustments'!$J$615:$Y$655,AF$17 + 1 + $H49*$H$50, AF$15)</f>
        <v>147.01643835616437</v>
      </c>
      <c r="AG49" s="311">
        <f>INDEX('Volume adjustments'!$J$615:$Y$655,AG$17 + 1 + $H49*$H$50, AG$15)</f>
        <v>0</v>
      </c>
      <c r="AH49" s="311">
        <f>INDEX('Volume adjustments'!$J$615:$Y$655,AH$17 + 1 + $H49*$H$50, AH$15)</f>
        <v>0</v>
      </c>
      <c r="AI49" s="311">
        <f>INDEX('Volume adjustments'!$J$615:$Y$655,AI$17 + 1 + $H49*$H$50, AI$15)</f>
        <v>0</v>
      </c>
      <c r="AJ49" s="311">
        <f>INDEX('Volume adjustments'!$J$615:$Y$655,AJ$17 + 1 + $H49*$H$50, AJ$15)</f>
        <v>0</v>
      </c>
      <c r="AK49" s="311">
        <f>INDEX('Volume adjustments'!$J$615:$Y$655,AK$17 + 1 + $H49*$H$50, AK$15)</f>
        <v>0</v>
      </c>
      <c r="AL49" s="311">
        <f>INDEX('Volume adjustments'!$J$615:$Y$655,AL$17 + 1 + $H49*$H$50, AL$15)</f>
        <v>0</v>
      </c>
      <c r="AM49" s="311">
        <f>INDEX('Volume adjustments'!$J$615:$Y$655,AM$17 + 1 + $H49*$H$50, AM$15)</f>
        <v>0</v>
      </c>
      <c r="AN49" s="311">
        <f>INDEX('Volume adjustments'!$J$615:$Y$655,AN$17 + 1 + $H49*$H$50, AN$15)</f>
        <v>0</v>
      </c>
      <c r="AO49" s="311">
        <f>INDEX('Volume adjustments'!$J$615:$Y$655,AO$17 + 1 + $H49*$H$50, AO$15)</f>
        <v>0</v>
      </c>
    </row>
    <row r="50" spans="3:43" x14ac:dyDescent="0.25">
      <c r="E50" s="94"/>
      <c r="F50" s="120" t="s">
        <v>251</v>
      </c>
      <c r="G50" s="120" t="s">
        <v>252</v>
      </c>
      <c r="H50" s="9">
        <v>6</v>
      </c>
      <c r="I50" s="96"/>
      <c r="J50" s="258">
        <f>INDEX('Volume adjustments'!$J$615:$Y$655,J$17 + 1 + $H50*$H$50, J$15)</f>
        <v>0</v>
      </c>
      <c r="K50" s="258">
        <f>INDEX('Volume adjustments'!$J$615:$Y$655,K$17 + 1 + $H50*$H$50, K$15)</f>
        <v>0</v>
      </c>
      <c r="L50" s="258">
        <f>INDEX('Volume adjustments'!$J$615:$Y$655,L$17 + 1 + $H50*$H$50, L$15)</f>
        <v>0</v>
      </c>
      <c r="M50" s="258">
        <f>INDEX('Volume adjustments'!$J$615:$Y$655,M$17 + 1 + $H50*$H$50, M$15)</f>
        <v>0</v>
      </c>
      <c r="N50" s="258">
        <f>INDEX('Volume adjustments'!$J$615:$Y$655,N$17 + 1 + $H50*$H$50, N$15)</f>
        <v>0</v>
      </c>
      <c r="O50" s="258">
        <f>INDEX('Volume adjustments'!$J$615:$Y$655,O$17 + 1 + $H50*$H$50, O$15)</f>
        <v>0</v>
      </c>
      <c r="P50" s="258">
        <f>INDEX('Volume adjustments'!$J$615:$Y$655,P$17 + 1 + $H50*$H$50, P$15)</f>
        <v>0</v>
      </c>
      <c r="Q50" s="258">
        <f>INDEX('Volume adjustments'!$J$615:$Y$655,Q$17 + 1 + $H50*$H$50, Q$15)</f>
        <v>0</v>
      </c>
      <c r="R50" s="258">
        <f>INDEX('Volume adjustments'!$J$615:$Y$655,R$17 + 1 + $H50*$H$50, R$15)</f>
        <v>0</v>
      </c>
      <c r="S50" s="258">
        <f>INDEX('Volume adjustments'!$J$615:$Y$655,S$17 + 1 + $H50*$H$50, S$15)</f>
        <v>135.124</v>
      </c>
      <c r="T50" s="258">
        <f>INDEX('Volume adjustments'!$J$615:$Y$655,T$17 + 1 + $H50*$H$50, T$15)</f>
        <v>362.83800000000002</v>
      </c>
      <c r="U50" s="258">
        <f>INDEX('Volume adjustments'!$J$615:$Y$655,U$17 + 1 + $H50*$H$50, U$15)</f>
        <v>445.52199999999999</v>
      </c>
      <c r="V50" s="258">
        <f>INDEX('Volume adjustments'!$J$615:$Y$655,V$17 + 1 + $H50*$H$50, V$15)</f>
        <v>6670.91</v>
      </c>
      <c r="W50" s="258">
        <f>INDEX('Volume adjustments'!$J$615:$Y$655,W$17 + 1 + $H50*$H$50, W$15)</f>
        <v>0</v>
      </c>
      <c r="X50" s="258">
        <f>INDEX('Volume adjustments'!$J$615:$Y$655,X$17 + 1 + $H50*$H$50, X$15)</f>
        <v>22.466000000000001</v>
      </c>
      <c r="Y50" s="258">
        <f>INDEX('Volume adjustments'!$J$615:$Y$655,Y$17 + 1 + $H50*$H$50, Y$15)</f>
        <v>4.8659999999999997</v>
      </c>
      <c r="Z50" s="258">
        <f>INDEX('Volume adjustments'!$J$615:$Y$655,Z$17 + 1 + $H50*$H$50, Z$15)</f>
        <v>18.196999999999999</v>
      </c>
      <c r="AA50" s="258">
        <f>INDEX('Volume adjustments'!$J$615:$Y$655,AA$17 + 1 + $H50*$H$50, AA$15)</f>
        <v>764.13300000000004</v>
      </c>
      <c r="AB50" s="258">
        <f>INDEX('Volume adjustments'!$J$615:$Y$655,AB$17 + 1 + $H50*$H$50, AB$15)</f>
        <v>0</v>
      </c>
      <c r="AC50" s="258">
        <f>INDEX('Volume adjustments'!$J$615:$Y$655,AC$17 + 1 + $H50*$H$50, AC$15)</f>
        <v>5.1639999999999997</v>
      </c>
      <c r="AD50" s="258">
        <f>INDEX('Volume adjustments'!$J$615:$Y$655,AD$17 + 1 + $H50*$H$50, AD$15)</f>
        <v>20.867000000000001</v>
      </c>
      <c r="AE50" s="258">
        <f>INDEX('Volume adjustments'!$J$615:$Y$655,AE$17 + 1 + $H50*$H$50, AE$15)</f>
        <v>1007.367</v>
      </c>
      <c r="AF50" s="258">
        <f>INDEX('Volume adjustments'!$J$615:$Y$655,AF$17 + 1 + $H50*$H$50, AF$15)</f>
        <v>443.77100000000002</v>
      </c>
      <c r="AG50" s="258">
        <f>INDEX('Volume adjustments'!$J$615:$Y$655,AG$17 + 1 + $H50*$H$50, AG$15)</f>
        <v>0</v>
      </c>
      <c r="AH50" s="258">
        <f>INDEX('Volume adjustments'!$J$615:$Y$655,AH$17 + 1 + $H50*$H$50, AH$15)</f>
        <v>0</v>
      </c>
      <c r="AI50" s="258">
        <f>INDEX('Volume adjustments'!$J$615:$Y$655,AI$17 + 1 + $H50*$H$50, AI$15)</f>
        <v>0</v>
      </c>
      <c r="AJ50" s="258">
        <f>INDEX('Volume adjustments'!$J$615:$Y$655,AJ$17 + 1 + $H50*$H$50, AJ$15)</f>
        <v>646.82399999999996</v>
      </c>
      <c r="AK50" s="258">
        <f>INDEX('Volume adjustments'!$J$615:$Y$655,AK$17 + 1 + $H50*$H$50, AK$15)</f>
        <v>0</v>
      </c>
      <c r="AL50" s="258">
        <f>INDEX('Volume adjustments'!$J$615:$Y$655,AL$17 + 1 + $H50*$H$50, AL$15)</f>
        <v>1.1100000000000001</v>
      </c>
      <c r="AM50" s="258">
        <f>INDEX('Volume adjustments'!$J$615:$Y$655,AM$17 + 1 + $H50*$H$50, AM$15)</f>
        <v>0</v>
      </c>
      <c r="AN50" s="258">
        <f>INDEX('Volume adjustments'!$J$615:$Y$655,AN$17 + 1 + $H50*$H$50, AN$15)</f>
        <v>0</v>
      </c>
      <c r="AO50" s="258">
        <f>INDEX('Volume adjustments'!$J$615:$Y$655,AO$17 + 1 + $H50*$H$50, AO$15)</f>
        <v>0</v>
      </c>
    </row>
    <row r="51" spans="3:43" x14ac:dyDescent="0.2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2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2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25">
      <c r="E54" s="75" t="s">
        <v>714</v>
      </c>
      <c r="G54" s="61"/>
      <c r="I54" t="s">
        <v>152</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153</v>
      </c>
    </row>
    <row r="55" spans="3:43" x14ac:dyDescent="0.25">
      <c r="F55" s="95" t="s">
        <v>154</v>
      </c>
      <c r="G55" s="143" t="s">
        <v>267</v>
      </c>
      <c r="H55" s="277"/>
      <c r="I55" s="265"/>
      <c r="J55" s="277">
        <f>Rounding!J150</f>
        <v>11.239000000000001</v>
      </c>
      <c r="K55" s="277">
        <f>Rounding!K150</f>
        <v>11.239000000000001</v>
      </c>
      <c r="L55" s="277">
        <f>Rounding!L150</f>
        <v>12.823</v>
      </c>
      <c r="M55" s="277">
        <f>Rounding!M150</f>
        <v>12.823</v>
      </c>
      <c r="N55" s="277">
        <f>Rounding!N150</f>
        <v>12.823</v>
      </c>
      <c r="O55" s="277">
        <f>Rounding!O150</f>
        <v>12.823</v>
      </c>
      <c r="P55" s="277">
        <f>Rounding!P150</f>
        <v>12.823</v>
      </c>
      <c r="Q55" s="277">
        <f>Rounding!Q150</f>
        <v>12.823</v>
      </c>
      <c r="R55" s="277">
        <f>Rounding!R150</f>
        <v>8.5220000000000002</v>
      </c>
      <c r="S55" s="277">
        <f>Rounding!S150</f>
        <v>8.5220000000000002</v>
      </c>
      <c r="T55" s="277">
        <f>Rounding!T150</f>
        <v>8.5220000000000002</v>
      </c>
      <c r="U55" s="277">
        <f>Rounding!U150</f>
        <v>8.5220000000000002</v>
      </c>
      <c r="V55" s="277">
        <f>Rounding!V150</f>
        <v>8.5220000000000002</v>
      </c>
      <c r="W55" s="277">
        <f>Rounding!W150</f>
        <v>4.6340000000000003</v>
      </c>
      <c r="X55" s="277">
        <f>Rounding!X150</f>
        <v>4.6340000000000003</v>
      </c>
      <c r="Y55" s="277">
        <f>Rounding!Y150</f>
        <v>4.6340000000000003</v>
      </c>
      <c r="Z55" s="277">
        <f>Rounding!Z150</f>
        <v>4.6340000000000003</v>
      </c>
      <c r="AA55" s="277">
        <f>Rounding!AA150</f>
        <v>4.6340000000000003</v>
      </c>
      <c r="AB55" s="277">
        <f>Rounding!AB150</f>
        <v>3.403</v>
      </c>
      <c r="AC55" s="277">
        <f>Rounding!AC150</f>
        <v>3.403</v>
      </c>
      <c r="AD55" s="277">
        <f>Rounding!AD150</f>
        <v>3.403</v>
      </c>
      <c r="AE55" s="277">
        <f>Rounding!AE150</f>
        <v>3.403</v>
      </c>
      <c r="AF55" s="277">
        <f>Rounding!AF150</f>
        <v>3.403</v>
      </c>
      <c r="AG55" s="277">
        <f>Rounding!AG150</f>
        <v>33.484000000000002</v>
      </c>
      <c r="AH55" s="277">
        <f>Rounding!AH150</f>
        <v>-7.7359999999999998</v>
      </c>
      <c r="AI55" s="277">
        <f>Rounding!AI150</f>
        <v>-6.5179999999999998</v>
      </c>
      <c r="AJ55" s="277">
        <f>Rounding!AJ150</f>
        <v>-7.7359999999999998</v>
      </c>
      <c r="AK55" s="277">
        <f>Rounding!AK150</f>
        <v>-7.7359999999999998</v>
      </c>
      <c r="AL55" s="277">
        <f>Rounding!AL150</f>
        <v>-6.5179999999999998</v>
      </c>
      <c r="AM55" s="277">
        <f>Rounding!AM150</f>
        <v>-6.5179999999999998</v>
      </c>
      <c r="AN55" s="277">
        <f>Rounding!AN150</f>
        <v>-3.8839999999999999</v>
      </c>
      <c r="AO55" s="277">
        <f>Rounding!AO150</f>
        <v>-3.8839999999999999</v>
      </c>
      <c r="AP55" s="267"/>
      <c r="AQ55" s="267"/>
    </row>
    <row r="56" spans="3:43" x14ac:dyDescent="0.25">
      <c r="E56" s="94"/>
      <c r="F56" t="s">
        <v>155</v>
      </c>
      <c r="G56" s="61" t="s">
        <v>267</v>
      </c>
      <c r="H56" s="278"/>
      <c r="I56" s="267"/>
      <c r="J56" s="278">
        <f>Rounding!J151</f>
        <v>1.702</v>
      </c>
      <c r="K56" s="278">
        <f>Rounding!K151</f>
        <v>1.702</v>
      </c>
      <c r="L56" s="278">
        <f>Rounding!L151</f>
        <v>1.9419999999999999</v>
      </c>
      <c r="M56" s="278">
        <f>Rounding!M151</f>
        <v>1.9419999999999999</v>
      </c>
      <c r="N56" s="278">
        <f>Rounding!N151</f>
        <v>1.9419999999999999</v>
      </c>
      <c r="O56" s="278">
        <f>Rounding!O151</f>
        <v>1.9419999999999999</v>
      </c>
      <c r="P56" s="278">
        <f>Rounding!P151</f>
        <v>1.9419999999999999</v>
      </c>
      <c r="Q56" s="278">
        <f>Rounding!Q151</f>
        <v>1.9419999999999999</v>
      </c>
      <c r="R56" s="278">
        <f>Rounding!R151</f>
        <v>1.2549999999999999</v>
      </c>
      <c r="S56" s="278">
        <f>Rounding!S151</f>
        <v>1.2549999999999999</v>
      </c>
      <c r="T56" s="278">
        <f>Rounding!T151</f>
        <v>1.2549999999999999</v>
      </c>
      <c r="U56" s="278">
        <f>Rounding!U151</f>
        <v>1.2549999999999999</v>
      </c>
      <c r="V56" s="278">
        <f>Rounding!V151</f>
        <v>1.2549999999999999</v>
      </c>
      <c r="W56" s="278">
        <f>Rounding!W151</f>
        <v>0.626</v>
      </c>
      <c r="X56" s="278">
        <f>Rounding!X151</f>
        <v>0.626</v>
      </c>
      <c r="Y56" s="278">
        <f>Rounding!Y151</f>
        <v>0.626</v>
      </c>
      <c r="Z56" s="278">
        <f>Rounding!Z151</f>
        <v>0.626</v>
      </c>
      <c r="AA56" s="278">
        <f>Rounding!AA151</f>
        <v>0.626</v>
      </c>
      <c r="AB56" s="278">
        <f>Rounding!AB151</f>
        <v>0.42699999999999999</v>
      </c>
      <c r="AC56" s="278">
        <f>Rounding!AC151</f>
        <v>0.42699999999999999</v>
      </c>
      <c r="AD56" s="278">
        <f>Rounding!AD151</f>
        <v>0.42699999999999999</v>
      </c>
      <c r="AE56" s="278">
        <f>Rounding!AE151</f>
        <v>0.42699999999999999</v>
      </c>
      <c r="AF56" s="278">
        <f>Rounding!AF151</f>
        <v>0.42699999999999999</v>
      </c>
      <c r="AG56" s="278">
        <f>Rounding!AG151</f>
        <v>1.8129999999999999</v>
      </c>
      <c r="AH56" s="278">
        <f>Rounding!AH151</f>
        <v>-1.171</v>
      </c>
      <c r="AI56" s="278">
        <f>Rounding!AI151</f>
        <v>-0.97199999999999998</v>
      </c>
      <c r="AJ56" s="278">
        <f>Rounding!AJ151</f>
        <v>-1.171</v>
      </c>
      <c r="AK56" s="278">
        <f>Rounding!AK151</f>
        <v>-1.171</v>
      </c>
      <c r="AL56" s="278">
        <f>Rounding!AL151</f>
        <v>-0.97199999999999998</v>
      </c>
      <c r="AM56" s="278">
        <f>Rounding!AM151</f>
        <v>-0.97199999999999998</v>
      </c>
      <c r="AN56" s="278">
        <f>Rounding!AN151</f>
        <v>-0.52500000000000002</v>
      </c>
      <c r="AO56" s="278">
        <f>Rounding!AO151</f>
        <v>-0.52500000000000002</v>
      </c>
      <c r="AP56" s="267"/>
      <c r="AQ56" s="267"/>
    </row>
    <row r="57" spans="3:43" x14ac:dyDescent="0.25">
      <c r="E57" s="94"/>
      <c r="F57" t="s">
        <v>156</v>
      </c>
      <c r="G57" s="61" t="s">
        <v>267</v>
      </c>
      <c r="H57" s="278"/>
      <c r="I57" s="267"/>
      <c r="J57" s="278">
        <f>Rounding!J152</f>
        <v>0.24</v>
      </c>
      <c r="K57" s="278">
        <f>Rounding!K152</f>
        <v>0.24</v>
      </c>
      <c r="L57" s="278">
        <f>Rounding!L152</f>
        <v>0.27300000000000002</v>
      </c>
      <c r="M57" s="278">
        <f>Rounding!M152</f>
        <v>0.27300000000000002</v>
      </c>
      <c r="N57" s="278">
        <f>Rounding!N152</f>
        <v>0.27300000000000002</v>
      </c>
      <c r="O57" s="278">
        <f>Rounding!O152</f>
        <v>0.27300000000000002</v>
      </c>
      <c r="P57" s="278">
        <f>Rounding!P152</f>
        <v>0.27300000000000002</v>
      </c>
      <c r="Q57" s="278">
        <f>Rounding!Q152</f>
        <v>0.27300000000000002</v>
      </c>
      <c r="R57" s="278">
        <f>Rounding!R152</f>
        <v>0.17899999999999999</v>
      </c>
      <c r="S57" s="278">
        <f>Rounding!S152</f>
        <v>0.17899999999999999</v>
      </c>
      <c r="T57" s="278">
        <f>Rounding!T152</f>
        <v>0.17899999999999999</v>
      </c>
      <c r="U57" s="278">
        <f>Rounding!U152</f>
        <v>0.17899999999999999</v>
      </c>
      <c r="V57" s="278">
        <f>Rounding!V152</f>
        <v>0.17899999999999999</v>
      </c>
      <c r="W57" s="278">
        <f>Rounding!W152</f>
        <v>9.2999999999999999E-2</v>
      </c>
      <c r="X57" s="278">
        <f>Rounding!X152</f>
        <v>9.2999999999999999E-2</v>
      </c>
      <c r="Y57" s="278">
        <f>Rounding!Y152</f>
        <v>9.2999999999999999E-2</v>
      </c>
      <c r="Z57" s="278">
        <f>Rounding!Z152</f>
        <v>9.2999999999999999E-2</v>
      </c>
      <c r="AA57" s="278">
        <f>Rounding!AA152</f>
        <v>9.2999999999999999E-2</v>
      </c>
      <c r="AB57" s="278">
        <f>Rounding!AB152</f>
        <v>6.6000000000000003E-2</v>
      </c>
      <c r="AC57" s="278">
        <f>Rounding!AC152</f>
        <v>6.6000000000000003E-2</v>
      </c>
      <c r="AD57" s="278">
        <f>Rounding!AD152</f>
        <v>6.6000000000000003E-2</v>
      </c>
      <c r="AE57" s="278">
        <f>Rounding!AE152</f>
        <v>6.6000000000000003E-2</v>
      </c>
      <c r="AF57" s="278">
        <f>Rounding!AF152</f>
        <v>6.6000000000000003E-2</v>
      </c>
      <c r="AG57" s="278">
        <f>Rounding!AG152</f>
        <v>0.498</v>
      </c>
      <c r="AH57" s="278">
        <f>Rounding!AH152</f>
        <v>-0.16500000000000001</v>
      </c>
      <c r="AI57" s="278">
        <f>Rounding!AI152</f>
        <v>-0.13800000000000001</v>
      </c>
      <c r="AJ57" s="278">
        <f>Rounding!AJ152</f>
        <v>-0.16500000000000001</v>
      </c>
      <c r="AK57" s="278">
        <f>Rounding!AK152</f>
        <v>-0.16500000000000001</v>
      </c>
      <c r="AL57" s="278">
        <f>Rounding!AL152</f>
        <v>-0.13800000000000001</v>
      </c>
      <c r="AM57" s="278">
        <f>Rounding!AM152</f>
        <v>-0.13800000000000001</v>
      </c>
      <c r="AN57" s="278">
        <f>Rounding!AN152</f>
        <v>-7.8E-2</v>
      </c>
      <c r="AO57" s="278">
        <f>Rounding!AO152</f>
        <v>-7.8E-2</v>
      </c>
      <c r="AP57" s="267"/>
      <c r="AQ57" s="267"/>
    </row>
    <row r="58" spans="3:43" x14ac:dyDescent="0.25">
      <c r="E58" s="94"/>
      <c r="F58" t="s">
        <v>157</v>
      </c>
      <c r="G58" s="61" t="s">
        <v>268</v>
      </c>
      <c r="H58" s="78"/>
      <c r="J58" s="167">
        <f>Rounding!J153</f>
        <v>17.97</v>
      </c>
      <c r="K58" s="167">
        <f>Rounding!K153</f>
        <v>0</v>
      </c>
      <c r="L58" s="167">
        <f>Rounding!L153</f>
        <v>14.71</v>
      </c>
      <c r="M58" s="167">
        <f>Rounding!M153</f>
        <v>16.73</v>
      </c>
      <c r="N58" s="167">
        <f>Rounding!N153</f>
        <v>20.21</v>
      </c>
      <c r="O58" s="167">
        <f>Rounding!O153</f>
        <v>26.54</v>
      </c>
      <c r="P58" s="167">
        <f>Rounding!P153</f>
        <v>46.58</v>
      </c>
      <c r="Q58" s="167">
        <f>Rounding!Q153</f>
        <v>0</v>
      </c>
      <c r="R58" s="167">
        <f>Rounding!R153</f>
        <v>15.25</v>
      </c>
      <c r="S58" s="167">
        <f>Rounding!S153</f>
        <v>68.39</v>
      </c>
      <c r="T58" s="167">
        <f>Rounding!T153</f>
        <v>129.88999999999999</v>
      </c>
      <c r="U58" s="167">
        <f>Rounding!U153</f>
        <v>194.74</v>
      </c>
      <c r="V58" s="167">
        <f>Rounding!V153</f>
        <v>482.86</v>
      </c>
      <c r="W58" s="167">
        <f>Rounding!W153</f>
        <v>15.25</v>
      </c>
      <c r="X58" s="167">
        <f>Rounding!X153</f>
        <v>68.39</v>
      </c>
      <c r="Y58" s="167">
        <f>Rounding!Y153</f>
        <v>129.88999999999999</v>
      </c>
      <c r="Z58" s="167">
        <f>Rounding!Z153</f>
        <v>194.74</v>
      </c>
      <c r="AA58" s="167">
        <f>Rounding!AA153</f>
        <v>482.86</v>
      </c>
      <c r="AB58" s="167">
        <f>Rounding!AB153</f>
        <v>316.66000000000003</v>
      </c>
      <c r="AC58" s="167">
        <f>Rounding!AC153</f>
        <v>681.69</v>
      </c>
      <c r="AD58" s="167">
        <f>Rounding!AD153</f>
        <v>1316.4</v>
      </c>
      <c r="AE58" s="167">
        <f>Rounding!AE153</f>
        <v>2103.42</v>
      </c>
      <c r="AF58" s="167">
        <f>Rounding!AF153</f>
        <v>5182.22</v>
      </c>
      <c r="AG58" s="167">
        <f>Rounding!AG153</f>
        <v>0</v>
      </c>
      <c r="AH58" s="167">
        <f>Rounding!AH153</f>
        <v>0</v>
      </c>
      <c r="AI58" s="167">
        <f>Rounding!AI153</f>
        <v>0</v>
      </c>
      <c r="AJ58" s="167">
        <f>Rounding!AJ153</f>
        <v>0</v>
      </c>
      <c r="AK58" s="167">
        <f>Rounding!AK153</f>
        <v>0</v>
      </c>
      <c r="AL58" s="167">
        <f>Rounding!AL153</f>
        <v>0</v>
      </c>
      <c r="AM58" s="167">
        <f>Rounding!AM153</f>
        <v>0</v>
      </c>
      <c r="AN58" s="167">
        <f>Rounding!AN153</f>
        <v>70.64</v>
      </c>
      <c r="AO58" s="167">
        <f>Rounding!AO153</f>
        <v>70.64</v>
      </c>
    </row>
    <row r="59" spans="3:43" x14ac:dyDescent="0.25">
      <c r="E59" s="94"/>
      <c r="F59" t="s">
        <v>158</v>
      </c>
      <c r="G59" s="61" t="s">
        <v>269</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5.48</v>
      </c>
      <c r="S59" s="167">
        <f>Rounding!S154</f>
        <v>5.48</v>
      </c>
      <c r="T59" s="167">
        <f>Rounding!T154</f>
        <v>5.48</v>
      </c>
      <c r="U59" s="167">
        <f>Rounding!U154</f>
        <v>5.48</v>
      </c>
      <c r="V59" s="167">
        <f>Rounding!V154</f>
        <v>5.48</v>
      </c>
      <c r="W59" s="167">
        <f>Rounding!W154</f>
        <v>5.15</v>
      </c>
      <c r="X59" s="167">
        <f>Rounding!X154</f>
        <v>5.15</v>
      </c>
      <c r="Y59" s="167">
        <f>Rounding!Y154</f>
        <v>5.15</v>
      </c>
      <c r="Z59" s="167">
        <f>Rounding!Z154</f>
        <v>5.15</v>
      </c>
      <c r="AA59" s="167">
        <f>Rounding!AA154</f>
        <v>5.15</v>
      </c>
      <c r="AB59" s="167">
        <f>Rounding!AB154</f>
        <v>5.6</v>
      </c>
      <c r="AC59" s="167">
        <f>Rounding!AC154</f>
        <v>5.6</v>
      </c>
      <c r="AD59" s="167">
        <f>Rounding!AD154</f>
        <v>5.6</v>
      </c>
      <c r="AE59" s="167">
        <f>Rounding!AE154</f>
        <v>5.6</v>
      </c>
      <c r="AF59" s="167">
        <f>Rounding!AF154</f>
        <v>5.6</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25">
      <c r="E60" s="94"/>
      <c r="F60" t="s">
        <v>159</v>
      </c>
      <c r="G60" s="61" t="s">
        <v>269</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5.48</v>
      </c>
      <c r="S60" s="167">
        <f>Rounding!S155</f>
        <v>5.48</v>
      </c>
      <c r="T60" s="167">
        <f>Rounding!T155</f>
        <v>5.48</v>
      </c>
      <c r="U60" s="167">
        <f>Rounding!U155</f>
        <v>5.48</v>
      </c>
      <c r="V60" s="167">
        <f>Rounding!V155</f>
        <v>5.48</v>
      </c>
      <c r="W60" s="167">
        <f>Rounding!W155</f>
        <v>5.15</v>
      </c>
      <c r="X60" s="167">
        <f>Rounding!X155</f>
        <v>5.15</v>
      </c>
      <c r="Y60" s="167">
        <f>Rounding!Y155</f>
        <v>5.15</v>
      </c>
      <c r="Z60" s="167">
        <f>Rounding!Z155</f>
        <v>5.15</v>
      </c>
      <c r="AA60" s="167">
        <f>Rounding!AA155</f>
        <v>5.15</v>
      </c>
      <c r="AB60" s="167">
        <f>Rounding!AB155</f>
        <v>5.6</v>
      </c>
      <c r="AC60" s="167">
        <f>Rounding!AC155</f>
        <v>5.6</v>
      </c>
      <c r="AD60" s="167">
        <f>Rounding!AD155</f>
        <v>5.6</v>
      </c>
      <c r="AE60" s="167">
        <f>Rounding!AE155</f>
        <v>5.6</v>
      </c>
      <c r="AF60" s="167">
        <f>Rounding!AF155</f>
        <v>5.6</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25">
      <c r="E61" s="94"/>
      <c r="F61" s="96" t="s">
        <v>160</v>
      </c>
      <c r="G61" s="144" t="s">
        <v>270</v>
      </c>
      <c r="H61" s="310"/>
      <c r="I61" s="269"/>
      <c r="J61" s="310">
        <f>Rounding!J156</f>
        <v>0</v>
      </c>
      <c r="K61" s="310">
        <f>Rounding!K156</f>
        <v>0</v>
      </c>
      <c r="L61" s="310">
        <f>Rounding!L156</f>
        <v>0</v>
      </c>
      <c r="M61" s="310">
        <f>Rounding!M156</f>
        <v>0</v>
      </c>
      <c r="N61" s="310">
        <f>Rounding!N156</f>
        <v>0</v>
      </c>
      <c r="O61" s="310">
        <f>Rounding!O156</f>
        <v>0</v>
      </c>
      <c r="P61" s="310">
        <f>Rounding!P156</f>
        <v>0</v>
      </c>
      <c r="Q61" s="310">
        <f>Rounding!Q156</f>
        <v>0</v>
      </c>
      <c r="R61" s="310">
        <f>Rounding!R156</f>
        <v>0.16300000000000001</v>
      </c>
      <c r="S61" s="310">
        <f>Rounding!S156</f>
        <v>0.16300000000000001</v>
      </c>
      <c r="T61" s="310">
        <f>Rounding!T156</f>
        <v>0.16300000000000001</v>
      </c>
      <c r="U61" s="310">
        <f>Rounding!U156</f>
        <v>0.16300000000000001</v>
      </c>
      <c r="V61" s="310">
        <f>Rounding!V156</f>
        <v>0.16300000000000001</v>
      </c>
      <c r="W61" s="310">
        <f>Rounding!W156</f>
        <v>8.6999999999999994E-2</v>
      </c>
      <c r="X61" s="310">
        <f>Rounding!X156</f>
        <v>8.6999999999999994E-2</v>
      </c>
      <c r="Y61" s="310">
        <f>Rounding!Y156</f>
        <v>8.6999999999999994E-2</v>
      </c>
      <c r="Z61" s="310">
        <f>Rounding!Z156</f>
        <v>8.6999999999999994E-2</v>
      </c>
      <c r="AA61" s="310">
        <f>Rounding!AA156</f>
        <v>8.6999999999999994E-2</v>
      </c>
      <c r="AB61" s="310">
        <f>Rounding!AB156</f>
        <v>6.3E-2</v>
      </c>
      <c r="AC61" s="310">
        <f>Rounding!AC156</f>
        <v>6.3E-2</v>
      </c>
      <c r="AD61" s="310">
        <f>Rounding!AD156</f>
        <v>6.3E-2</v>
      </c>
      <c r="AE61" s="310">
        <f>Rounding!AE156</f>
        <v>6.3E-2</v>
      </c>
      <c r="AF61" s="310">
        <f>Rounding!AF156</f>
        <v>6.3E-2</v>
      </c>
      <c r="AG61" s="310">
        <f>Rounding!AG156</f>
        <v>0</v>
      </c>
      <c r="AH61" s="310">
        <f>Rounding!AH156</f>
        <v>0</v>
      </c>
      <c r="AI61" s="310">
        <f>Rounding!AI156</f>
        <v>0</v>
      </c>
      <c r="AJ61" s="310">
        <f>Rounding!AJ156</f>
        <v>0.13</v>
      </c>
      <c r="AK61" s="310">
        <f>Rounding!AK156</f>
        <v>0</v>
      </c>
      <c r="AL61" s="310">
        <f>Rounding!AL156</f>
        <v>0.122</v>
      </c>
      <c r="AM61" s="310">
        <f>Rounding!AM156</f>
        <v>0</v>
      </c>
      <c r="AN61" s="310">
        <f>Rounding!AN156</f>
        <v>0.108</v>
      </c>
      <c r="AO61" s="310">
        <f>Rounding!AO156</f>
        <v>0</v>
      </c>
      <c r="AP61" s="267"/>
      <c r="AQ61" s="267"/>
    </row>
    <row r="62" spans="3:43" x14ac:dyDescent="0.2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25">
      <c r="E63" s="75" t="s">
        <v>715</v>
      </c>
      <c r="G63" s="61"/>
      <c r="I63" t="s">
        <v>152</v>
      </c>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Q63" t="s">
        <v>153</v>
      </c>
    </row>
    <row r="64" spans="3:43" x14ac:dyDescent="0.25">
      <c r="F64" s="95" t="s">
        <v>154</v>
      </c>
      <c r="G64" s="143" t="s">
        <v>267</v>
      </c>
      <c r="H64" s="277"/>
      <c r="I64" s="265"/>
      <c r="J64" s="277">
        <f>Rounding!J159</f>
        <v>6.6310000000000002</v>
      </c>
      <c r="K64" s="277">
        <f>Rounding!K159</f>
        <v>6.6310000000000002</v>
      </c>
      <c r="L64" s="277">
        <f>Rounding!L159</f>
        <v>7.5650000000000004</v>
      </c>
      <c r="M64" s="277">
        <f>Rounding!M159</f>
        <v>7.5650000000000004</v>
      </c>
      <c r="N64" s="277">
        <f>Rounding!N159</f>
        <v>7.5650000000000004</v>
      </c>
      <c r="O64" s="277">
        <f>Rounding!O159</f>
        <v>7.5650000000000004</v>
      </c>
      <c r="P64" s="277">
        <f>Rounding!P159</f>
        <v>7.5650000000000004</v>
      </c>
      <c r="Q64" s="277">
        <f>Rounding!Q159</f>
        <v>7.5650000000000004</v>
      </c>
      <c r="R64" s="277">
        <f>Rounding!R159</f>
        <v>5.0279999999999996</v>
      </c>
      <c r="S64" s="277">
        <f>Rounding!S159</f>
        <v>5.0279999999999996</v>
      </c>
      <c r="T64" s="277">
        <f>Rounding!T159</f>
        <v>5.0279999999999996</v>
      </c>
      <c r="U64" s="277">
        <f>Rounding!U159</f>
        <v>5.0279999999999996</v>
      </c>
      <c r="V64" s="277">
        <f>Rounding!V159</f>
        <v>5.0279999999999996</v>
      </c>
      <c r="W64" s="277">
        <f>Rounding!W159</f>
        <v>0</v>
      </c>
      <c r="X64" s="277">
        <f>Rounding!X159</f>
        <v>0</v>
      </c>
      <c r="Y64" s="277">
        <f>Rounding!Y159</f>
        <v>0</v>
      </c>
      <c r="Z64" s="277">
        <f>Rounding!Z159</f>
        <v>0</v>
      </c>
      <c r="AA64" s="277">
        <f>Rounding!AA159</f>
        <v>0</v>
      </c>
      <c r="AB64" s="277">
        <f>Rounding!AB159</f>
        <v>0</v>
      </c>
      <c r="AC64" s="277">
        <f>Rounding!AC159</f>
        <v>0</v>
      </c>
      <c r="AD64" s="277">
        <f>Rounding!AD159</f>
        <v>0</v>
      </c>
      <c r="AE64" s="277">
        <f>Rounding!AE159</f>
        <v>0</v>
      </c>
      <c r="AF64" s="277">
        <f>Rounding!AF159</f>
        <v>0</v>
      </c>
      <c r="AG64" s="277">
        <f>Rounding!AG159</f>
        <v>19.754999999999999</v>
      </c>
      <c r="AH64" s="277">
        <f>Rounding!AH159</f>
        <v>-7.7359999999999998</v>
      </c>
      <c r="AI64" s="277">
        <f>Rounding!AI159</f>
        <v>0</v>
      </c>
      <c r="AJ64" s="277">
        <f>Rounding!AJ159</f>
        <v>-7.7359999999999998</v>
      </c>
      <c r="AK64" s="277">
        <f>Rounding!AK159</f>
        <v>0</v>
      </c>
      <c r="AL64" s="277">
        <f>Rounding!AL159</f>
        <v>0</v>
      </c>
      <c r="AM64" s="277">
        <f>Rounding!AM159</f>
        <v>0</v>
      </c>
      <c r="AN64" s="277">
        <f>Rounding!AN159</f>
        <v>0</v>
      </c>
      <c r="AO64" s="277">
        <f>Rounding!AO159</f>
        <v>0</v>
      </c>
      <c r="AP64" s="267"/>
      <c r="AQ64" s="267"/>
    </row>
    <row r="65" spans="3:43" x14ac:dyDescent="0.25">
      <c r="E65" s="94"/>
      <c r="F65" t="s">
        <v>155</v>
      </c>
      <c r="G65" s="61" t="s">
        <v>267</v>
      </c>
      <c r="H65" s="278"/>
      <c r="I65" s="267"/>
      <c r="J65" s="278">
        <f>Rounding!J160</f>
        <v>1.004</v>
      </c>
      <c r="K65" s="278">
        <f>Rounding!K160</f>
        <v>1.004</v>
      </c>
      <c r="L65" s="278">
        <f>Rounding!L160</f>
        <v>1.1459999999999999</v>
      </c>
      <c r="M65" s="278">
        <f>Rounding!M160</f>
        <v>1.1459999999999999</v>
      </c>
      <c r="N65" s="278">
        <f>Rounding!N160</f>
        <v>1.1459999999999999</v>
      </c>
      <c r="O65" s="278">
        <f>Rounding!O160</f>
        <v>1.1459999999999999</v>
      </c>
      <c r="P65" s="278">
        <f>Rounding!P160</f>
        <v>1.1459999999999999</v>
      </c>
      <c r="Q65" s="278">
        <f>Rounding!Q160</f>
        <v>1.1459999999999999</v>
      </c>
      <c r="R65" s="278">
        <f>Rounding!R160</f>
        <v>0.74099999999999999</v>
      </c>
      <c r="S65" s="278">
        <f>Rounding!S160</f>
        <v>0.74099999999999999</v>
      </c>
      <c r="T65" s="278">
        <f>Rounding!T160</f>
        <v>0.74099999999999999</v>
      </c>
      <c r="U65" s="278">
        <f>Rounding!U160</f>
        <v>0.74099999999999999</v>
      </c>
      <c r="V65" s="278">
        <f>Rounding!V160</f>
        <v>0.74099999999999999</v>
      </c>
      <c r="W65" s="278">
        <f>Rounding!W160</f>
        <v>0</v>
      </c>
      <c r="X65" s="278">
        <f>Rounding!X160</f>
        <v>0</v>
      </c>
      <c r="Y65" s="278">
        <f>Rounding!Y160</f>
        <v>0</v>
      </c>
      <c r="Z65" s="278">
        <f>Rounding!Z160</f>
        <v>0</v>
      </c>
      <c r="AA65" s="278">
        <f>Rounding!AA160</f>
        <v>0</v>
      </c>
      <c r="AB65" s="278">
        <f>Rounding!AB160</f>
        <v>0</v>
      </c>
      <c r="AC65" s="278">
        <f>Rounding!AC160</f>
        <v>0</v>
      </c>
      <c r="AD65" s="278">
        <f>Rounding!AD160</f>
        <v>0</v>
      </c>
      <c r="AE65" s="278">
        <f>Rounding!AE160</f>
        <v>0</v>
      </c>
      <c r="AF65" s="278">
        <f>Rounding!AF160</f>
        <v>0</v>
      </c>
      <c r="AG65" s="278">
        <f>Rounding!AG160</f>
        <v>1.07</v>
      </c>
      <c r="AH65" s="278">
        <f>Rounding!AH160</f>
        <v>-1.171</v>
      </c>
      <c r="AI65" s="278">
        <f>Rounding!AI160</f>
        <v>0</v>
      </c>
      <c r="AJ65" s="278">
        <f>Rounding!AJ160</f>
        <v>-1.171</v>
      </c>
      <c r="AK65" s="278">
        <f>Rounding!AK160</f>
        <v>0</v>
      </c>
      <c r="AL65" s="278">
        <f>Rounding!AL160</f>
        <v>0</v>
      </c>
      <c r="AM65" s="278">
        <f>Rounding!AM160</f>
        <v>0</v>
      </c>
      <c r="AN65" s="278">
        <f>Rounding!AN160</f>
        <v>0</v>
      </c>
      <c r="AO65" s="278">
        <f>Rounding!AO160</f>
        <v>0</v>
      </c>
      <c r="AP65" s="267"/>
      <c r="AQ65" s="267"/>
    </row>
    <row r="66" spans="3:43" x14ac:dyDescent="0.25">
      <c r="E66" s="94"/>
      <c r="F66" t="s">
        <v>156</v>
      </c>
      <c r="G66" s="61" t="s">
        <v>267</v>
      </c>
      <c r="H66" s="278"/>
      <c r="I66" s="267"/>
      <c r="J66" s="278">
        <f>Rounding!J161</f>
        <v>0.14099999999999999</v>
      </c>
      <c r="K66" s="278">
        <f>Rounding!K161</f>
        <v>0.14099999999999999</v>
      </c>
      <c r="L66" s="278">
        <f>Rounding!L161</f>
        <v>0.161</v>
      </c>
      <c r="M66" s="278">
        <f>Rounding!M161</f>
        <v>0.161</v>
      </c>
      <c r="N66" s="278">
        <f>Rounding!N161</f>
        <v>0.161</v>
      </c>
      <c r="O66" s="278">
        <f>Rounding!O161</f>
        <v>0.161</v>
      </c>
      <c r="P66" s="278">
        <f>Rounding!P161</f>
        <v>0.161</v>
      </c>
      <c r="Q66" s="278">
        <f>Rounding!Q161</f>
        <v>0.161</v>
      </c>
      <c r="R66" s="278">
        <f>Rounding!R161</f>
        <v>0.106</v>
      </c>
      <c r="S66" s="278">
        <f>Rounding!S161</f>
        <v>0.106</v>
      </c>
      <c r="T66" s="278">
        <f>Rounding!T161</f>
        <v>0.106</v>
      </c>
      <c r="U66" s="278">
        <f>Rounding!U161</f>
        <v>0.106</v>
      </c>
      <c r="V66" s="278">
        <f>Rounding!V161</f>
        <v>0.106</v>
      </c>
      <c r="W66" s="278">
        <f>Rounding!W161</f>
        <v>0</v>
      </c>
      <c r="X66" s="278">
        <f>Rounding!X161</f>
        <v>0</v>
      </c>
      <c r="Y66" s="278">
        <f>Rounding!Y161</f>
        <v>0</v>
      </c>
      <c r="Z66" s="278">
        <f>Rounding!Z161</f>
        <v>0</v>
      </c>
      <c r="AA66" s="278">
        <f>Rounding!AA161</f>
        <v>0</v>
      </c>
      <c r="AB66" s="278">
        <f>Rounding!AB161</f>
        <v>0</v>
      </c>
      <c r="AC66" s="278">
        <f>Rounding!AC161</f>
        <v>0</v>
      </c>
      <c r="AD66" s="278">
        <f>Rounding!AD161</f>
        <v>0</v>
      </c>
      <c r="AE66" s="278">
        <f>Rounding!AE161</f>
        <v>0</v>
      </c>
      <c r="AF66" s="278">
        <f>Rounding!AF161</f>
        <v>0</v>
      </c>
      <c r="AG66" s="278">
        <f>Rounding!AG161</f>
        <v>0.29399999999999998</v>
      </c>
      <c r="AH66" s="278">
        <f>Rounding!AH161</f>
        <v>-0.16500000000000001</v>
      </c>
      <c r="AI66" s="278">
        <f>Rounding!AI161</f>
        <v>0</v>
      </c>
      <c r="AJ66" s="278">
        <f>Rounding!AJ161</f>
        <v>-0.16500000000000001</v>
      </c>
      <c r="AK66" s="278">
        <f>Rounding!AK161</f>
        <v>0</v>
      </c>
      <c r="AL66" s="278">
        <f>Rounding!AL161</f>
        <v>0</v>
      </c>
      <c r="AM66" s="278">
        <f>Rounding!AM161</f>
        <v>0</v>
      </c>
      <c r="AN66" s="278">
        <f>Rounding!AN161</f>
        <v>0</v>
      </c>
      <c r="AO66" s="278">
        <f>Rounding!AO161</f>
        <v>0</v>
      </c>
      <c r="AP66" s="267"/>
      <c r="AQ66" s="267"/>
    </row>
    <row r="67" spans="3:43" x14ac:dyDescent="0.25">
      <c r="E67" s="94"/>
      <c r="F67" t="s">
        <v>157</v>
      </c>
      <c r="G67" s="61" t="s">
        <v>268</v>
      </c>
      <c r="H67" s="78"/>
      <c r="J67" s="167">
        <f>Rounding!J162</f>
        <v>10.6</v>
      </c>
      <c r="K67" s="167">
        <f>Rounding!K162</f>
        <v>0</v>
      </c>
      <c r="L67" s="167">
        <f>Rounding!L162</f>
        <v>8.68</v>
      </c>
      <c r="M67" s="167">
        <f>Rounding!M162</f>
        <v>9.8699999999999992</v>
      </c>
      <c r="N67" s="167">
        <f>Rounding!N162</f>
        <v>11.92</v>
      </c>
      <c r="O67" s="167">
        <f>Rounding!O162</f>
        <v>15.66</v>
      </c>
      <c r="P67" s="167">
        <f>Rounding!P162</f>
        <v>27.48</v>
      </c>
      <c r="Q67" s="167">
        <f>Rounding!Q162</f>
        <v>0</v>
      </c>
      <c r="R67" s="167">
        <f>Rounding!R162</f>
        <v>8.99</v>
      </c>
      <c r="S67" s="167">
        <f>Rounding!S162</f>
        <v>40.35</v>
      </c>
      <c r="T67" s="167">
        <f>Rounding!T162</f>
        <v>76.64</v>
      </c>
      <c r="U67" s="167">
        <f>Rounding!U162</f>
        <v>114.9</v>
      </c>
      <c r="V67" s="167">
        <f>Rounding!V162</f>
        <v>284.89</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25">
      <c r="E68" s="94"/>
      <c r="F68" t="s">
        <v>158</v>
      </c>
      <c r="G68" s="61" t="s">
        <v>269</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3.23</v>
      </c>
      <c r="S68" s="167">
        <f>Rounding!S163</f>
        <v>3.23</v>
      </c>
      <c r="T68" s="167">
        <f>Rounding!T163</f>
        <v>3.23</v>
      </c>
      <c r="U68" s="167">
        <f>Rounding!U163</f>
        <v>3.23</v>
      </c>
      <c r="V68" s="167">
        <f>Rounding!V163</f>
        <v>3.23</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25">
      <c r="E69" s="94"/>
      <c r="F69" t="s">
        <v>159</v>
      </c>
      <c r="G69" s="61" t="s">
        <v>269</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3.23</v>
      </c>
      <c r="S69" s="167">
        <f>Rounding!S164</f>
        <v>3.23</v>
      </c>
      <c r="T69" s="167">
        <f>Rounding!T164</f>
        <v>3.23</v>
      </c>
      <c r="U69" s="167">
        <f>Rounding!U164</f>
        <v>3.23</v>
      </c>
      <c r="V69" s="167">
        <f>Rounding!V164</f>
        <v>3.23</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25">
      <c r="E70" s="94"/>
      <c r="F70" s="96" t="s">
        <v>160</v>
      </c>
      <c r="G70" s="144" t="s">
        <v>270</v>
      </c>
      <c r="H70" s="310"/>
      <c r="I70" s="269"/>
      <c r="J70" s="310">
        <f>Rounding!J165</f>
        <v>0</v>
      </c>
      <c r="K70" s="310">
        <f>Rounding!K165</f>
        <v>0</v>
      </c>
      <c r="L70" s="310">
        <f>Rounding!L165</f>
        <v>0</v>
      </c>
      <c r="M70" s="310">
        <f>Rounding!M165</f>
        <v>0</v>
      </c>
      <c r="N70" s="310">
        <f>Rounding!N165</f>
        <v>0</v>
      </c>
      <c r="O70" s="310">
        <f>Rounding!O165</f>
        <v>0</v>
      </c>
      <c r="P70" s="310">
        <f>Rounding!P165</f>
        <v>0</v>
      </c>
      <c r="Q70" s="310">
        <f>Rounding!Q165</f>
        <v>0</v>
      </c>
      <c r="R70" s="310">
        <f>Rounding!R165</f>
        <v>9.6000000000000002E-2</v>
      </c>
      <c r="S70" s="310">
        <f>Rounding!S165</f>
        <v>9.6000000000000002E-2</v>
      </c>
      <c r="T70" s="310">
        <f>Rounding!T165</f>
        <v>9.6000000000000002E-2</v>
      </c>
      <c r="U70" s="310">
        <f>Rounding!U165</f>
        <v>9.6000000000000002E-2</v>
      </c>
      <c r="V70" s="310">
        <f>Rounding!V165</f>
        <v>9.6000000000000002E-2</v>
      </c>
      <c r="W70" s="310">
        <f>Rounding!W165</f>
        <v>0</v>
      </c>
      <c r="X70" s="310">
        <f>Rounding!X165</f>
        <v>0</v>
      </c>
      <c r="Y70" s="310">
        <f>Rounding!Y165</f>
        <v>0</v>
      </c>
      <c r="Z70" s="310">
        <f>Rounding!Z165</f>
        <v>0</v>
      </c>
      <c r="AA70" s="310">
        <f>Rounding!AA165</f>
        <v>0</v>
      </c>
      <c r="AB70" s="310">
        <f>Rounding!AB165</f>
        <v>0</v>
      </c>
      <c r="AC70" s="310">
        <f>Rounding!AC165</f>
        <v>0</v>
      </c>
      <c r="AD70" s="310">
        <f>Rounding!AD165</f>
        <v>0</v>
      </c>
      <c r="AE70" s="310">
        <f>Rounding!AE165</f>
        <v>0</v>
      </c>
      <c r="AF70" s="310">
        <f>Rounding!AF165</f>
        <v>0</v>
      </c>
      <c r="AG70" s="310">
        <f>Rounding!AG165</f>
        <v>0</v>
      </c>
      <c r="AH70" s="310">
        <f>Rounding!AH165</f>
        <v>0</v>
      </c>
      <c r="AI70" s="310">
        <f>Rounding!AI165</f>
        <v>0</v>
      </c>
      <c r="AJ70" s="310">
        <f>Rounding!AJ165</f>
        <v>0.13</v>
      </c>
      <c r="AK70" s="310">
        <f>Rounding!AK165</f>
        <v>0</v>
      </c>
      <c r="AL70" s="310">
        <f>Rounding!AL165</f>
        <v>0</v>
      </c>
      <c r="AM70" s="310">
        <f>Rounding!AM165</f>
        <v>0</v>
      </c>
      <c r="AN70" s="310">
        <f>Rounding!AN165</f>
        <v>0</v>
      </c>
      <c r="AO70" s="310">
        <f>Rounding!AO165</f>
        <v>0</v>
      </c>
      <c r="AP70" s="267"/>
      <c r="AQ70" s="267"/>
    </row>
    <row r="71" spans="3:43" x14ac:dyDescent="0.2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25">
      <c r="E72" s="75" t="s">
        <v>716</v>
      </c>
      <c r="G72" s="61"/>
      <c r="I72" t="s">
        <v>152</v>
      </c>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Q72" t="s">
        <v>153</v>
      </c>
    </row>
    <row r="73" spans="3:43" x14ac:dyDescent="0.25">
      <c r="C73" s="105"/>
      <c r="F73" s="95" t="s">
        <v>154</v>
      </c>
      <c r="G73" s="143" t="s">
        <v>267</v>
      </c>
      <c r="H73" s="277"/>
      <c r="I73" s="265"/>
      <c r="J73" s="277">
        <f>Rounding!J168</f>
        <v>4.4530000000000003</v>
      </c>
      <c r="K73" s="277">
        <f>Rounding!K168</f>
        <v>4.4530000000000003</v>
      </c>
      <c r="L73" s="277">
        <f>Rounding!L168</f>
        <v>5.0810000000000004</v>
      </c>
      <c r="M73" s="277">
        <f>Rounding!M168</f>
        <v>5.0810000000000004</v>
      </c>
      <c r="N73" s="277">
        <f>Rounding!N168</f>
        <v>5.0810000000000004</v>
      </c>
      <c r="O73" s="277">
        <f>Rounding!O168</f>
        <v>5.0810000000000004</v>
      </c>
      <c r="P73" s="277">
        <f>Rounding!P168</f>
        <v>5.0810000000000004</v>
      </c>
      <c r="Q73" s="277">
        <f>Rounding!Q168</f>
        <v>5.0810000000000004</v>
      </c>
      <c r="R73" s="277">
        <f>Rounding!R168</f>
        <v>3.3769999999999998</v>
      </c>
      <c r="S73" s="277">
        <f>Rounding!S168</f>
        <v>3.3769999999999998</v>
      </c>
      <c r="T73" s="277">
        <f>Rounding!T168</f>
        <v>3.3769999999999998</v>
      </c>
      <c r="U73" s="277">
        <f>Rounding!U168</f>
        <v>3.3769999999999998</v>
      </c>
      <c r="V73" s="277">
        <f>Rounding!V168</f>
        <v>3.3769999999999998</v>
      </c>
      <c r="W73" s="277">
        <f>Rounding!W168</f>
        <v>3.129</v>
      </c>
      <c r="X73" s="277">
        <f>Rounding!X168</f>
        <v>3.129</v>
      </c>
      <c r="Y73" s="277">
        <f>Rounding!Y168</f>
        <v>3.129</v>
      </c>
      <c r="Z73" s="277">
        <f>Rounding!Z168</f>
        <v>3.129</v>
      </c>
      <c r="AA73" s="277">
        <f>Rounding!AA168</f>
        <v>3.129</v>
      </c>
      <c r="AB73" s="277">
        <f>Rounding!AB168</f>
        <v>2.8260000000000001</v>
      </c>
      <c r="AC73" s="277">
        <f>Rounding!AC168</f>
        <v>2.8260000000000001</v>
      </c>
      <c r="AD73" s="277">
        <f>Rounding!AD168</f>
        <v>2.8260000000000001</v>
      </c>
      <c r="AE73" s="277">
        <f>Rounding!AE168</f>
        <v>2.8260000000000001</v>
      </c>
      <c r="AF73" s="277">
        <f>Rounding!AF168</f>
        <v>2.8260000000000001</v>
      </c>
      <c r="AG73" s="277">
        <f>Rounding!AG168</f>
        <v>13.266999999999999</v>
      </c>
      <c r="AH73" s="277">
        <f>Rounding!AH168</f>
        <v>-7.7359999999999998</v>
      </c>
      <c r="AI73" s="277">
        <f>Rounding!AI168</f>
        <v>-6.5179999999999998</v>
      </c>
      <c r="AJ73" s="277">
        <f>Rounding!AJ168</f>
        <v>-7.7359999999999998</v>
      </c>
      <c r="AK73" s="277">
        <f>Rounding!AK168</f>
        <v>0</v>
      </c>
      <c r="AL73" s="277">
        <f>Rounding!AL168</f>
        <v>-6.5179999999999998</v>
      </c>
      <c r="AM73" s="277">
        <f>Rounding!AM168</f>
        <v>0</v>
      </c>
      <c r="AN73" s="277">
        <f>Rounding!AN168</f>
        <v>-3.8839999999999999</v>
      </c>
      <c r="AO73" s="277">
        <f>Rounding!AO168</f>
        <v>0</v>
      </c>
      <c r="AP73" s="267"/>
      <c r="AQ73" s="267"/>
    </row>
    <row r="74" spans="3:43" x14ac:dyDescent="0.25">
      <c r="C74" s="105"/>
      <c r="F74" t="s">
        <v>155</v>
      </c>
      <c r="G74" s="61" t="s">
        <v>267</v>
      </c>
      <c r="H74" s="278"/>
      <c r="I74" s="267"/>
      <c r="J74" s="278">
        <f>Rounding!J169</f>
        <v>0.67400000000000004</v>
      </c>
      <c r="K74" s="278">
        <f>Rounding!K169</f>
        <v>0.67400000000000004</v>
      </c>
      <c r="L74" s="278">
        <f>Rounding!L169</f>
        <v>0.76900000000000002</v>
      </c>
      <c r="M74" s="278">
        <f>Rounding!M169</f>
        <v>0.76900000000000002</v>
      </c>
      <c r="N74" s="278">
        <f>Rounding!N169</f>
        <v>0.76900000000000002</v>
      </c>
      <c r="O74" s="278">
        <f>Rounding!O169</f>
        <v>0.76900000000000002</v>
      </c>
      <c r="P74" s="278">
        <f>Rounding!P169</f>
        <v>0.76900000000000002</v>
      </c>
      <c r="Q74" s="278">
        <f>Rounding!Q169</f>
        <v>0.76900000000000002</v>
      </c>
      <c r="R74" s="278">
        <f>Rounding!R169</f>
        <v>0.497</v>
      </c>
      <c r="S74" s="278">
        <f>Rounding!S169</f>
        <v>0.497</v>
      </c>
      <c r="T74" s="278">
        <f>Rounding!T169</f>
        <v>0.497</v>
      </c>
      <c r="U74" s="278">
        <f>Rounding!U169</f>
        <v>0.497</v>
      </c>
      <c r="V74" s="278">
        <f>Rounding!V169</f>
        <v>0.497</v>
      </c>
      <c r="W74" s="278">
        <f>Rounding!W169</f>
        <v>0.42299999999999999</v>
      </c>
      <c r="X74" s="278">
        <f>Rounding!X169</f>
        <v>0.42299999999999999</v>
      </c>
      <c r="Y74" s="278">
        <f>Rounding!Y169</f>
        <v>0.42299999999999999</v>
      </c>
      <c r="Z74" s="278">
        <f>Rounding!Z169</f>
        <v>0.42299999999999999</v>
      </c>
      <c r="AA74" s="278">
        <f>Rounding!AA169</f>
        <v>0.42299999999999999</v>
      </c>
      <c r="AB74" s="278">
        <f>Rounding!AB169</f>
        <v>0.35499999999999998</v>
      </c>
      <c r="AC74" s="278">
        <f>Rounding!AC169</f>
        <v>0.35499999999999998</v>
      </c>
      <c r="AD74" s="278">
        <f>Rounding!AD169</f>
        <v>0.35499999999999998</v>
      </c>
      <c r="AE74" s="278">
        <f>Rounding!AE169</f>
        <v>0.35499999999999998</v>
      </c>
      <c r="AF74" s="278">
        <f>Rounding!AF169</f>
        <v>0.35499999999999998</v>
      </c>
      <c r="AG74" s="278">
        <f>Rounding!AG169</f>
        <v>0.71799999999999997</v>
      </c>
      <c r="AH74" s="278">
        <f>Rounding!AH169</f>
        <v>-1.171</v>
      </c>
      <c r="AI74" s="278">
        <f>Rounding!AI169</f>
        <v>-0.97199999999999998</v>
      </c>
      <c r="AJ74" s="278">
        <f>Rounding!AJ169</f>
        <v>-1.171</v>
      </c>
      <c r="AK74" s="278">
        <f>Rounding!AK169</f>
        <v>0</v>
      </c>
      <c r="AL74" s="278">
        <f>Rounding!AL169</f>
        <v>-0.97199999999999998</v>
      </c>
      <c r="AM74" s="278">
        <f>Rounding!AM169</f>
        <v>0</v>
      </c>
      <c r="AN74" s="278">
        <f>Rounding!AN169</f>
        <v>-0.52500000000000002</v>
      </c>
      <c r="AO74" s="278">
        <f>Rounding!AO169</f>
        <v>0</v>
      </c>
      <c r="AP74" s="267"/>
      <c r="AQ74" s="267"/>
    </row>
    <row r="75" spans="3:43" x14ac:dyDescent="0.25">
      <c r="C75" s="105"/>
      <c r="F75" t="s">
        <v>156</v>
      </c>
      <c r="G75" s="61" t="s">
        <v>267</v>
      </c>
      <c r="H75" s="278"/>
      <c r="I75" s="267"/>
      <c r="J75" s="278">
        <f>Rounding!J170</f>
        <v>9.5000000000000001E-2</v>
      </c>
      <c r="K75" s="278">
        <f>Rounding!K170</f>
        <v>9.5000000000000001E-2</v>
      </c>
      <c r="L75" s="278">
        <f>Rounding!L170</f>
        <v>0.108</v>
      </c>
      <c r="M75" s="278">
        <f>Rounding!M170</f>
        <v>0.108</v>
      </c>
      <c r="N75" s="278">
        <f>Rounding!N170</f>
        <v>0.108</v>
      </c>
      <c r="O75" s="278">
        <f>Rounding!O170</f>
        <v>0.108</v>
      </c>
      <c r="P75" s="278">
        <f>Rounding!P170</f>
        <v>0.108</v>
      </c>
      <c r="Q75" s="278">
        <f>Rounding!Q170</f>
        <v>0.108</v>
      </c>
      <c r="R75" s="278">
        <f>Rounding!R170</f>
        <v>7.0999999999999994E-2</v>
      </c>
      <c r="S75" s="278">
        <f>Rounding!S170</f>
        <v>7.0999999999999994E-2</v>
      </c>
      <c r="T75" s="278">
        <f>Rounding!T170</f>
        <v>7.0999999999999994E-2</v>
      </c>
      <c r="U75" s="278">
        <f>Rounding!U170</f>
        <v>7.0999999999999994E-2</v>
      </c>
      <c r="V75" s="278">
        <f>Rounding!V170</f>
        <v>7.0999999999999994E-2</v>
      </c>
      <c r="W75" s="278">
        <f>Rounding!W170</f>
        <v>6.3E-2</v>
      </c>
      <c r="X75" s="278">
        <f>Rounding!X170</f>
        <v>6.3E-2</v>
      </c>
      <c r="Y75" s="278">
        <f>Rounding!Y170</f>
        <v>6.3E-2</v>
      </c>
      <c r="Z75" s="278">
        <f>Rounding!Z170</f>
        <v>6.3E-2</v>
      </c>
      <c r="AA75" s="278">
        <f>Rounding!AA170</f>
        <v>6.3E-2</v>
      </c>
      <c r="AB75" s="278">
        <f>Rounding!AB170</f>
        <v>5.3999999999999999E-2</v>
      </c>
      <c r="AC75" s="278">
        <f>Rounding!AC170</f>
        <v>5.3999999999999999E-2</v>
      </c>
      <c r="AD75" s="278">
        <f>Rounding!AD170</f>
        <v>5.3999999999999999E-2</v>
      </c>
      <c r="AE75" s="278">
        <f>Rounding!AE170</f>
        <v>5.3999999999999999E-2</v>
      </c>
      <c r="AF75" s="278">
        <f>Rounding!AF170</f>
        <v>5.3999999999999999E-2</v>
      </c>
      <c r="AG75" s="278">
        <f>Rounding!AG170</f>
        <v>0.19700000000000001</v>
      </c>
      <c r="AH75" s="278">
        <f>Rounding!AH170</f>
        <v>-0.16500000000000001</v>
      </c>
      <c r="AI75" s="278">
        <f>Rounding!AI170</f>
        <v>-0.13800000000000001</v>
      </c>
      <c r="AJ75" s="278">
        <f>Rounding!AJ170</f>
        <v>-0.16500000000000001</v>
      </c>
      <c r="AK75" s="278">
        <f>Rounding!AK170</f>
        <v>0</v>
      </c>
      <c r="AL75" s="278">
        <f>Rounding!AL170</f>
        <v>-0.13800000000000001</v>
      </c>
      <c r="AM75" s="278">
        <f>Rounding!AM170</f>
        <v>0</v>
      </c>
      <c r="AN75" s="278">
        <f>Rounding!AN170</f>
        <v>-7.8E-2</v>
      </c>
      <c r="AO75" s="278">
        <f>Rounding!AO170</f>
        <v>0</v>
      </c>
      <c r="AP75" s="267"/>
      <c r="AQ75" s="267"/>
    </row>
    <row r="76" spans="3:43" x14ac:dyDescent="0.25">
      <c r="C76" s="105"/>
      <c r="F76" t="s">
        <v>157</v>
      </c>
      <c r="G76" s="61" t="s">
        <v>268</v>
      </c>
      <c r="H76" s="78"/>
      <c r="J76" s="167">
        <f>Rounding!J171</f>
        <v>7.12</v>
      </c>
      <c r="K76" s="167">
        <f>Rounding!K171</f>
        <v>0</v>
      </c>
      <c r="L76" s="167">
        <f>Rounding!L171</f>
        <v>5.83</v>
      </c>
      <c r="M76" s="167">
        <f>Rounding!M171</f>
        <v>6.63</v>
      </c>
      <c r="N76" s="167">
        <f>Rounding!N171</f>
        <v>8.01</v>
      </c>
      <c r="O76" s="167">
        <f>Rounding!O171</f>
        <v>10.52</v>
      </c>
      <c r="P76" s="167">
        <f>Rounding!P171</f>
        <v>18.46</v>
      </c>
      <c r="Q76" s="167">
        <f>Rounding!Q171</f>
        <v>0</v>
      </c>
      <c r="R76" s="167">
        <f>Rounding!R171</f>
        <v>6.04</v>
      </c>
      <c r="S76" s="167">
        <f>Rounding!S171</f>
        <v>27.1</v>
      </c>
      <c r="T76" s="167">
        <f>Rounding!T171</f>
        <v>51.47</v>
      </c>
      <c r="U76" s="167">
        <f>Rounding!U171</f>
        <v>77.16</v>
      </c>
      <c r="V76" s="167">
        <f>Rounding!V171</f>
        <v>191.33</v>
      </c>
      <c r="W76" s="167">
        <f>Rounding!W171</f>
        <v>10.3</v>
      </c>
      <c r="X76" s="167">
        <f>Rounding!X171</f>
        <v>46.19</v>
      </c>
      <c r="Y76" s="167">
        <f>Rounding!Y171</f>
        <v>87.72</v>
      </c>
      <c r="Z76" s="167">
        <f>Rounding!Z171</f>
        <v>131.51</v>
      </c>
      <c r="AA76" s="167">
        <f>Rounding!AA171</f>
        <v>326.08</v>
      </c>
      <c r="AB76" s="167">
        <f>Rounding!AB171</f>
        <v>262.95</v>
      </c>
      <c r="AC76" s="167">
        <f>Rounding!AC171</f>
        <v>566.07000000000005</v>
      </c>
      <c r="AD76" s="167">
        <f>Rounding!AD171</f>
        <v>1093.1199999999999</v>
      </c>
      <c r="AE76" s="167">
        <f>Rounding!AE171</f>
        <v>1746.65</v>
      </c>
      <c r="AF76" s="167">
        <f>Rounding!AF171</f>
        <v>4303.26</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25">
      <c r="C77" s="105"/>
      <c r="F77" t="s">
        <v>158</v>
      </c>
      <c r="G77" s="61" t="s">
        <v>269</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2.17</v>
      </c>
      <c r="S77" s="167">
        <f>Rounding!S172</f>
        <v>2.17</v>
      </c>
      <c r="T77" s="167">
        <f>Rounding!T172</f>
        <v>2.17</v>
      </c>
      <c r="U77" s="167">
        <f>Rounding!U172</f>
        <v>2.17</v>
      </c>
      <c r="V77" s="167">
        <f>Rounding!V172</f>
        <v>2.17</v>
      </c>
      <c r="W77" s="167">
        <f>Rounding!W172</f>
        <v>3.48</v>
      </c>
      <c r="X77" s="167">
        <f>Rounding!X172</f>
        <v>3.48</v>
      </c>
      <c r="Y77" s="167">
        <f>Rounding!Y172</f>
        <v>3.48</v>
      </c>
      <c r="Z77" s="167">
        <f>Rounding!Z172</f>
        <v>3.48</v>
      </c>
      <c r="AA77" s="167">
        <f>Rounding!AA172</f>
        <v>3.48</v>
      </c>
      <c r="AB77" s="167">
        <f>Rounding!AB172</f>
        <v>4.6500000000000004</v>
      </c>
      <c r="AC77" s="167">
        <f>Rounding!AC172</f>
        <v>4.6500000000000004</v>
      </c>
      <c r="AD77" s="167">
        <f>Rounding!AD172</f>
        <v>4.6500000000000004</v>
      </c>
      <c r="AE77" s="167">
        <f>Rounding!AE172</f>
        <v>4.6500000000000004</v>
      </c>
      <c r="AF77" s="167">
        <f>Rounding!AF172</f>
        <v>4.6500000000000004</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25">
      <c r="C78" s="105"/>
      <c r="F78" t="s">
        <v>159</v>
      </c>
      <c r="G78" s="61" t="s">
        <v>269</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2.17</v>
      </c>
      <c r="S78" s="167">
        <f>Rounding!S173</f>
        <v>2.17</v>
      </c>
      <c r="T78" s="167">
        <f>Rounding!T173</f>
        <v>2.17</v>
      </c>
      <c r="U78" s="167">
        <f>Rounding!U173</f>
        <v>2.17</v>
      </c>
      <c r="V78" s="167">
        <f>Rounding!V173</f>
        <v>2.17</v>
      </c>
      <c r="W78" s="167">
        <f>Rounding!W173</f>
        <v>3.48</v>
      </c>
      <c r="X78" s="167">
        <f>Rounding!X173</f>
        <v>3.48</v>
      </c>
      <c r="Y78" s="167">
        <f>Rounding!Y173</f>
        <v>3.48</v>
      </c>
      <c r="Z78" s="167">
        <f>Rounding!Z173</f>
        <v>3.48</v>
      </c>
      <c r="AA78" s="167">
        <f>Rounding!AA173</f>
        <v>3.48</v>
      </c>
      <c r="AB78" s="167">
        <f>Rounding!AB173</f>
        <v>4.6500000000000004</v>
      </c>
      <c r="AC78" s="167">
        <f>Rounding!AC173</f>
        <v>4.6500000000000004</v>
      </c>
      <c r="AD78" s="167">
        <f>Rounding!AD173</f>
        <v>4.6500000000000004</v>
      </c>
      <c r="AE78" s="167">
        <f>Rounding!AE173</f>
        <v>4.6500000000000004</v>
      </c>
      <c r="AF78" s="167">
        <f>Rounding!AF173</f>
        <v>4.6500000000000004</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25">
      <c r="C79" s="105"/>
      <c r="F79" s="96" t="s">
        <v>160</v>
      </c>
      <c r="G79" s="144" t="s">
        <v>270</v>
      </c>
      <c r="H79" s="310"/>
      <c r="I79" s="269"/>
      <c r="J79" s="310">
        <f>Rounding!J174</f>
        <v>0</v>
      </c>
      <c r="K79" s="310">
        <f>Rounding!K174</f>
        <v>0</v>
      </c>
      <c r="L79" s="310">
        <f>Rounding!L174</f>
        <v>0</v>
      </c>
      <c r="M79" s="310">
        <f>Rounding!M174</f>
        <v>0</v>
      </c>
      <c r="N79" s="310">
        <f>Rounding!N174</f>
        <v>0</v>
      </c>
      <c r="O79" s="310">
        <f>Rounding!O174</f>
        <v>0</v>
      </c>
      <c r="P79" s="310">
        <f>Rounding!P174</f>
        <v>0</v>
      </c>
      <c r="Q79" s="310">
        <f>Rounding!Q174</f>
        <v>0</v>
      </c>
      <c r="R79" s="310">
        <f>Rounding!R174</f>
        <v>6.4000000000000001E-2</v>
      </c>
      <c r="S79" s="310">
        <f>Rounding!S174</f>
        <v>6.4000000000000001E-2</v>
      </c>
      <c r="T79" s="310">
        <f>Rounding!T174</f>
        <v>6.4000000000000001E-2</v>
      </c>
      <c r="U79" s="310">
        <f>Rounding!U174</f>
        <v>6.4000000000000001E-2</v>
      </c>
      <c r="V79" s="310">
        <f>Rounding!V174</f>
        <v>6.4000000000000001E-2</v>
      </c>
      <c r="W79" s="310">
        <f>Rounding!W174</f>
        <v>5.8999999999999997E-2</v>
      </c>
      <c r="X79" s="310">
        <f>Rounding!X174</f>
        <v>5.8999999999999997E-2</v>
      </c>
      <c r="Y79" s="310">
        <f>Rounding!Y174</f>
        <v>5.8999999999999997E-2</v>
      </c>
      <c r="Z79" s="310">
        <f>Rounding!Z174</f>
        <v>5.8999999999999997E-2</v>
      </c>
      <c r="AA79" s="310">
        <f>Rounding!AA174</f>
        <v>5.8999999999999997E-2</v>
      </c>
      <c r="AB79" s="310">
        <f>Rounding!AB174</f>
        <v>5.1999999999999998E-2</v>
      </c>
      <c r="AC79" s="310">
        <f>Rounding!AC174</f>
        <v>5.1999999999999998E-2</v>
      </c>
      <c r="AD79" s="310">
        <f>Rounding!AD174</f>
        <v>5.1999999999999998E-2</v>
      </c>
      <c r="AE79" s="310">
        <f>Rounding!AE174</f>
        <v>5.1999999999999998E-2</v>
      </c>
      <c r="AF79" s="310">
        <f>Rounding!AF174</f>
        <v>5.1999999999999998E-2</v>
      </c>
      <c r="AG79" s="310">
        <f>Rounding!AG174</f>
        <v>0</v>
      </c>
      <c r="AH79" s="310">
        <f>Rounding!AH174</f>
        <v>0</v>
      </c>
      <c r="AI79" s="310">
        <f>Rounding!AI174</f>
        <v>0</v>
      </c>
      <c r="AJ79" s="310">
        <f>Rounding!AJ174</f>
        <v>0.13</v>
      </c>
      <c r="AK79" s="310">
        <f>Rounding!AK174</f>
        <v>0</v>
      </c>
      <c r="AL79" s="310">
        <f>Rounding!AL174</f>
        <v>0.122</v>
      </c>
      <c r="AM79" s="310">
        <f>Rounding!AM174</f>
        <v>0</v>
      </c>
      <c r="AN79" s="310">
        <f>Rounding!AN174</f>
        <v>0.108</v>
      </c>
      <c r="AO79" s="310">
        <f>Rounding!AO174</f>
        <v>0</v>
      </c>
      <c r="AP79" s="267"/>
      <c r="AQ79" s="267"/>
    </row>
    <row r="80" spans="3:43" x14ac:dyDescent="0.2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2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2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25">
      <c r="E83" t="s">
        <v>692</v>
      </c>
      <c r="G83" s="61" t="s">
        <v>275</v>
      </c>
      <c r="H83" s="167">
        <f>'General inputs'!H86</f>
        <v>357450594.21760702</v>
      </c>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row>
    <row r="84" spans="2:43" x14ac:dyDescent="0.25">
      <c r="G84" s="61"/>
      <c r="H84" s="167"/>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row>
    <row r="85" spans="2:43" x14ac:dyDescent="0.25">
      <c r="E85" t="s">
        <v>717</v>
      </c>
      <c r="G85" s="61" t="s">
        <v>275</v>
      </c>
      <c r="H85" s="167">
        <f>'Revenue matching'!H82</f>
        <v>330469858.79401577</v>
      </c>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row>
    <row r="86" spans="2:43" x14ac:dyDescent="0.25">
      <c r="E86" t="s">
        <v>843</v>
      </c>
      <c r="G86" s="61" t="s">
        <v>275</v>
      </c>
      <c r="H86" s="170">
        <f>'SoLR &amp; bad debt adders'!H52</f>
        <v>0</v>
      </c>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row>
    <row r="87" spans="2:43" x14ac:dyDescent="0.25">
      <c r="E87" t="s">
        <v>844</v>
      </c>
      <c r="G87" s="61" t="s">
        <v>275</v>
      </c>
      <c r="H87" s="170">
        <f>'SoLR &amp; bad debt adders'!H56</f>
        <v>0</v>
      </c>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row>
    <row r="88" spans="2:43" x14ac:dyDescent="0.25">
      <c r="E88" t="s">
        <v>958</v>
      </c>
      <c r="G88" s="61" t="s">
        <v>275</v>
      </c>
      <c r="H88" s="170">
        <f>'Revenue matching'!H84</f>
        <v>26980735.423591256</v>
      </c>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row>
    <row r="89" spans="2:43" x14ac:dyDescent="0.2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25">
      <c r="B90" s="85" t="s">
        <v>718</v>
      </c>
      <c r="C90" s="85"/>
      <c r="D90" s="85"/>
      <c r="E90" s="85"/>
      <c r="F90" s="85"/>
      <c r="G90" s="85"/>
      <c r="H90" s="247"/>
      <c r="I90" s="85"/>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85"/>
      <c r="AQ90" s="85"/>
    </row>
    <row r="91" spans="2:43" x14ac:dyDescent="0.2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2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25">
      <c r="F93" s="3"/>
      <c r="G93" s="353"/>
      <c r="H93" s="173"/>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25">
      <c r="E94" s="75" t="s">
        <v>719</v>
      </c>
      <c r="G94" s="61"/>
      <c r="H94" s="354" t="s">
        <v>500</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25">
      <c r="E95" s="94"/>
      <c r="F95" s="95" t="s">
        <v>154</v>
      </c>
      <c r="G95" s="143" t="s">
        <v>275</v>
      </c>
      <c r="H95" s="147">
        <f t="shared" ref="H95:H101" si="0">SUM(J95:AO95)</f>
        <v>112411846.19398183</v>
      </c>
      <c r="I95" s="95"/>
      <c r="J95" s="147">
        <f t="shared" ref="J95:AO95" si="1">J22 * thousand * J55 / hundred</f>
        <v>65173131.322005585</v>
      </c>
      <c r="K95" s="147">
        <f t="shared" si="1"/>
        <v>80366.596382016956</v>
      </c>
      <c r="L95" s="147">
        <f t="shared" si="1"/>
        <v>986.97745975466137</v>
      </c>
      <c r="M95" s="147">
        <f t="shared" si="1"/>
        <v>1571853.376148782</v>
      </c>
      <c r="N95" s="147">
        <f t="shared" si="1"/>
        <v>3738982.5217258926</v>
      </c>
      <c r="O95" s="147">
        <f t="shared" si="1"/>
        <v>3657905.4891492943</v>
      </c>
      <c r="P95" s="147">
        <f t="shared" si="1"/>
        <v>11338954.812546801</v>
      </c>
      <c r="Q95" s="147">
        <f t="shared" si="1"/>
        <v>25393.043835940956</v>
      </c>
      <c r="R95" s="147">
        <f t="shared" si="1"/>
        <v>1146.0082462386226</v>
      </c>
      <c r="S95" s="147">
        <f t="shared" si="1"/>
        <v>4442972.3545311345</v>
      </c>
      <c r="T95" s="147">
        <f t="shared" si="1"/>
        <v>5121342.4154296601</v>
      </c>
      <c r="U95" s="147">
        <f t="shared" si="1"/>
        <v>3138565.0650978554</v>
      </c>
      <c r="V95" s="147">
        <f t="shared" si="1"/>
        <v>5313321.8581155865</v>
      </c>
      <c r="W95" s="147">
        <f t="shared" si="1"/>
        <v>118.92786678831193</v>
      </c>
      <c r="X95" s="147">
        <f t="shared" si="1"/>
        <v>9406.6558801101328</v>
      </c>
      <c r="Y95" s="147">
        <f t="shared" si="1"/>
        <v>57291.619133051674</v>
      </c>
      <c r="Z95" s="147">
        <f t="shared" si="1"/>
        <v>177197.63539558213</v>
      </c>
      <c r="AA95" s="147">
        <f t="shared" si="1"/>
        <v>3151575.3949565161</v>
      </c>
      <c r="AB95" s="147">
        <f t="shared" si="1"/>
        <v>8249.1744239652362</v>
      </c>
      <c r="AC95" s="147">
        <f t="shared" si="1"/>
        <v>434811.1488445109</v>
      </c>
      <c r="AD95" s="147">
        <f t="shared" si="1"/>
        <v>1565747.4156512034</v>
      </c>
      <c r="AE95" s="147">
        <f t="shared" si="1"/>
        <v>1398339.891146017</v>
      </c>
      <c r="AF95" s="147">
        <f t="shared" si="1"/>
        <v>5235561.610718566</v>
      </c>
      <c r="AG95" s="147">
        <f t="shared" si="1"/>
        <v>1988104.2820032188</v>
      </c>
      <c r="AH95" s="147">
        <f t="shared" si="1"/>
        <v>-510508.5752222343</v>
      </c>
      <c r="AI95" s="147">
        <f t="shared" si="1"/>
        <v>0</v>
      </c>
      <c r="AJ95" s="147">
        <f t="shared" si="1"/>
        <v>-326863.83921599988</v>
      </c>
      <c r="AK95" s="147">
        <f t="shared" si="1"/>
        <v>0</v>
      </c>
      <c r="AL95" s="147">
        <f t="shared" si="1"/>
        <v>-15340.601849999999</v>
      </c>
      <c r="AM95" s="147">
        <f t="shared" si="1"/>
        <v>0</v>
      </c>
      <c r="AN95" s="147">
        <f t="shared" si="1"/>
        <v>-4366766.3864239994</v>
      </c>
      <c r="AO95" s="147">
        <f t="shared" si="1"/>
        <v>0</v>
      </c>
    </row>
    <row r="96" spans="2:43" x14ac:dyDescent="0.25">
      <c r="E96" s="94"/>
      <c r="F96" t="s">
        <v>155</v>
      </c>
      <c r="G96" s="61" t="s">
        <v>275</v>
      </c>
      <c r="H96" s="168">
        <f t="shared" si="0"/>
        <v>48135975.744098395</v>
      </c>
      <c r="J96" s="168">
        <f t="shared" ref="J96:AO96" si="2">J23 * thousand * J56 / hundred</f>
        <v>24349749.879446033</v>
      </c>
      <c r="K96" s="168">
        <f t="shared" si="2"/>
        <v>69469.526719068119</v>
      </c>
      <c r="L96" s="168">
        <f t="shared" si="2"/>
        <v>491.95211057230182</v>
      </c>
      <c r="M96" s="168">
        <f t="shared" si="2"/>
        <v>884295.87931554543</v>
      </c>
      <c r="N96" s="168">
        <f t="shared" si="2"/>
        <v>2113163.0657580192</v>
      </c>
      <c r="O96" s="168">
        <f t="shared" si="2"/>
        <v>2049308.682852085</v>
      </c>
      <c r="P96" s="168">
        <f t="shared" si="2"/>
        <v>6074697.0586707452</v>
      </c>
      <c r="Q96" s="168">
        <f t="shared" si="2"/>
        <v>12558.998292403534</v>
      </c>
      <c r="R96" s="168">
        <f t="shared" si="2"/>
        <v>508.52875469482501</v>
      </c>
      <c r="S96" s="168">
        <f t="shared" si="2"/>
        <v>2309074.208539912</v>
      </c>
      <c r="T96" s="168">
        <f t="shared" si="2"/>
        <v>2513646.3062527655</v>
      </c>
      <c r="U96" s="168">
        <f t="shared" si="2"/>
        <v>1595972.705304543</v>
      </c>
      <c r="V96" s="168">
        <f t="shared" si="2"/>
        <v>2821330.0947217881</v>
      </c>
      <c r="W96" s="168">
        <f t="shared" si="2"/>
        <v>68.875834493212693</v>
      </c>
      <c r="X96" s="168">
        <f t="shared" si="2"/>
        <v>4073.4604023934448</v>
      </c>
      <c r="Y96" s="168">
        <f t="shared" si="2"/>
        <v>24789.048976115766</v>
      </c>
      <c r="Z96" s="168">
        <f t="shared" si="2"/>
        <v>76669.957370504591</v>
      </c>
      <c r="AA96" s="168">
        <f t="shared" si="2"/>
        <v>1404049.2264201054</v>
      </c>
      <c r="AB96" s="168">
        <f t="shared" si="2"/>
        <v>4958.6784721050881</v>
      </c>
      <c r="AC96" s="168">
        <f t="shared" si="2"/>
        <v>192995.25418899753</v>
      </c>
      <c r="AD96" s="168">
        <f t="shared" si="2"/>
        <v>652274.69065603544</v>
      </c>
      <c r="AE96" s="168">
        <f t="shared" si="2"/>
        <v>574943.75826523232</v>
      </c>
      <c r="AF96" s="168">
        <f t="shared" si="2"/>
        <v>2081641.4695060255</v>
      </c>
      <c r="AG96" s="168">
        <f t="shared" si="2"/>
        <v>444313.05519475596</v>
      </c>
      <c r="AH96" s="168">
        <f t="shared" si="2"/>
        <v>-336320.0540695347</v>
      </c>
      <c r="AI96" s="168">
        <f t="shared" si="2"/>
        <v>0</v>
      </c>
      <c r="AJ96" s="168">
        <f t="shared" si="2"/>
        <v>-169355.50028000004</v>
      </c>
      <c r="AK96" s="168">
        <f t="shared" si="2"/>
        <v>0</v>
      </c>
      <c r="AL96" s="168">
        <f t="shared" si="2"/>
        <v>-9208.9136519999993</v>
      </c>
      <c r="AM96" s="168">
        <f t="shared" si="2"/>
        <v>0</v>
      </c>
      <c r="AN96" s="168">
        <f t="shared" si="2"/>
        <v>-1604184.149925</v>
      </c>
      <c r="AO96" s="168">
        <f t="shared" si="2"/>
        <v>0</v>
      </c>
    </row>
    <row r="97" spans="5:41" x14ac:dyDescent="0.25">
      <c r="E97" s="94"/>
      <c r="F97" t="s">
        <v>156</v>
      </c>
      <c r="G97" s="61" t="s">
        <v>275</v>
      </c>
      <c r="H97" s="168">
        <f t="shared" si="0"/>
        <v>9465626.1859823931</v>
      </c>
      <c r="J97" s="168">
        <f t="shared" ref="J97:AO97" si="3">J24 * thousand * J57 / hundred</f>
        <v>5146864.5098071629</v>
      </c>
      <c r="K97" s="168">
        <f t="shared" si="3"/>
        <v>42439.806772905438</v>
      </c>
      <c r="L97" s="168">
        <f t="shared" si="3"/>
        <v>108.9906952489698</v>
      </c>
      <c r="M97" s="168">
        <f t="shared" si="3"/>
        <v>129074.49403941246</v>
      </c>
      <c r="N97" s="168">
        <f t="shared" si="3"/>
        <v>307429.86240202381</v>
      </c>
      <c r="O97" s="168">
        <f t="shared" si="3"/>
        <v>311745.3695836562</v>
      </c>
      <c r="P97" s="168">
        <f t="shared" si="3"/>
        <v>973664.2162057719</v>
      </c>
      <c r="Q97" s="168">
        <f t="shared" si="3"/>
        <v>8747.2332674125828</v>
      </c>
      <c r="R97" s="168">
        <f t="shared" si="3"/>
        <v>126.14332456469758</v>
      </c>
      <c r="S97" s="168">
        <f t="shared" si="3"/>
        <v>371522.36469109124</v>
      </c>
      <c r="T97" s="168">
        <f t="shared" si="3"/>
        <v>419435.48815436638</v>
      </c>
      <c r="U97" s="168">
        <f t="shared" si="3"/>
        <v>266939.56043258333</v>
      </c>
      <c r="V97" s="168">
        <f t="shared" si="3"/>
        <v>460174.39631484769</v>
      </c>
      <c r="W97" s="168">
        <f t="shared" si="3"/>
        <v>10.566005140788542</v>
      </c>
      <c r="X97" s="168">
        <f t="shared" si="3"/>
        <v>901.91271811616923</v>
      </c>
      <c r="Y97" s="168">
        <f t="shared" si="3"/>
        <v>5149.1616401643441</v>
      </c>
      <c r="Z97" s="168">
        <f t="shared" si="3"/>
        <v>16426.639324391523</v>
      </c>
      <c r="AA97" s="168">
        <f t="shared" si="3"/>
        <v>285680.41972947429</v>
      </c>
      <c r="AB97" s="168">
        <f t="shared" si="3"/>
        <v>1457.6781491887007</v>
      </c>
      <c r="AC97" s="168">
        <f t="shared" si="3"/>
        <v>39269.448913043576</v>
      </c>
      <c r="AD97" s="168">
        <f t="shared" si="3"/>
        <v>138227.81431355391</v>
      </c>
      <c r="AE97" s="168">
        <f t="shared" si="3"/>
        <v>117693.50085865865</v>
      </c>
      <c r="AF97" s="168">
        <f t="shared" si="3"/>
        <v>477326.7886049595</v>
      </c>
      <c r="AG97" s="168">
        <f t="shared" si="3"/>
        <v>368500.88661142235</v>
      </c>
      <c r="AH97" s="168">
        <f t="shared" si="3"/>
        <v>-28116.660393766339</v>
      </c>
      <c r="AI97" s="168">
        <f t="shared" si="3"/>
        <v>0</v>
      </c>
      <c r="AJ97" s="168">
        <f t="shared" si="3"/>
        <v>-36237.820574999998</v>
      </c>
      <c r="AK97" s="168">
        <f t="shared" si="3"/>
        <v>0</v>
      </c>
      <c r="AL97" s="168">
        <f t="shared" si="3"/>
        <v>-1747.5482340000003</v>
      </c>
      <c r="AM97" s="168">
        <f t="shared" si="3"/>
        <v>0</v>
      </c>
      <c r="AN97" s="168">
        <f t="shared" si="3"/>
        <v>-357189.03737400001</v>
      </c>
      <c r="AO97" s="168">
        <f t="shared" si="3"/>
        <v>0</v>
      </c>
    </row>
    <row r="98" spans="5:41" x14ac:dyDescent="0.25">
      <c r="E98" s="94"/>
      <c r="F98" s="95" t="s">
        <v>157</v>
      </c>
      <c r="G98" s="143" t="s">
        <v>275</v>
      </c>
      <c r="H98" s="147">
        <f t="shared" si="0"/>
        <v>120345618.45475468</v>
      </c>
      <c r="I98" s="95"/>
      <c r="J98" s="147">
        <f t="shared" ref="J98:AO98" si="4" xml:space="preserve"> J25 * J58 * days_in_year / hundred</f>
        <v>97977679.708388329</v>
      </c>
      <c r="K98" s="147">
        <f t="shared" si="4"/>
        <v>0</v>
      </c>
      <c r="L98" s="147">
        <f t="shared" si="4"/>
        <v>534.74983995631305</v>
      </c>
      <c r="M98" s="147">
        <f t="shared" si="4"/>
        <v>2269631.7344812271</v>
      </c>
      <c r="N98" s="147">
        <f t="shared" si="4"/>
        <v>2346909.3778146221</v>
      </c>
      <c r="O98" s="147">
        <f t="shared" si="4"/>
        <v>1416765.8260993415</v>
      </c>
      <c r="P98" s="147">
        <f t="shared" si="4"/>
        <v>2813655.5398808611</v>
      </c>
      <c r="Q98" s="147">
        <f t="shared" si="4"/>
        <v>0</v>
      </c>
      <c r="R98" s="147">
        <f t="shared" si="4"/>
        <v>791.3889216247178</v>
      </c>
      <c r="S98" s="147">
        <f t="shared" si="4"/>
        <v>1450802.9724897442</v>
      </c>
      <c r="T98" s="147">
        <f t="shared" si="4"/>
        <v>1421294.7669886264</v>
      </c>
      <c r="U98" s="147">
        <f t="shared" si="4"/>
        <v>896538.30265910749</v>
      </c>
      <c r="V98" s="147">
        <f t="shared" si="4"/>
        <v>1843531.4114125655</v>
      </c>
      <c r="W98" s="147">
        <f t="shared" si="4"/>
        <v>62.901734503639389</v>
      </c>
      <c r="X98" s="147">
        <f t="shared" si="4"/>
        <v>2538.7964986449238</v>
      </c>
      <c r="Y98" s="147">
        <f t="shared" si="4"/>
        <v>16072.73369444797</v>
      </c>
      <c r="Z98" s="147">
        <f t="shared" si="4"/>
        <v>45784.955757548065</v>
      </c>
      <c r="AA98" s="147">
        <f t="shared" si="4"/>
        <v>1093418.3348073831</v>
      </c>
      <c r="AB98" s="147">
        <f t="shared" si="4"/>
        <v>91543.106843953559</v>
      </c>
      <c r="AC98" s="147">
        <f t="shared" si="4"/>
        <v>543204.32691124512</v>
      </c>
      <c r="AD98" s="147">
        <f t="shared" si="4"/>
        <v>1356346.0504483404</v>
      </c>
      <c r="AE98" s="147">
        <f t="shared" si="4"/>
        <v>1044644.7715050268</v>
      </c>
      <c r="AF98" s="147">
        <f t="shared" si="4"/>
        <v>3668487.5615776004</v>
      </c>
      <c r="AG98" s="147">
        <f t="shared" si="4"/>
        <v>0</v>
      </c>
      <c r="AH98" s="147">
        <f t="shared" si="4"/>
        <v>0</v>
      </c>
      <c r="AI98" s="147">
        <f t="shared" si="4"/>
        <v>0</v>
      </c>
      <c r="AJ98" s="147">
        <f t="shared" si="4"/>
        <v>0</v>
      </c>
      <c r="AK98" s="147">
        <f t="shared" si="4"/>
        <v>0</v>
      </c>
      <c r="AL98" s="147">
        <f t="shared" si="4"/>
        <v>0</v>
      </c>
      <c r="AM98" s="147">
        <f t="shared" si="4"/>
        <v>0</v>
      </c>
      <c r="AN98" s="147">
        <f t="shared" si="4"/>
        <v>45379.135999999999</v>
      </c>
      <c r="AO98" s="147">
        <f t="shared" si="4"/>
        <v>0</v>
      </c>
    </row>
    <row r="99" spans="5:41" x14ac:dyDescent="0.25">
      <c r="E99" s="94"/>
      <c r="F99" t="s">
        <v>158</v>
      </c>
      <c r="G99" s="61" t="s">
        <v>275</v>
      </c>
      <c r="H99" s="168">
        <f t="shared" si="0"/>
        <v>54659035.758499995</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16861.686000000002</v>
      </c>
      <c r="S99" s="168">
        <f t="shared" si="5"/>
        <v>5085288.4780000011</v>
      </c>
      <c r="T99" s="168">
        <f t="shared" si="5"/>
        <v>6760776.0099999998</v>
      </c>
      <c r="U99" s="168">
        <f t="shared" si="5"/>
        <v>4625042.4580000006</v>
      </c>
      <c r="V99" s="168">
        <f t="shared" si="5"/>
        <v>7931533.074000001</v>
      </c>
      <c r="W99" s="168">
        <f t="shared" si="5"/>
        <v>751.9</v>
      </c>
      <c r="X99" s="168">
        <f t="shared" si="5"/>
        <v>8740.8374999999996</v>
      </c>
      <c r="Y99" s="168">
        <f t="shared" si="5"/>
        <v>84964.7</v>
      </c>
      <c r="Z99" s="168">
        <f t="shared" si="5"/>
        <v>222562.40000000002</v>
      </c>
      <c r="AA99" s="168">
        <f t="shared" si="5"/>
        <v>5797938.4950000001</v>
      </c>
      <c r="AB99" s="168">
        <f t="shared" si="5"/>
        <v>373949.8</v>
      </c>
      <c r="AC99" s="168">
        <f t="shared" si="5"/>
        <v>1185152.0799999998</v>
      </c>
      <c r="AD99" s="168">
        <f t="shared" si="5"/>
        <v>4023757.08</v>
      </c>
      <c r="AE99" s="168">
        <f t="shared" si="5"/>
        <v>3847973.08</v>
      </c>
      <c r="AF99" s="168">
        <f t="shared" si="5"/>
        <v>14693743.68</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25">
      <c r="E100" s="94"/>
      <c r="F100" t="s">
        <v>159</v>
      </c>
      <c r="G100" s="61" t="s">
        <v>275</v>
      </c>
      <c r="H100" s="168">
        <f t="shared" si="0"/>
        <v>754333.4031</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1895.1484000000003</v>
      </c>
      <c r="S100" s="168">
        <f t="shared" si="6"/>
        <v>305469.99600000004</v>
      </c>
      <c r="T100" s="168">
        <f t="shared" si="6"/>
        <v>78095.041599999997</v>
      </c>
      <c r="U100" s="168">
        <f t="shared" si="6"/>
        <v>31635.108400000005</v>
      </c>
      <c r="V100" s="168">
        <f t="shared" si="6"/>
        <v>38376.385199999997</v>
      </c>
      <c r="W100" s="168">
        <f t="shared" si="6"/>
        <v>0</v>
      </c>
      <c r="X100" s="168">
        <f t="shared" si="6"/>
        <v>1964.9310000000003</v>
      </c>
      <c r="Y100" s="168">
        <f t="shared" si="6"/>
        <v>1254.54</v>
      </c>
      <c r="Z100" s="168">
        <f t="shared" si="6"/>
        <v>2439.4520000000002</v>
      </c>
      <c r="AA100" s="168">
        <f t="shared" si="6"/>
        <v>22666.128500000006</v>
      </c>
      <c r="AB100" s="168">
        <f t="shared" si="6"/>
        <v>38849.439999999995</v>
      </c>
      <c r="AC100" s="168">
        <f t="shared" si="6"/>
        <v>50754.367999999995</v>
      </c>
      <c r="AD100" s="168">
        <f t="shared" si="6"/>
        <v>61301.407999999996</v>
      </c>
      <c r="AE100" s="168">
        <f t="shared" si="6"/>
        <v>39452.671999999999</v>
      </c>
      <c r="AF100" s="168">
        <f t="shared" si="6"/>
        <v>80178.784</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25">
      <c r="E101" s="94"/>
      <c r="F101" s="95" t="s">
        <v>160</v>
      </c>
      <c r="G101" s="143" t="s">
        <v>275</v>
      </c>
      <c r="H101" s="147">
        <f t="shared" si="0"/>
        <v>437051.22674999997</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133.63391999999999</v>
      </c>
      <c r="S101" s="147">
        <f t="shared" si="7"/>
        <v>50354.473449999998</v>
      </c>
      <c r="T101" s="147">
        <f t="shared" si="7"/>
        <v>61190.834070000004</v>
      </c>
      <c r="U101" s="147">
        <f t="shared" si="7"/>
        <v>35698.39039</v>
      </c>
      <c r="V101" s="147">
        <f t="shared" si="7"/>
        <v>78470.89602</v>
      </c>
      <c r="W101" s="147">
        <f t="shared" si="7"/>
        <v>0.10526999999999999</v>
      </c>
      <c r="X101" s="147">
        <f t="shared" si="7"/>
        <v>99.534089999999992</v>
      </c>
      <c r="Y101" s="147">
        <f t="shared" si="7"/>
        <v>745.0836599999999</v>
      </c>
      <c r="Z101" s="147">
        <f t="shared" si="7"/>
        <v>1953.6328499999997</v>
      </c>
      <c r="AA101" s="147">
        <f t="shared" si="7"/>
        <v>35756.645039999996</v>
      </c>
      <c r="AB101" s="147">
        <f t="shared" si="7"/>
        <v>1722.4571700000001</v>
      </c>
      <c r="AC101" s="147">
        <f t="shared" si="7"/>
        <v>6568.01019</v>
      </c>
      <c r="AD101" s="147">
        <f t="shared" si="7"/>
        <v>18880.726409999999</v>
      </c>
      <c r="AE101" s="147">
        <f t="shared" si="7"/>
        <v>14902.40682</v>
      </c>
      <c r="AF101" s="147">
        <f t="shared" si="7"/>
        <v>105485.00382</v>
      </c>
      <c r="AG101" s="147">
        <f t="shared" si="7"/>
        <v>0</v>
      </c>
      <c r="AH101" s="147">
        <f t="shared" si="7"/>
        <v>0</v>
      </c>
      <c r="AI101" s="147">
        <f t="shared" si="7"/>
        <v>0</v>
      </c>
      <c r="AJ101" s="147">
        <f t="shared" si="7"/>
        <v>3219.0898999999999</v>
      </c>
      <c r="AK101" s="147">
        <f t="shared" si="7"/>
        <v>0</v>
      </c>
      <c r="AL101" s="147">
        <f t="shared" si="7"/>
        <v>548.10451999999998</v>
      </c>
      <c r="AM101" s="147">
        <f t="shared" si="7"/>
        <v>0</v>
      </c>
      <c r="AN101" s="147">
        <f t="shared" si="7"/>
        <v>21322.199160000004</v>
      </c>
      <c r="AO101" s="147">
        <f t="shared" si="7"/>
        <v>0</v>
      </c>
    </row>
    <row r="102" spans="5:41" x14ac:dyDescent="0.25">
      <c r="E102" s="94"/>
      <c r="F102" s="145" t="s">
        <v>99</v>
      </c>
      <c r="G102" s="355" t="s">
        <v>275</v>
      </c>
      <c r="H102" s="146">
        <f>SUM(H95:H101)</f>
        <v>346209486.96716732</v>
      </c>
      <c r="I102" s="356"/>
      <c r="J102" s="146">
        <f t="shared" ref="J102" si="8">SUM(J95:J101)</f>
        <v>192647425.4196471</v>
      </c>
      <c r="K102" s="146">
        <f t="shared" ref="K102:AO102" si="9">SUM(K95:K101)</f>
        <v>192275.92987399051</v>
      </c>
      <c r="L102" s="146">
        <f t="shared" si="9"/>
        <v>2122.670105532246</v>
      </c>
      <c r="M102" s="146">
        <f t="shared" si="9"/>
        <v>4854855.4839849677</v>
      </c>
      <c r="N102" s="146">
        <f t="shared" si="9"/>
        <v>8506484.8277005572</v>
      </c>
      <c r="O102" s="146">
        <f t="shared" si="9"/>
        <v>7435725.3676843774</v>
      </c>
      <c r="P102" s="146">
        <f t="shared" si="9"/>
        <v>21200971.627304178</v>
      </c>
      <c r="Q102" s="146">
        <f t="shared" si="9"/>
        <v>46699.275395757068</v>
      </c>
      <c r="R102" s="146">
        <f t="shared" si="9"/>
        <v>21462.537567122865</v>
      </c>
      <c r="S102" s="146">
        <f t="shared" si="9"/>
        <v>14015484.847701883</v>
      </c>
      <c r="T102" s="146">
        <f t="shared" si="9"/>
        <v>16375780.862495419</v>
      </c>
      <c r="U102" s="146">
        <f t="shared" si="9"/>
        <v>10590391.590284089</v>
      </c>
      <c r="V102" s="146">
        <f t="shared" si="9"/>
        <v>18486738.11578479</v>
      </c>
      <c r="W102" s="146">
        <f t="shared" si="9"/>
        <v>1013.2767109259526</v>
      </c>
      <c r="X102" s="146">
        <f t="shared" si="9"/>
        <v>27726.128089264672</v>
      </c>
      <c r="Y102" s="146">
        <f t="shared" si="9"/>
        <v>190266.88710377977</v>
      </c>
      <c r="Z102" s="146">
        <f t="shared" si="9"/>
        <v>543034.67269802641</v>
      </c>
      <c r="AA102" s="146">
        <f t="shared" si="9"/>
        <v>11791084.644453479</v>
      </c>
      <c r="AB102" s="146">
        <f t="shared" si="9"/>
        <v>520730.33505921258</v>
      </c>
      <c r="AC102" s="146">
        <f t="shared" si="9"/>
        <v>2452754.6370477965</v>
      </c>
      <c r="AD102" s="146">
        <f t="shared" si="9"/>
        <v>7816535.1854791325</v>
      </c>
      <c r="AE102" s="146">
        <f t="shared" si="9"/>
        <v>7037950.0805949355</v>
      </c>
      <c r="AF102" s="146">
        <f t="shared" si="9"/>
        <v>26342424.898227151</v>
      </c>
      <c r="AG102" s="146">
        <f t="shared" si="9"/>
        <v>2800918.2238093973</v>
      </c>
      <c r="AH102" s="146">
        <f t="shared" si="9"/>
        <v>-874945.28968553536</v>
      </c>
      <c r="AI102" s="146">
        <f t="shared" si="9"/>
        <v>0</v>
      </c>
      <c r="AJ102" s="146">
        <f t="shared" si="9"/>
        <v>-529238.07017099985</v>
      </c>
      <c r="AK102" s="146">
        <f t="shared" si="9"/>
        <v>0</v>
      </c>
      <c r="AL102" s="146">
        <f t="shared" si="9"/>
        <v>-25748.959215999999</v>
      </c>
      <c r="AM102" s="146">
        <f t="shared" si="9"/>
        <v>0</v>
      </c>
      <c r="AN102" s="146">
        <f t="shared" si="9"/>
        <v>-6261438.2385629993</v>
      </c>
      <c r="AO102" s="146">
        <f t="shared" si="9"/>
        <v>0</v>
      </c>
    </row>
    <row r="103" spans="5:41" x14ac:dyDescent="0.2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25">
      <c r="E104" s="75" t="s">
        <v>720</v>
      </c>
      <c r="G104" s="61"/>
      <c r="H104" s="354" t="s">
        <v>500</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25">
      <c r="E105" s="94"/>
      <c r="F105" s="95" t="s">
        <v>154</v>
      </c>
      <c r="G105" s="143" t="s">
        <v>275</v>
      </c>
      <c r="H105" s="147">
        <f t="shared" ref="H105:H111" si="10">SUM(J105:AO105)</f>
        <v>1239739.9243378649</v>
      </c>
      <c r="I105" s="95"/>
      <c r="J105" s="147">
        <f t="shared" ref="J105:AO105" si="11">J33 * thousand * J64 / hundred</f>
        <v>1069414.9667539378</v>
      </c>
      <c r="K105" s="147">
        <f t="shared" si="11"/>
        <v>0</v>
      </c>
      <c r="L105" s="147">
        <f t="shared" si="11"/>
        <v>0</v>
      </c>
      <c r="M105" s="147">
        <f t="shared" si="11"/>
        <v>24894.785916816494</v>
      </c>
      <c r="N105" s="147">
        <f t="shared" si="11"/>
        <v>7098.0423947003846</v>
      </c>
      <c r="O105" s="147">
        <f t="shared" si="11"/>
        <v>8939.7086599108752</v>
      </c>
      <c r="P105" s="147">
        <f t="shared" si="11"/>
        <v>4650.2324163778258</v>
      </c>
      <c r="Q105" s="147">
        <f t="shared" si="11"/>
        <v>0</v>
      </c>
      <c r="R105" s="147">
        <f t="shared" si="11"/>
        <v>0</v>
      </c>
      <c r="S105" s="147">
        <f t="shared" si="11"/>
        <v>3476.3119445804678</v>
      </c>
      <c r="T105" s="147">
        <f t="shared" si="11"/>
        <v>36244.519027802417</v>
      </c>
      <c r="U105" s="147">
        <f t="shared" si="11"/>
        <v>61842.964212851708</v>
      </c>
      <c r="V105" s="147">
        <f t="shared" si="11"/>
        <v>32774.803915546785</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2770.5907753402594</v>
      </c>
      <c r="AH105" s="147">
        <f t="shared" si="11"/>
        <v>-12367.001680000001</v>
      </c>
      <c r="AI105" s="147">
        <f t="shared" si="11"/>
        <v>0</v>
      </c>
      <c r="AJ105" s="147">
        <f t="shared" si="11"/>
        <v>0</v>
      </c>
      <c r="AK105" s="147">
        <f t="shared" si="11"/>
        <v>0</v>
      </c>
      <c r="AL105" s="147">
        <f t="shared" si="11"/>
        <v>0</v>
      </c>
      <c r="AM105" s="147">
        <f t="shared" si="11"/>
        <v>0</v>
      </c>
      <c r="AN105" s="147">
        <f t="shared" si="11"/>
        <v>0</v>
      </c>
      <c r="AO105" s="147">
        <f t="shared" si="11"/>
        <v>0</v>
      </c>
    </row>
    <row r="106" spans="5:41" x14ac:dyDescent="0.25">
      <c r="E106" s="94"/>
      <c r="F106" t="s">
        <v>155</v>
      </c>
      <c r="G106" s="61" t="s">
        <v>275</v>
      </c>
      <c r="H106" s="168">
        <f t="shared" si="10"/>
        <v>476730.27302850457</v>
      </c>
      <c r="J106" s="168">
        <f t="shared" ref="J106:AO106" si="12">J34 * thousand * J65 / hundred</f>
        <v>397646.47553887049</v>
      </c>
      <c r="K106" s="168">
        <f t="shared" si="12"/>
        <v>0</v>
      </c>
      <c r="L106" s="168">
        <f t="shared" si="12"/>
        <v>0</v>
      </c>
      <c r="M106" s="168">
        <f t="shared" si="12"/>
        <v>14154.74823401174</v>
      </c>
      <c r="N106" s="168">
        <f t="shared" si="12"/>
        <v>4011.1443814060972</v>
      </c>
      <c r="O106" s="168">
        <f t="shared" si="12"/>
        <v>5031.4296506140536</v>
      </c>
      <c r="P106" s="168">
        <f t="shared" si="12"/>
        <v>2573.5330878892237</v>
      </c>
      <c r="Q106" s="168">
        <f t="shared" si="12"/>
        <v>0</v>
      </c>
      <c r="R106" s="168">
        <f t="shared" si="12"/>
        <v>0</v>
      </c>
      <c r="S106" s="168">
        <f t="shared" si="12"/>
        <v>1666.6267720547328</v>
      </c>
      <c r="T106" s="168">
        <f t="shared" si="12"/>
        <v>14098.027317237893</v>
      </c>
      <c r="U106" s="168">
        <f t="shared" si="12"/>
        <v>27043.127792599695</v>
      </c>
      <c r="V106" s="168">
        <f t="shared" si="12"/>
        <v>17476.955329832275</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1302.1513339884432</v>
      </c>
      <c r="AH106" s="168">
        <f t="shared" si="12"/>
        <v>-8273.9464100000005</v>
      </c>
      <c r="AI106" s="168">
        <f t="shared" si="12"/>
        <v>0</v>
      </c>
      <c r="AJ106" s="168">
        <f t="shared" si="12"/>
        <v>0</v>
      </c>
      <c r="AK106" s="168">
        <f t="shared" si="12"/>
        <v>0</v>
      </c>
      <c r="AL106" s="168">
        <f t="shared" si="12"/>
        <v>0</v>
      </c>
      <c r="AM106" s="168">
        <f t="shared" si="12"/>
        <v>0</v>
      </c>
      <c r="AN106" s="168">
        <f t="shared" si="12"/>
        <v>0</v>
      </c>
      <c r="AO106" s="168">
        <f t="shared" si="12"/>
        <v>0</v>
      </c>
    </row>
    <row r="107" spans="5:41" x14ac:dyDescent="0.25">
      <c r="E107" s="94"/>
      <c r="F107" t="s">
        <v>156</v>
      </c>
      <c r="G107" s="61" t="s">
        <v>275</v>
      </c>
      <c r="H107" s="168">
        <f t="shared" si="10"/>
        <v>93548.953794520014</v>
      </c>
      <c r="J107" s="168">
        <f t="shared" ref="J107:AO107" si="13">J35 * thousand * J66 / hundred</f>
        <v>79603.783197117358</v>
      </c>
      <c r="K107" s="168">
        <f t="shared" si="13"/>
        <v>0</v>
      </c>
      <c r="L107" s="168">
        <f t="shared" si="13"/>
        <v>0</v>
      </c>
      <c r="M107" s="168">
        <f t="shared" si="13"/>
        <v>1954.3745881130442</v>
      </c>
      <c r="N107" s="168">
        <f t="shared" si="13"/>
        <v>559.98032087067634</v>
      </c>
      <c r="O107" s="168">
        <f t="shared" si="13"/>
        <v>723.99874708085542</v>
      </c>
      <c r="P107" s="168">
        <f t="shared" si="13"/>
        <v>370.5607331089879</v>
      </c>
      <c r="Q107" s="168">
        <f t="shared" si="13"/>
        <v>0</v>
      </c>
      <c r="R107" s="168">
        <f t="shared" si="13"/>
        <v>0</v>
      </c>
      <c r="S107" s="168">
        <f t="shared" si="13"/>
        <v>343.84853150629272</v>
      </c>
      <c r="T107" s="168">
        <f t="shared" si="13"/>
        <v>2535.1361830535493</v>
      </c>
      <c r="U107" s="168">
        <f t="shared" si="13"/>
        <v>4697.3527949624877</v>
      </c>
      <c r="V107" s="168">
        <f t="shared" si="13"/>
        <v>2880.6357680081837</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555.41663069859851</v>
      </c>
      <c r="AH107" s="168">
        <f t="shared" si="13"/>
        <v>-676.13370000000009</v>
      </c>
      <c r="AI107" s="168">
        <f t="shared" si="13"/>
        <v>0</v>
      </c>
      <c r="AJ107" s="168">
        <f t="shared" si="13"/>
        <v>0</v>
      </c>
      <c r="AK107" s="168">
        <f t="shared" si="13"/>
        <v>0</v>
      </c>
      <c r="AL107" s="168">
        <f t="shared" si="13"/>
        <v>0</v>
      </c>
      <c r="AM107" s="168">
        <f t="shared" si="13"/>
        <v>0</v>
      </c>
      <c r="AN107" s="168">
        <f t="shared" si="13"/>
        <v>0</v>
      </c>
      <c r="AO107" s="168">
        <f t="shared" si="13"/>
        <v>0</v>
      </c>
    </row>
    <row r="108" spans="5:41" x14ac:dyDescent="0.25">
      <c r="E108" s="94"/>
      <c r="F108" s="95" t="s">
        <v>157</v>
      </c>
      <c r="G108" s="143" t="s">
        <v>275</v>
      </c>
      <c r="H108" s="147">
        <f t="shared" si="10"/>
        <v>1650321.9353340059</v>
      </c>
      <c r="I108" s="95"/>
      <c r="J108" s="147">
        <f t="shared" ref="J108:AO108" si="14" xml:space="preserve"> J36 * J67 * days_in_year / hundred</f>
        <v>1552366.9357111966</v>
      </c>
      <c r="K108" s="147">
        <f t="shared" si="14"/>
        <v>0</v>
      </c>
      <c r="L108" s="147">
        <f t="shared" si="14"/>
        <v>0</v>
      </c>
      <c r="M108" s="147">
        <f t="shared" si="14"/>
        <v>11740.272786611358</v>
      </c>
      <c r="N108" s="147">
        <f t="shared" si="14"/>
        <v>3255.0748717041274</v>
      </c>
      <c r="O108" s="147">
        <f t="shared" si="14"/>
        <v>5470.0735195263733</v>
      </c>
      <c r="P108" s="147">
        <f t="shared" si="14"/>
        <v>5132.1724773904189</v>
      </c>
      <c r="Q108" s="147">
        <f t="shared" si="14"/>
        <v>0</v>
      </c>
      <c r="R108" s="147">
        <f t="shared" si="14"/>
        <v>0</v>
      </c>
      <c r="S108" s="147">
        <f t="shared" si="14"/>
        <v>2443.020063573912</v>
      </c>
      <c r="T108" s="147">
        <f t="shared" si="14"/>
        <v>19274.77859937937</v>
      </c>
      <c r="U108" s="147">
        <f t="shared" si="14"/>
        <v>26756.553741744574</v>
      </c>
      <c r="V108" s="147">
        <f t="shared" si="14"/>
        <v>23883.053562879209</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25">
      <c r="E109" s="94"/>
      <c r="F109" t="s">
        <v>158</v>
      </c>
      <c r="G109" s="61" t="s">
        <v>275</v>
      </c>
      <c r="H109" s="168">
        <f t="shared" si="10"/>
        <v>257164.36350000001</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8794.9669999999987</v>
      </c>
      <c r="T109" s="168">
        <f t="shared" si="15"/>
        <v>70725.210500000001</v>
      </c>
      <c r="U109" s="168">
        <f t="shared" si="15"/>
        <v>105185.91900000001</v>
      </c>
      <c r="V109" s="168">
        <f t="shared" si="15"/>
        <v>72458.266999999993</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25">
      <c r="E110" s="94"/>
      <c r="F110" t="s">
        <v>159</v>
      </c>
      <c r="G110" s="61" t="s">
        <v>275</v>
      </c>
      <c r="H110" s="168">
        <f t="shared" si="10"/>
        <v>233.81970000000001</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191.76510000000002</v>
      </c>
      <c r="T110" s="168">
        <f t="shared" si="16"/>
        <v>0</v>
      </c>
      <c r="U110" s="168">
        <f t="shared" si="16"/>
        <v>42.054600000000001</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25">
      <c r="E111" s="94"/>
      <c r="F111" s="95" t="s">
        <v>160</v>
      </c>
      <c r="G111" s="143" t="s">
        <v>275</v>
      </c>
      <c r="H111" s="147">
        <f t="shared" si="10"/>
        <v>1216.818816</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9.9561600000000006</v>
      </c>
      <c r="T111" s="147">
        <f t="shared" si="17"/>
        <v>365.84544</v>
      </c>
      <c r="U111" s="147">
        <f t="shared" si="17"/>
        <v>496.08729600000004</v>
      </c>
      <c r="V111" s="147">
        <f t="shared" si="17"/>
        <v>344.92991999999998</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0</v>
      </c>
      <c r="AK111" s="147">
        <f t="shared" si="17"/>
        <v>0</v>
      </c>
      <c r="AL111" s="147">
        <f t="shared" si="17"/>
        <v>0</v>
      </c>
      <c r="AM111" s="147">
        <f t="shared" si="17"/>
        <v>0</v>
      </c>
      <c r="AN111" s="147">
        <f t="shared" si="17"/>
        <v>0</v>
      </c>
      <c r="AO111" s="147">
        <f t="shared" si="17"/>
        <v>0</v>
      </c>
    </row>
    <row r="112" spans="5:41" x14ac:dyDescent="0.25">
      <c r="E112" s="94"/>
      <c r="F112" s="145" t="s">
        <v>99</v>
      </c>
      <c r="G112" s="355" t="s">
        <v>275</v>
      </c>
      <c r="H112" s="146">
        <f>SUM(H105:H111)</f>
        <v>3718956.0885108956</v>
      </c>
      <c r="I112" s="145"/>
      <c r="J112" s="146">
        <f t="shared" ref="J112" si="18">SUM(J105:J111)</f>
        <v>3099032.1612011222</v>
      </c>
      <c r="K112" s="146">
        <f t="shared" ref="K112:AO112" si="19">SUM(K105:K111)</f>
        <v>0</v>
      </c>
      <c r="L112" s="146">
        <f t="shared" si="19"/>
        <v>0</v>
      </c>
      <c r="M112" s="146">
        <f t="shared" si="19"/>
        <v>52744.181525552638</v>
      </c>
      <c r="N112" s="146">
        <f t="shared" si="19"/>
        <v>14924.241968681286</v>
      </c>
      <c r="O112" s="146">
        <f t="shared" si="19"/>
        <v>20165.210577132159</v>
      </c>
      <c r="P112" s="146">
        <f t="shared" si="19"/>
        <v>12726.498714766456</v>
      </c>
      <c r="Q112" s="146">
        <f t="shared" si="19"/>
        <v>0</v>
      </c>
      <c r="R112" s="146">
        <f t="shared" si="19"/>
        <v>0</v>
      </c>
      <c r="S112" s="146">
        <f t="shared" si="19"/>
        <v>16926.495571715404</v>
      </c>
      <c r="T112" s="146">
        <f t="shared" si="19"/>
        <v>143243.51706747324</v>
      </c>
      <c r="U112" s="146">
        <f t="shared" si="19"/>
        <v>226064.05943815847</v>
      </c>
      <c r="V112" s="146">
        <f t="shared" si="19"/>
        <v>149818.64549626646</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4628.1587400273011</v>
      </c>
      <c r="AH112" s="146">
        <f t="shared" si="19"/>
        <v>-21317.08179</v>
      </c>
      <c r="AI112" s="146">
        <f t="shared" si="19"/>
        <v>0</v>
      </c>
      <c r="AJ112" s="146">
        <f t="shared" si="19"/>
        <v>0</v>
      </c>
      <c r="AK112" s="146">
        <f t="shared" si="19"/>
        <v>0</v>
      </c>
      <c r="AL112" s="146">
        <f t="shared" si="19"/>
        <v>0</v>
      </c>
      <c r="AM112" s="146">
        <f t="shared" si="19"/>
        <v>0</v>
      </c>
      <c r="AN112" s="146">
        <f t="shared" si="19"/>
        <v>0</v>
      </c>
      <c r="AO112" s="146">
        <f t="shared" si="19"/>
        <v>0</v>
      </c>
    </row>
    <row r="113" spans="3:43" x14ac:dyDescent="0.2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25">
      <c r="E114" s="75" t="s">
        <v>721</v>
      </c>
      <c r="G114" s="61"/>
      <c r="H114" s="354" t="s">
        <v>500</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25">
      <c r="C115" s="105"/>
      <c r="F115" s="95" t="s">
        <v>154</v>
      </c>
      <c r="G115" s="143" t="s">
        <v>275</v>
      </c>
      <c r="H115" s="147">
        <f t="shared" ref="H115:H121" si="20">SUM(J115:AO115)</f>
        <v>2197292.8929742496</v>
      </c>
      <c r="I115" s="95"/>
      <c r="J115" s="147">
        <f t="shared" ref="J115:AO115" si="21">J44 * thousand * J73 / hundred</f>
        <v>1417347.0343097015</v>
      </c>
      <c r="K115" s="147">
        <f t="shared" si="21"/>
        <v>0</v>
      </c>
      <c r="L115" s="147">
        <f t="shared" si="21"/>
        <v>0</v>
      </c>
      <c r="M115" s="147">
        <f t="shared" si="21"/>
        <v>32712.495483684015</v>
      </c>
      <c r="N115" s="147">
        <f t="shared" si="21"/>
        <v>3240.5460500088452</v>
      </c>
      <c r="O115" s="147">
        <f t="shared" si="21"/>
        <v>1282.546140593372</v>
      </c>
      <c r="P115" s="147">
        <f t="shared" si="21"/>
        <v>7645.617995516056</v>
      </c>
      <c r="Q115" s="147">
        <f t="shared" si="21"/>
        <v>0</v>
      </c>
      <c r="R115" s="147">
        <f t="shared" si="21"/>
        <v>0</v>
      </c>
      <c r="S115" s="147">
        <f t="shared" si="21"/>
        <v>11997.644581924193</v>
      </c>
      <c r="T115" s="147">
        <f t="shared" si="21"/>
        <v>67598.755431576588</v>
      </c>
      <c r="U115" s="147">
        <f t="shared" si="21"/>
        <v>81500.627193145236</v>
      </c>
      <c r="V115" s="147">
        <f t="shared" si="21"/>
        <v>261673.44745885674</v>
      </c>
      <c r="W115" s="147">
        <f t="shared" si="21"/>
        <v>0</v>
      </c>
      <c r="X115" s="147">
        <f t="shared" si="21"/>
        <v>685.89543734458789</v>
      </c>
      <c r="Y115" s="147">
        <f t="shared" si="21"/>
        <v>722.78626463737442</v>
      </c>
      <c r="Z115" s="147">
        <f t="shared" si="21"/>
        <v>10646.943737124964</v>
      </c>
      <c r="AA115" s="147">
        <f t="shared" si="21"/>
        <v>102680.74920715114</v>
      </c>
      <c r="AB115" s="147">
        <f t="shared" si="21"/>
        <v>0</v>
      </c>
      <c r="AC115" s="147">
        <f t="shared" si="21"/>
        <v>1985.4945295788368</v>
      </c>
      <c r="AD115" s="147">
        <f t="shared" si="21"/>
        <v>21105.516437912407</v>
      </c>
      <c r="AE115" s="147">
        <f t="shared" si="21"/>
        <v>25920.77808905828</v>
      </c>
      <c r="AF115" s="147">
        <f t="shared" si="21"/>
        <v>167520.14309721932</v>
      </c>
      <c r="AG115" s="147">
        <f t="shared" si="21"/>
        <v>5400.7105292157767</v>
      </c>
      <c r="AH115" s="147">
        <f t="shared" si="21"/>
        <v>-17802.47</v>
      </c>
      <c r="AI115" s="147">
        <f t="shared" si="21"/>
        <v>0</v>
      </c>
      <c r="AJ115" s="147">
        <f t="shared" si="21"/>
        <v>-6561.2883999999995</v>
      </c>
      <c r="AK115" s="147">
        <f t="shared" si="21"/>
        <v>0</v>
      </c>
      <c r="AL115" s="147">
        <f t="shared" si="21"/>
        <v>-11.080599999999999</v>
      </c>
      <c r="AM115" s="147">
        <f t="shared" si="21"/>
        <v>0</v>
      </c>
      <c r="AN115" s="147">
        <f t="shared" si="21"/>
        <v>0</v>
      </c>
      <c r="AO115" s="147">
        <f t="shared" si="21"/>
        <v>0</v>
      </c>
    </row>
    <row r="116" spans="3:43" x14ac:dyDescent="0.25">
      <c r="C116" s="105"/>
      <c r="F116" t="s">
        <v>155</v>
      </c>
      <c r="G116" s="61" t="s">
        <v>275</v>
      </c>
      <c r="H116" s="168">
        <f t="shared" si="20"/>
        <v>869864.6063242947</v>
      </c>
      <c r="J116" s="168">
        <f t="shared" ref="J116:AO116" si="22">J45 * thousand * J74 / hundred</f>
        <v>533002.10099636856</v>
      </c>
      <c r="K116" s="168">
        <f t="shared" si="22"/>
        <v>0</v>
      </c>
      <c r="L116" s="168">
        <f t="shared" si="22"/>
        <v>0</v>
      </c>
      <c r="M116" s="168">
        <f t="shared" si="22"/>
        <v>18494.849821428896</v>
      </c>
      <c r="N116" s="168">
        <f t="shared" si="22"/>
        <v>1796.3417862065771</v>
      </c>
      <c r="O116" s="168">
        <f t="shared" si="22"/>
        <v>724.99893198710515</v>
      </c>
      <c r="P116" s="168">
        <f t="shared" si="22"/>
        <v>4311.9446737894978</v>
      </c>
      <c r="Q116" s="168">
        <f t="shared" si="22"/>
        <v>0</v>
      </c>
      <c r="R116" s="168">
        <f t="shared" si="22"/>
        <v>0</v>
      </c>
      <c r="S116" s="168">
        <f t="shared" si="22"/>
        <v>5940.0354812660034</v>
      </c>
      <c r="T116" s="168">
        <f t="shared" si="22"/>
        <v>29302.742638210351</v>
      </c>
      <c r="U116" s="168">
        <f t="shared" si="22"/>
        <v>34389.841909937699</v>
      </c>
      <c r="V116" s="168">
        <f t="shared" si="22"/>
        <v>123488.06045321334</v>
      </c>
      <c r="W116" s="168">
        <f t="shared" si="22"/>
        <v>0</v>
      </c>
      <c r="X116" s="168">
        <f t="shared" si="22"/>
        <v>337.12720262925131</v>
      </c>
      <c r="Y116" s="168">
        <f t="shared" si="22"/>
        <v>250.66840387027838</v>
      </c>
      <c r="Z116" s="168">
        <f t="shared" si="22"/>
        <v>4134.4892543042615</v>
      </c>
      <c r="AA116" s="168">
        <f t="shared" si="22"/>
        <v>44242.156346661148</v>
      </c>
      <c r="AB116" s="168">
        <f t="shared" si="22"/>
        <v>0</v>
      </c>
      <c r="AC116" s="168">
        <f t="shared" si="22"/>
        <v>744.62201492070812</v>
      </c>
      <c r="AD116" s="168">
        <f t="shared" si="22"/>
        <v>7103.6981840141098</v>
      </c>
      <c r="AE116" s="168">
        <f t="shared" si="22"/>
        <v>10182.159870253896</v>
      </c>
      <c r="AF116" s="168">
        <f t="shared" si="22"/>
        <v>63201.034542300251</v>
      </c>
      <c r="AG116" s="168">
        <f t="shared" si="22"/>
        <v>2712.9509329327425</v>
      </c>
      <c r="AH116" s="168">
        <f t="shared" si="22"/>
        <v>-11529.67771</v>
      </c>
      <c r="AI116" s="168">
        <f t="shared" si="22"/>
        <v>0</v>
      </c>
      <c r="AJ116" s="168">
        <f t="shared" si="22"/>
        <v>-2950.0651699999999</v>
      </c>
      <c r="AK116" s="168">
        <f t="shared" si="22"/>
        <v>0</v>
      </c>
      <c r="AL116" s="168">
        <f t="shared" si="22"/>
        <v>-15.47424</v>
      </c>
      <c r="AM116" s="168">
        <f t="shared" si="22"/>
        <v>0</v>
      </c>
      <c r="AN116" s="168">
        <f t="shared" si="22"/>
        <v>0</v>
      </c>
      <c r="AO116" s="168">
        <f t="shared" si="22"/>
        <v>0</v>
      </c>
    </row>
    <row r="117" spans="3:43" x14ac:dyDescent="0.25">
      <c r="C117" s="105"/>
      <c r="F117" t="s">
        <v>156</v>
      </c>
      <c r="G117" s="61" t="s">
        <v>275</v>
      </c>
      <c r="H117" s="168">
        <f t="shared" si="20"/>
        <v>176484.86916055699</v>
      </c>
      <c r="J117" s="168">
        <f t="shared" ref="J117:AO117" si="23">J46 * thousand * J75 / hundred</f>
        <v>112249.91543043456</v>
      </c>
      <c r="K117" s="168">
        <f t="shared" si="23"/>
        <v>0</v>
      </c>
      <c r="L117" s="168">
        <f t="shared" si="23"/>
        <v>0</v>
      </c>
      <c r="M117" s="168">
        <f t="shared" si="23"/>
        <v>2660.4001999944467</v>
      </c>
      <c r="N117" s="168">
        <f t="shared" si="23"/>
        <v>248.36588760266187</v>
      </c>
      <c r="O117" s="168">
        <f t="shared" si="23"/>
        <v>107.15307943130878</v>
      </c>
      <c r="P117" s="168">
        <f t="shared" si="23"/>
        <v>625.55537784807916</v>
      </c>
      <c r="Q117" s="168">
        <f t="shared" si="23"/>
        <v>0</v>
      </c>
      <c r="R117" s="168">
        <f t="shared" si="23"/>
        <v>0</v>
      </c>
      <c r="S117" s="168">
        <f t="shared" si="23"/>
        <v>1065.0080509094889</v>
      </c>
      <c r="T117" s="168">
        <f t="shared" si="23"/>
        <v>4479.9090597674103</v>
      </c>
      <c r="U117" s="168">
        <f t="shared" si="23"/>
        <v>6533.5097694623364</v>
      </c>
      <c r="V117" s="168">
        <f t="shared" si="23"/>
        <v>22228.589578099596</v>
      </c>
      <c r="W117" s="168">
        <f t="shared" si="23"/>
        <v>0</v>
      </c>
      <c r="X117" s="168">
        <f t="shared" si="23"/>
        <v>50.630015851659429</v>
      </c>
      <c r="Y117" s="168">
        <f t="shared" si="23"/>
        <v>64.798334474356395</v>
      </c>
      <c r="Z117" s="168">
        <f t="shared" si="23"/>
        <v>778.99628660985195</v>
      </c>
      <c r="AA117" s="168">
        <f t="shared" si="23"/>
        <v>6837.0722913227592</v>
      </c>
      <c r="AB117" s="168">
        <f t="shared" si="23"/>
        <v>0</v>
      </c>
      <c r="AC117" s="168">
        <f t="shared" si="23"/>
        <v>95.065745364520481</v>
      </c>
      <c r="AD117" s="168">
        <f t="shared" si="23"/>
        <v>1734.7903419757363</v>
      </c>
      <c r="AE117" s="168">
        <f t="shared" si="23"/>
        <v>1975.7306921248526</v>
      </c>
      <c r="AF117" s="168">
        <f t="shared" si="23"/>
        <v>15351.630272662534</v>
      </c>
      <c r="AG117" s="168">
        <f t="shared" si="23"/>
        <v>1189.8943866208369</v>
      </c>
      <c r="AH117" s="168">
        <f t="shared" si="23"/>
        <v>-957.495</v>
      </c>
      <c r="AI117" s="168">
        <f t="shared" si="23"/>
        <v>0</v>
      </c>
      <c r="AJ117" s="168">
        <f t="shared" si="23"/>
        <v>-832.73520000000008</v>
      </c>
      <c r="AK117" s="168">
        <f t="shared" si="23"/>
        <v>0</v>
      </c>
      <c r="AL117" s="168">
        <f t="shared" si="23"/>
        <v>-1.91544</v>
      </c>
      <c r="AM117" s="168">
        <f t="shared" si="23"/>
        <v>0</v>
      </c>
      <c r="AN117" s="168">
        <f t="shared" si="23"/>
        <v>0</v>
      </c>
      <c r="AO117" s="168">
        <f t="shared" si="23"/>
        <v>0</v>
      </c>
    </row>
    <row r="118" spans="3:43" x14ac:dyDescent="0.25">
      <c r="C118" s="105"/>
      <c r="F118" s="95" t="s">
        <v>157</v>
      </c>
      <c r="G118" s="143" t="s">
        <v>275</v>
      </c>
      <c r="H118" s="147">
        <f t="shared" si="20"/>
        <v>2436557.9902857118</v>
      </c>
      <c r="I118" s="95"/>
      <c r="J118" s="147">
        <f t="shared" ref="J118:AO118" si="24" xml:space="preserve"> J47 * J76 * days_in_year / hundred</f>
        <v>1987101.1055220542</v>
      </c>
      <c r="K118" s="147">
        <f t="shared" si="24"/>
        <v>0</v>
      </c>
      <c r="L118" s="147">
        <f t="shared" si="24"/>
        <v>0</v>
      </c>
      <c r="M118" s="147">
        <f t="shared" si="24"/>
        <v>13405.308209064993</v>
      </c>
      <c r="N118" s="147">
        <f t="shared" si="24"/>
        <v>1827.9686297819551</v>
      </c>
      <c r="O118" s="147">
        <f t="shared" si="24"/>
        <v>391.96371852136178</v>
      </c>
      <c r="P118" s="147">
        <f t="shared" si="24"/>
        <v>6233.1825413862198</v>
      </c>
      <c r="Q118" s="147">
        <f t="shared" si="24"/>
        <v>0</v>
      </c>
      <c r="R118" s="147">
        <f t="shared" si="24"/>
        <v>0</v>
      </c>
      <c r="S118" s="147">
        <f t="shared" si="24"/>
        <v>5679.6548804277663</v>
      </c>
      <c r="T118" s="147">
        <f t="shared" si="24"/>
        <v>22533.163304131209</v>
      </c>
      <c r="U118" s="147">
        <f t="shared" si="24"/>
        <v>22639.816930012141</v>
      </c>
      <c r="V118" s="147">
        <f t="shared" si="24"/>
        <v>101584.64451253449</v>
      </c>
      <c r="W118" s="147">
        <f t="shared" si="24"/>
        <v>0</v>
      </c>
      <c r="X118" s="147">
        <f t="shared" si="24"/>
        <v>168.59349999999998</v>
      </c>
      <c r="Y118" s="147">
        <f t="shared" si="24"/>
        <v>408.54393285044983</v>
      </c>
      <c r="Z118" s="147">
        <f t="shared" si="24"/>
        <v>4287.4291867776865</v>
      </c>
      <c r="AA118" s="147">
        <f t="shared" si="24"/>
        <v>56190.905244908361</v>
      </c>
      <c r="AB118" s="147">
        <f t="shared" si="24"/>
        <v>0</v>
      </c>
      <c r="AC118" s="147">
        <f t="shared" si="24"/>
        <v>15818.362795393581</v>
      </c>
      <c r="AD118" s="147">
        <f t="shared" si="24"/>
        <v>25455.286358725702</v>
      </c>
      <c r="AE118" s="147">
        <f t="shared" si="24"/>
        <v>32539.136357192812</v>
      </c>
      <c r="AF118" s="147">
        <f t="shared" si="24"/>
        <v>140292.92466194931</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25">
      <c r="C119" s="105"/>
      <c r="F119" t="s">
        <v>158</v>
      </c>
      <c r="G119" s="61" t="s">
        <v>275</v>
      </c>
      <c r="H119" s="168">
        <f t="shared" si="20"/>
        <v>1842395.7174999998</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45281.498499999994</v>
      </c>
      <c r="T119" s="168">
        <f t="shared" si="25"/>
        <v>105057.51199999999</v>
      </c>
      <c r="U119" s="168">
        <f t="shared" si="25"/>
        <v>91568.900499999989</v>
      </c>
      <c r="V119" s="168">
        <f t="shared" si="25"/>
        <v>502840.86299999995</v>
      </c>
      <c r="W119" s="168">
        <f t="shared" si="25"/>
        <v>0</v>
      </c>
      <c r="X119" s="168">
        <f t="shared" si="25"/>
        <v>0</v>
      </c>
      <c r="Y119" s="168">
        <f t="shared" si="25"/>
        <v>1905.3</v>
      </c>
      <c r="Z119" s="168">
        <f t="shared" si="25"/>
        <v>18938.682000000001</v>
      </c>
      <c r="AA119" s="168">
        <f t="shared" si="25"/>
        <v>313193.21399999998</v>
      </c>
      <c r="AB119" s="168">
        <f t="shared" si="25"/>
        <v>0</v>
      </c>
      <c r="AC119" s="168">
        <f t="shared" si="25"/>
        <v>25713.337500000005</v>
      </c>
      <c r="AD119" s="168">
        <f t="shared" si="25"/>
        <v>64597.335000000006</v>
      </c>
      <c r="AE119" s="168">
        <f t="shared" si="25"/>
        <v>87408.375000000015</v>
      </c>
      <c r="AF119" s="168">
        <f t="shared" si="25"/>
        <v>585890.69999999995</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25">
      <c r="C120" s="105"/>
      <c r="F120" t="s">
        <v>159</v>
      </c>
      <c r="G120" s="61" t="s">
        <v>275</v>
      </c>
      <c r="H120" s="168">
        <f t="shared" si="20"/>
        <v>3368.4290000000001</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48.456099999999999</v>
      </c>
      <c r="T120" s="168">
        <f t="shared" si="26"/>
        <v>2.6907999999999999</v>
      </c>
      <c r="U120" s="168">
        <f t="shared" si="26"/>
        <v>0</v>
      </c>
      <c r="V120" s="168">
        <f t="shared" si="26"/>
        <v>0</v>
      </c>
      <c r="W120" s="168">
        <f t="shared" si="26"/>
        <v>0</v>
      </c>
      <c r="X120" s="168">
        <f t="shared" si="26"/>
        <v>0</v>
      </c>
      <c r="Y120" s="168">
        <f t="shared" si="26"/>
        <v>0</v>
      </c>
      <c r="Z120" s="168">
        <f t="shared" si="26"/>
        <v>0</v>
      </c>
      <c r="AA120" s="168">
        <f t="shared" si="26"/>
        <v>822.04559999999992</v>
      </c>
      <c r="AB120" s="168">
        <f t="shared" si="26"/>
        <v>0</v>
      </c>
      <c r="AC120" s="168">
        <f t="shared" si="26"/>
        <v>0</v>
      </c>
      <c r="AD120" s="168">
        <f t="shared" si="26"/>
        <v>0</v>
      </c>
      <c r="AE120" s="168">
        <f t="shared" si="26"/>
        <v>0</v>
      </c>
      <c r="AF120" s="168">
        <f t="shared" si="26"/>
        <v>2495.2365</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25">
      <c r="C121" s="105"/>
      <c r="F121" s="95" t="s">
        <v>160</v>
      </c>
      <c r="G121" s="143" t="s">
        <v>275</v>
      </c>
      <c r="H121" s="147">
        <f t="shared" si="20"/>
        <v>6961.2660199999973</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86.47936</v>
      </c>
      <c r="T121" s="147">
        <f t="shared" si="27"/>
        <v>232.21632000000002</v>
      </c>
      <c r="U121" s="147">
        <f t="shared" si="27"/>
        <v>285.13407999999998</v>
      </c>
      <c r="V121" s="147">
        <f t="shared" si="27"/>
        <v>4269.3823999999995</v>
      </c>
      <c r="W121" s="147">
        <f t="shared" si="27"/>
        <v>0</v>
      </c>
      <c r="X121" s="147">
        <f t="shared" si="27"/>
        <v>13.25494</v>
      </c>
      <c r="Y121" s="147">
        <f t="shared" si="27"/>
        <v>2.87094</v>
      </c>
      <c r="Z121" s="147">
        <f t="shared" si="27"/>
        <v>10.736230000000001</v>
      </c>
      <c r="AA121" s="147">
        <f t="shared" si="27"/>
        <v>450.83846999999992</v>
      </c>
      <c r="AB121" s="147">
        <f t="shared" si="27"/>
        <v>0</v>
      </c>
      <c r="AC121" s="147">
        <f t="shared" si="27"/>
        <v>2.6852799999999997</v>
      </c>
      <c r="AD121" s="147">
        <f t="shared" si="27"/>
        <v>10.85084</v>
      </c>
      <c r="AE121" s="147">
        <f t="shared" si="27"/>
        <v>523.83083999999997</v>
      </c>
      <c r="AF121" s="147">
        <f t="shared" si="27"/>
        <v>230.76092</v>
      </c>
      <c r="AG121" s="147">
        <f t="shared" si="27"/>
        <v>0</v>
      </c>
      <c r="AH121" s="147">
        <f t="shared" si="27"/>
        <v>0</v>
      </c>
      <c r="AI121" s="147">
        <f t="shared" si="27"/>
        <v>0</v>
      </c>
      <c r="AJ121" s="147">
        <f t="shared" si="27"/>
        <v>840.87120000000004</v>
      </c>
      <c r="AK121" s="147">
        <f t="shared" si="27"/>
        <v>0</v>
      </c>
      <c r="AL121" s="147">
        <f t="shared" si="27"/>
        <v>1.3541999999999998</v>
      </c>
      <c r="AM121" s="147">
        <f t="shared" si="27"/>
        <v>0</v>
      </c>
      <c r="AN121" s="147">
        <f t="shared" si="27"/>
        <v>0</v>
      </c>
      <c r="AO121" s="147">
        <f t="shared" si="27"/>
        <v>0</v>
      </c>
    </row>
    <row r="122" spans="3:43" x14ac:dyDescent="0.25">
      <c r="C122" s="105"/>
      <c r="F122" s="145" t="s">
        <v>99</v>
      </c>
      <c r="G122" s="355" t="s">
        <v>275</v>
      </c>
      <c r="H122" s="146">
        <f>SUM(H115:H121)</f>
        <v>7532925.771264812</v>
      </c>
      <c r="I122" s="145"/>
      <c r="J122" s="146">
        <f t="shared" ref="J122" si="28">SUM(J115:J121)</f>
        <v>4049700.1562585589</v>
      </c>
      <c r="K122" s="146">
        <f t="shared" ref="K122:AO122" si="29">SUM(K115:K121)</f>
        <v>0</v>
      </c>
      <c r="L122" s="146">
        <f t="shared" si="29"/>
        <v>0</v>
      </c>
      <c r="M122" s="146">
        <f t="shared" si="29"/>
        <v>67273.053714172347</v>
      </c>
      <c r="N122" s="146">
        <f t="shared" si="29"/>
        <v>7113.2223536000402</v>
      </c>
      <c r="O122" s="146">
        <f t="shared" si="29"/>
        <v>2506.661870533148</v>
      </c>
      <c r="P122" s="146">
        <f t="shared" si="29"/>
        <v>18816.300588539852</v>
      </c>
      <c r="Q122" s="146">
        <f t="shared" si="29"/>
        <v>0</v>
      </c>
      <c r="R122" s="146">
        <f t="shared" si="29"/>
        <v>0</v>
      </c>
      <c r="S122" s="146">
        <f t="shared" si="29"/>
        <v>70098.776954527435</v>
      </c>
      <c r="T122" s="146">
        <f t="shared" si="29"/>
        <v>229206.98955368556</v>
      </c>
      <c r="U122" s="146">
        <f t="shared" si="29"/>
        <v>236917.83038255738</v>
      </c>
      <c r="V122" s="146">
        <f t="shared" si="29"/>
        <v>1016084.9874027041</v>
      </c>
      <c r="W122" s="146">
        <f t="shared" si="29"/>
        <v>0</v>
      </c>
      <c r="X122" s="146">
        <f t="shared" si="29"/>
        <v>1255.5010958254986</v>
      </c>
      <c r="Y122" s="146">
        <f t="shared" si="29"/>
        <v>3354.967875832459</v>
      </c>
      <c r="Z122" s="146">
        <f t="shared" si="29"/>
        <v>38797.276694816763</v>
      </c>
      <c r="AA122" s="146">
        <f t="shared" si="29"/>
        <v>524416.98116004339</v>
      </c>
      <c r="AB122" s="146">
        <f t="shared" si="29"/>
        <v>0</v>
      </c>
      <c r="AC122" s="146">
        <f t="shared" si="29"/>
        <v>44359.567865257653</v>
      </c>
      <c r="AD122" s="146">
        <f t="shared" si="29"/>
        <v>120007.47716262795</v>
      </c>
      <c r="AE122" s="146">
        <f t="shared" si="29"/>
        <v>158550.01084862987</v>
      </c>
      <c r="AF122" s="146">
        <f t="shared" si="29"/>
        <v>974982.42999413132</v>
      </c>
      <c r="AG122" s="146">
        <f t="shared" si="29"/>
        <v>9303.5558487693561</v>
      </c>
      <c r="AH122" s="146">
        <f t="shared" si="29"/>
        <v>-30289.64271</v>
      </c>
      <c r="AI122" s="146">
        <f t="shared" si="29"/>
        <v>0</v>
      </c>
      <c r="AJ122" s="146">
        <f t="shared" si="29"/>
        <v>-9503.2175699999989</v>
      </c>
      <c r="AK122" s="146">
        <f t="shared" si="29"/>
        <v>0</v>
      </c>
      <c r="AL122" s="146">
        <f t="shared" si="29"/>
        <v>-27.11608</v>
      </c>
      <c r="AM122" s="146">
        <f t="shared" si="29"/>
        <v>0</v>
      </c>
      <c r="AN122" s="146">
        <f t="shared" si="29"/>
        <v>0</v>
      </c>
      <c r="AO122" s="146">
        <f t="shared" si="29"/>
        <v>0</v>
      </c>
    </row>
    <row r="123" spans="3:43" x14ac:dyDescent="0.2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2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25">
      <c r="F125" s="3"/>
      <c r="G125" s="353"/>
      <c r="H125" s="173"/>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25">
      <c r="E126" t="s">
        <v>692</v>
      </c>
      <c r="G126" s="61" t="s">
        <v>275</v>
      </c>
      <c r="H126" s="305">
        <f>H83</f>
        <v>357450594.21760702</v>
      </c>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306"/>
      <c r="AN126" s="306"/>
      <c r="AO126" s="306"/>
    </row>
    <row r="127" spans="3:43" x14ac:dyDescent="0.25">
      <c r="G127" s="61"/>
      <c r="H127" s="305"/>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6"/>
      <c r="AL127" s="306"/>
      <c r="AM127" s="306"/>
      <c r="AN127" s="306"/>
      <c r="AO127" s="306"/>
    </row>
    <row r="128" spans="3:43" x14ac:dyDescent="0.25">
      <c r="E128" t="s">
        <v>722</v>
      </c>
      <c r="G128" s="61" t="s">
        <v>275</v>
      </c>
      <c r="H128" s="315">
        <f>H85</f>
        <v>330469858.79401577</v>
      </c>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row>
    <row r="129" spans="3:43" x14ac:dyDescent="0.25">
      <c r="E129" t="s">
        <v>843</v>
      </c>
      <c r="G129" s="61" t="s">
        <v>275</v>
      </c>
      <c r="H129" s="315">
        <f>H86</f>
        <v>0</v>
      </c>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c r="AL129" s="306"/>
      <c r="AM129" s="306"/>
      <c r="AN129" s="306"/>
      <c r="AO129" s="306"/>
    </row>
    <row r="130" spans="3:43" x14ac:dyDescent="0.25">
      <c r="E130" t="s">
        <v>844</v>
      </c>
      <c r="G130" s="61" t="s">
        <v>275</v>
      </c>
      <c r="H130" s="315">
        <f>H87</f>
        <v>0</v>
      </c>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row>
    <row r="131" spans="3:43" x14ac:dyDescent="0.25">
      <c r="E131" t="s">
        <v>959</v>
      </c>
      <c r="G131" s="61" t="s">
        <v>275</v>
      </c>
      <c r="H131" s="315">
        <f>H88</f>
        <v>26980735.423591256</v>
      </c>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row>
    <row r="132" spans="3:43" x14ac:dyDescent="0.25">
      <c r="E132" s="96" t="s">
        <v>723</v>
      </c>
      <c r="F132" s="96"/>
      <c r="G132" s="144" t="s">
        <v>275</v>
      </c>
      <c r="H132" s="316">
        <f>SUM(H102,H112,H122) - SUM(H128:H129, H131)</f>
        <v>10774.609335958958</v>
      </c>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row>
    <row r="133" spans="3:43" x14ac:dyDescent="0.25">
      <c r="E133" s="145" t="s">
        <v>724</v>
      </c>
      <c r="F133" s="145"/>
      <c r="G133" s="355" t="s">
        <v>275</v>
      </c>
      <c r="H133" s="316">
        <f>SUM(H128:H132)</f>
        <v>357461368.82694298</v>
      </c>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306"/>
      <c r="AM133" s="306"/>
      <c r="AN133" s="306"/>
      <c r="AO133" s="306"/>
    </row>
    <row r="134" spans="3:43" x14ac:dyDescent="0.25">
      <c r="G134" s="61"/>
      <c r="H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6"/>
      <c r="AL134" s="306"/>
      <c r="AM134" s="306"/>
      <c r="AN134" s="306"/>
      <c r="AO134" s="306"/>
    </row>
    <row r="135" spans="3:43" x14ac:dyDescent="0.25">
      <c r="E135" t="s">
        <v>725</v>
      </c>
      <c r="G135" s="61" t="s">
        <v>275</v>
      </c>
      <c r="H135" s="357">
        <f>H133 - H126</f>
        <v>10774.609335958958</v>
      </c>
      <c r="J135" s="306"/>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6"/>
      <c r="AL135" s="306"/>
      <c r="AM135" s="306"/>
      <c r="AN135" s="306"/>
      <c r="AO135" s="306"/>
    </row>
    <row r="136" spans="3:43" x14ac:dyDescent="0.25">
      <c r="E136" t="s">
        <v>725</v>
      </c>
      <c r="G136" s="61" t="s">
        <v>165</v>
      </c>
      <c r="H136" s="358">
        <f>(H133 - H126) / H126</f>
        <v>3.0142933066155834E-5</v>
      </c>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6"/>
      <c r="AL136" s="306"/>
      <c r="AM136" s="306"/>
      <c r="AN136" s="306"/>
      <c r="AO136" s="306"/>
    </row>
    <row r="137" spans="3:43" x14ac:dyDescent="0.2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25">
      <c r="F139" s="3"/>
      <c r="G139" s="353"/>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25">
      <c r="E140" t="s">
        <v>726</v>
      </c>
      <c r="G140" s="61" t="s">
        <v>727</v>
      </c>
      <c r="H140" t="s">
        <v>728</v>
      </c>
      <c r="J140" s="306">
        <f t="shared" ref="J140:AO140" si="30" xml:space="preserve"> IF( J25 &lt;&gt; 0, J102 / J25, 0)</f>
        <v>128.9665257903178</v>
      </c>
      <c r="K140" s="306">
        <f t="shared" si="30"/>
        <v>25.375827886816964</v>
      </c>
      <c r="L140" s="306">
        <f t="shared" si="30"/>
        <v>213.12646298406642</v>
      </c>
      <c r="M140" s="306">
        <f t="shared" si="30"/>
        <v>130.62001125462859</v>
      </c>
      <c r="N140" s="306">
        <f t="shared" si="30"/>
        <v>267.37019289039534</v>
      </c>
      <c r="O140" s="306">
        <f t="shared" si="30"/>
        <v>508.41581496647882</v>
      </c>
      <c r="P140" s="306">
        <f t="shared" si="30"/>
        <v>1281.082755891292</v>
      </c>
      <c r="Q140" s="306">
        <f t="shared" si="30"/>
        <v>79.155786308419209</v>
      </c>
      <c r="R140" s="306">
        <f t="shared" si="30"/>
        <v>1509.5719243546498</v>
      </c>
      <c r="S140" s="306">
        <f t="shared" si="30"/>
        <v>2411.4882918087233</v>
      </c>
      <c r="T140" s="306">
        <f t="shared" si="30"/>
        <v>5462.4370141650652</v>
      </c>
      <c r="U140" s="306">
        <f t="shared" si="30"/>
        <v>8396.3628887228697</v>
      </c>
      <c r="V140" s="306">
        <f t="shared" si="30"/>
        <v>17673.551986337236</v>
      </c>
      <c r="W140" s="306">
        <f t="shared" si="30"/>
        <v>896.66072592406078</v>
      </c>
      <c r="X140" s="306">
        <f t="shared" si="30"/>
        <v>2726.1315110465434</v>
      </c>
      <c r="Y140" s="306">
        <f t="shared" si="30"/>
        <v>5612.315085313151</v>
      </c>
      <c r="Z140" s="306">
        <f t="shared" si="30"/>
        <v>8430.4894916229332</v>
      </c>
      <c r="AA140" s="306">
        <f t="shared" si="30"/>
        <v>19005.596273769035</v>
      </c>
      <c r="AB140" s="306">
        <f t="shared" si="30"/>
        <v>6574.6600545293459</v>
      </c>
      <c r="AC140" s="306">
        <f t="shared" si="30"/>
        <v>11234.937801090853</v>
      </c>
      <c r="AD140" s="306">
        <f t="shared" si="30"/>
        <v>27690.099616456046</v>
      </c>
      <c r="AE140" s="306">
        <f t="shared" si="30"/>
        <v>51724.513033047086</v>
      </c>
      <c r="AF140" s="306">
        <f t="shared" si="30"/>
        <v>135824.27958552344</v>
      </c>
      <c r="AG140" s="306">
        <f t="shared" si="30"/>
        <v>3060.1094983168332</v>
      </c>
      <c r="AH140" s="306">
        <f t="shared" si="30"/>
        <v>-36.361750181871805</v>
      </c>
      <c r="AI140" s="306">
        <f t="shared" si="30"/>
        <v>0</v>
      </c>
      <c r="AJ140" s="306">
        <f t="shared" si="30"/>
        <v>-1422.6829843306448</v>
      </c>
      <c r="AK140" s="306">
        <f t="shared" si="30"/>
        <v>0</v>
      </c>
      <c r="AL140" s="306">
        <f t="shared" si="30"/>
        <v>-715.24886711111105</v>
      </c>
      <c r="AM140" s="306">
        <f t="shared" si="30"/>
        <v>0</v>
      </c>
      <c r="AN140" s="306">
        <f t="shared" si="30"/>
        <v>-35576.353628198856</v>
      </c>
      <c r="AO140" s="306">
        <f t="shared" si="30"/>
        <v>0</v>
      </c>
    </row>
    <row r="141" spans="3:43" x14ac:dyDescent="0.25">
      <c r="E141" t="s">
        <v>729</v>
      </c>
      <c r="G141" s="61" t="s">
        <v>727</v>
      </c>
      <c r="H141" t="s">
        <v>403</v>
      </c>
      <c r="J141" s="168">
        <f t="shared" ref="J141:AO141" si="31" xml:space="preserve"> IF( J36 &lt;&gt; 0, J112 / J36, 0)</f>
        <v>77.237894958088674</v>
      </c>
      <c r="K141" s="168">
        <f t="shared" si="31"/>
        <v>0</v>
      </c>
      <c r="L141" s="168">
        <f t="shared" si="31"/>
        <v>0</v>
      </c>
      <c r="M141" s="168">
        <f t="shared" si="31"/>
        <v>161.84764579880263</v>
      </c>
      <c r="N141" s="168">
        <f t="shared" si="31"/>
        <v>199.48048667570134</v>
      </c>
      <c r="O141" s="168">
        <f t="shared" si="31"/>
        <v>210.71440214904041</v>
      </c>
      <c r="P141" s="168">
        <f t="shared" si="31"/>
        <v>248.72376751016171</v>
      </c>
      <c r="Q141" s="168">
        <f t="shared" si="31"/>
        <v>0</v>
      </c>
      <c r="R141" s="168">
        <f t="shared" si="31"/>
        <v>0</v>
      </c>
      <c r="S141" s="168">
        <f t="shared" si="31"/>
        <v>1020.4140312775188</v>
      </c>
      <c r="T141" s="168">
        <f t="shared" si="31"/>
        <v>2078.9016218156157</v>
      </c>
      <c r="U141" s="168">
        <f t="shared" si="31"/>
        <v>3543.3515273514608</v>
      </c>
      <c r="V141" s="168">
        <f t="shared" si="31"/>
        <v>6522.9805469038783</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27.533745082258324</v>
      </c>
      <c r="AH141" s="168">
        <f t="shared" si="31"/>
        <v>-53.885444362992921</v>
      </c>
      <c r="AI141" s="168">
        <f t="shared" si="31"/>
        <v>0</v>
      </c>
      <c r="AJ141" s="168">
        <f t="shared" si="31"/>
        <v>0</v>
      </c>
      <c r="AK141" s="168">
        <f t="shared" si="31"/>
        <v>0</v>
      </c>
      <c r="AL141" s="168">
        <f t="shared" si="31"/>
        <v>0</v>
      </c>
      <c r="AM141" s="168">
        <f t="shared" si="31"/>
        <v>0</v>
      </c>
      <c r="AN141" s="168">
        <f t="shared" si="31"/>
        <v>0</v>
      </c>
      <c r="AO141" s="168">
        <f t="shared" si="31"/>
        <v>0</v>
      </c>
    </row>
    <row r="142" spans="3:43" x14ac:dyDescent="0.25">
      <c r="E142" t="s">
        <v>730</v>
      </c>
      <c r="G142" s="61" t="s">
        <v>727</v>
      </c>
      <c r="H142" t="s">
        <v>404</v>
      </c>
      <c r="J142" s="168">
        <f t="shared" ref="J142:AO142" si="32" xml:space="preserve"> IF( J47 &lt;&gt; 0, J122 / J47, 0)</f>
        <v>52.963388409568459</v>
      </c>
      <c r="K142" s="168">
        <f t="shared" si="32"/>
        <v>0</v>
      </c>
      <c r="L142" s="168">
        <f t="shared" si="32"/>
        <v>0</v>
      </c>
      <c r="M142" s="168">
        <f t="shared" si="32"/>
        <v>121.4425090394593</v>
      </c>
      <c r="N142" s="168">
        <f t="shared" si="32"/>
        <v>113.76876055352999</v>
      </c>
      <c r="O142" s="168">
        <f t="shared" si="32"/>
        <v>245.56048929178169</v>
      </c>
      <c r="P142" s="168">
        <f t="shared" si="32"/>
        <v>203.39906764117819</v>
      </c>
      <c r="Q142" s="168">
        <f t="shared" si="32"/>
        <v>0</v>
      </c>
      <c r="R142" s="168">
        <f t="shared" si="32"/>
        <v>0</v>
      </c>
      <c r="S142" s="168">
        <f t="shared" si="32"/>
        <v>1220.8172271789263</v>
      </c>
      <c r="T142" s="168">
        <f t="shared" si="32"/>
        <v>1910.9649681588789</v>
      </c>
      <c r="U142" s="168">
        <f t="shared" si="32"/>
        <v>2947.2021106985776</v>
      </c>
      <c r="V142" s="168">
        <f t="shared" si="32"/>
        <v>6985.1848843903363</v>
      </c>
      <c r="W142" s="168">
        <f t="shared" si="32"/>
        <v>0</v>
      </c>
      <c r="X142" s="168">
        <f t="shared" si="32"/>
        <v>1255.5010958254986</v>
      </c>
      <c r="Y142" s="168">
        <f t="shared" si="32"/>
        <v>2629.3057323200978</v>
      </c>
      <c r="Z142" s="168">
        <f t="shared" si="32"/>
        <v>4343.6610077729747</v>
      </c>
      <c r="AA142" s="168">
        <f t="shared" si="32"/>
        <v>11107.792140390748</v>
      </c>
      <c r="AB142" s="168">
        <f t="shared" si="32"/>
        <v>0</v>
      </c>
      <c r="AC142" s="168">
        <f t="shared" si="32"/>
        <v>5794.1372509875409</v>
      </c>
      <c r="AD142" s="168">
        <f t="shared" si="32"/>
        <v>18810.096507805029</v>
      </c>
      <c r="AE142" s="168">
        <f t="shared" si="32"/>
        <v>31064.116543908622</v>
      </c>
      <c r="AF142" s="168">
        <f t="shared" si="32"/>
        <v>109156.96990131885</v>
      </c>
      <c r="AG142" s="168">
        <f t="shared" si="32"/>
        <v>31.979144703251443</v>
      </c>
      <c r="AH142" s="168">
        <f t="shared" si="32"/>
        <v>-44.960134644500513</v>
      </c>
      <c r="AI142" s="168">
        <f t="shared" si="32"/>
        <v>0</v>
      </c>
      <c r="AJ142" s="168">
        <f t="shared" si="32"/>
        <v>-863.92886999999985</v>
      </c>
      <c r="AK142" s="168">
        <f t="shared" si="32"/>
        <v>0</v>
      </c>
      <c r="AL142" s="168">
        <f t="shared" si="32"/>
        <v>-27.11608</v>
      </c>
      <c r="AM142" s="168">
        <f t="shared" si="32"/>
        <v>0</v>
      </c>
      <c r="AN142" s="168">
        <f t="shared" si="32"/>
        <v>0</v>
      </c>
      <c r="AO142" s="168">
        <f t="shared" si="32"/>
        <v>0</v>
      </c>
    </row>
    <row r="143" spans="3:43" x14ac:dyDescent="0.2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2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25">
      <c r="F145" s="3"/>
      <c r="G145" s="353"/>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25">
      <c r="E146" t="s">
        <v>731</v>
      </c>
      <c r="G146" s="61" t="s">
        <v>267</v>
      </c>
      <c r="H146" s="267" t="s">
        <v>728</v>
      </c>
      <c r="I146" s="267"/>
      <c r="J146" s="268">
        <f t="shared" ref="J146:AO146" si="33" xml:space="preserve"> IF( SUM(J$22:J$24) &lt;&gt; 0, J$102 / SUM(J$22:J$24) * hundred / thousand, 0)</f>
        <v>4.6364471502379399</v>
      </c>
      <c r="K146" s="268">
        <f t="shared" si="33"/>
        <v>0.85532139711898536</v>
      </c>
      <c r="L146" s="268">
        <f t="shared" si="33"/>
        <v>2.9096604173691643</v>
      </c>
      <c r="M146" s="268">
        <f t="shared" si="33"/>
        <v>4.6204406214637412</v>
      </c>
      <c r="N146" s="268">
        <f t="shared" si="33"/>
        <v>3.3946662956353011</v>
      </c>
      <c r="O146" s="268">
        <f t="shared" si="33"/>
        <v>2.9953263160519557</v>
      </c>
      <c r="P146" s="268">
        <f t="shared" si="33"/>
        <v>2.7973808785820502</v>
      </c>
      <c r="Q146" s="268">
        <f t="shared" si="33"/>
        <v>1.1533970570432936</v>
      </c>
      <c r="R146" s="268">
        <f t="shared" si="33"/>
        <v>17.24743726584564</v>
      </c>
      <c r="S146" s="268">
        <f t="shared" si="33"/>
        <v>3.1589196004975348</v>
      </c>
      <c r="T146" s="268">
        <f t="shared" si="33"/>
        <v>3.3101939804722496</v>
      </c>
      <c r="U146" s="268">
        <f t="shared" si="33"/>
        <v>3.3821463106672205</v>
      </c>
      <c r="V146" s="268">
        <f t="shared" si="33"/>
        <v>3.396822926565271</v>
      </c>
      <c r="W146" s="268">
        <f t="shared" si="33"/>
        <v>4.0644475392086843</v>
      </c>
      <c r="X146" s="268">
        <f t="shared" si="33"/>
        <v>1.5204868708275678</v>
      </c>
      <c r="Y146" s="268">
        <f t="shared" si="33"/>
        <v>1.772731746836639</v>
      </c>
      <c r="Z146" s="268">
        <f t="shared" si="33"/>
        <v>1.6097304646491015</v>
      </c>
      <c r="AA146" s="268">
        <f t="shared" si="33"/>
        <v>1.9668785571581602</v>
      </c>
      <c r="AB146" s="268">
        <f t="shared" si="33"/>
        <v>14.415497967390957</v>
      </c>
      <c r="AC146" s="268">
        <f t="shared" si="33"/>
        <v>2.0879055461962097</v>
      </c>
      <c r="AD146" s="268">
        <f t="shared" si="33"/>
        <v>1.9148580570493987</v>
      </c>
      <c r="AE146" s="268">
        <f t="shared" si="33"/>
        <v>1.9877726596033698</v>
      </c>
      <c r="AF146" s="268">
        <f t="shared" si="33"/>
        <v>1.9304453283799339</v>
      </c>
      <c r="AG146" s="268">
        <f t="shared" si="33"/>
        <v>2.6818263453906077</v>
      </c>
      <c r="AH146" s="268">
        <f t="shared" si="33"/>
        <v>-1.6710094175008112</v>
      </c>
      <c r="AI146" s="268">
        <f t="shared" si="33"/>
        <v>0</v>
      </c>
      <c r="AJ146" s="268">
        <f t="shared" si="33"/>
        <v>-1.3019382204125727</v>
      </c>
      <c r="AK146" s="268">
        <f t="shared" si="33"/>
        <v>0</v>
      </c>
      <c r="AL146" s="268">
        <f t="shared" si="33"/>
        <v>-1.0513573169812012</v>
      </c>
      <c r="AM146" s="268">
        <f t="shared" si="33"/>
        <v>0</v>
      </c>
      <c r="AN146" s="268">
        <f t="shared" si="33"/>
        <v>-0.71483875186440482</v>
      </c>
      <c r="AO146" s="268">
        <f t="shared" si="33"/>
        <v>0</v>
      </c>
      <c r="AP146" s="267"/>
      <c r="AQ146" s="267"/>
    </row>
    <row r="147" spans="2:43" x14ac:dyDescent="0.25">
      <c r="E147" t="s">
        <v>732</v>
      </c>
      <c r="G147" s="61" t="s">
        <v>267</v>
      </c>
      <c r="H147" s="267" t="s">
        <v>403</v>
      </c>
      <c r="I147" s="267"/>
      <c r="J147" s="281">
        <f t="shared" ref="J147:AO147" si="34" xml:space="preserve"> IF( SUM(J$33:J$35) &lt;&gt; 0, J$112 / SUM(J$33:J$35) * hundred / thousand, 0)</f>
        <v>2.7622992343169677</v>
      </c>
      <c r="K147" s="281">
        <f t="shared" si="34"/>
        <v>0</v>
      </c>
      <c r="L147" s="281">
        <f t="shared" si="34"/>
        <v>0</v>
      </c>
      <c r="M147" s="281">
        <f t="shared" si="34"/>
        <v>1.898556940149462</v>
      </c>
      <c r="N147" s="281">
        <f t="shared" si="34"/>
        <v>1.8851979099496861</v>
      </c>
      <c r="O147" s="281">
        <f t="shared" si="34"/>
        <v>2.0026957515919133</v>
      </c>
      <c r="P147" s="281">
        <f t="shared" si="34"/>
        <v>2.4654254374115898</v>
      </c>
      <c r="Q147" s="281">
        <f t="shared" si="34"/>
        <v>0</v>
      </c>
      <c r="R147" s="281">
        <f t="shared" si="34"/>
        <v>0</v>
      </c>
      <c r="S147" s="281">
        <f t="shared" si="34"/>
        <v>2.736964894571563</v>
      </c>
      <c r="T147" s="281">
        <f t="shared" si="34"/>
        <v>2.8562676641445575</v>
      </c>
      <c r="U147" s="281">
        <f t="shared" si="34"/>
        <v>2.427929486849191</v>
      </c>
      <c r="V147" s="281">
        <f t="shared" si="34"/>
        <v>2.6155534865925154</v>
      </c>
      <c r="W147" s="281">
        <f t="shared" si="34"/>
        <v>0</v>
      </c>
      <c r="X147" s="281">
        <f t="shared" si="34"/>
        <v>0</v>
      </c>
      <c r="Y147" s="281">
        <f t="shared" si="34"/>
        <v>0</v>
      </c>
      <c r="Z147" s="281">
        <f t="shared" si="34"/>
        <v>0</v>
      </c>
      <c r="AA147" s="281">
        <f t="shared" si="34"/>
        <v>0</v>
      </c>
      <c r="AB147" s="281">
        <f t="shared" si="34"/>
        <v>0</v>
      </c>
      <c r="AC147" s="281">
        <f t="shared" si="34"/>
        <v>0</v>
      </c>
      <c r="AD147" s="281">
        <f t="shared" si="34"/>
        <v>0</v>
      </c>
      <c r="AE147" s="281">
        <f t="shared" si="34"/>
        <v>0</v>
      </c>
      <c r="AF147" s="281">
        <f t="shared" si="34"/>
        <v>0</v>
      </c>
      <c r="AG147" s="281">
        <f t="shared" si="34"/>
        <v>1.425635180987755</v>
      </c>
      <c r="AH147" s="281">
        <f t="shared" si="34"/>
        <v>-1.6703401778074489</v>
      </c>
      <c r="AI147" s="281">
        <f t="shared" si="34"/>
        <v>0</v>
      </c>
      <c r="AJ147" s="281">
        <f t="shared" si="34"/>
        <v>0</v>
      </c>
      <c r="AK147" s="281">
        <f t="shared" si="34"/>
        <v>0</v>
      </c>
      <c r="AL147" s="281">
        <f t="shared" si="34"/>
        <v>0</v>
      </c>
      <c r="AM147" s="281">
        <f t="shared" si="34"/>
        <v>0</v>
      </c>
      <c r="AN147" s="281">
        <f t="shared" si="34"/>
        <v>0</v>
      </c>
      <c r="AO147" s="281">
        <f t="shared" si="34"/>
        <v>0</v>
      </c>
      <c r="AP147" s="267"/>
      <c r="AQ147" s="267"/>
    </row>
    <row r="148" spans="2:43" x14ac:dyDescent="0.25">
      <c r="E148" t="s">
        <v>733</v>
      </c>
      <c r="G148" s="61" t="s">
        <v>267</v>
      </c>
      <c r="H148" s="267" t="s">
        <v>404</v>
      </c>
      <c r="I148" s="267"/>
      <c r="J148" s="281">
        <f t="shared" ref="J148:AO148" si="35" xml:space="preserve"> IF( SUM(J$44:J$46) &lt;&gt; 0, J$122 / SUM(J$44:J$46) * hundred / thousand, 0)</f>
        <v>1.7679086559475987</v>
      </c>
      <c r="K148" s="281">
        <f t="shared" si="35"/>
        <v>0</v>
      </c>
      <c r="L148" s="281">
        <f t="shared" si="35"/>
        <v>0</v>
      </c>
      <c r="M148" s="281">
        <f t="shared" si="35"/>
        <v>1.220438049213636</v>
      </c>
      <c r="N148" s="281">
        <f t="shared" si="35"/>
        <v>1.3488856577338295</v>
      </c>
      <c r="O148" s="281">
        <f t="shared" si="35"/>
        <v>1.1459761147893637</v>
      </c>
      <c r="P148" s="281">
        <f t="shared" si="35"/>
        <v>1.4581603956123319</v>
      </c>
      <c r="Q148" s="281">
        <f t="shared" si="35"/>
        <v>0</v>
      </c>
      <c r="R148" s="281">
        <f t="shared" si="35"/>
        <v>0</v>
      </c>
      <c r="S148" s="281">
        <f t="shared" si="35"/>
        <v>2.2979704081276466</v>
      </c>
      <c r="T148" s="281">
        <f t="shared" si="35"/>
        <v>1.6132935654073168</v>
      </c>
      <c r="U148" s="281">
        <f t="shared" si="35"/>
        <v>1.2782176375626013</v>
      </c>
      <c r="V148" s="281">
        <f t="shared" si="35"/>
        <v>1.5900362219593127</v>
      </c>
      <c r="W148" s="281">
        <f t="shared" si="35"/>
        <v>0</v>
      </c>
      <c r="X148" s="281">
        <f t="shared" si="35"/>
        <v>0.68989337517379912</v>
      </c>
      <c r="Y148" s="281">
        <f t="shared" si="35"/>
        <v>1.8114031256534007</v>
      </c>
      <c r="Z148" s="281">
        <f t="shared" si="35"/>
        <v>1.5189663612454583</v>
      </c>
      <c r="AA148" s="281">
        <f t="shared" si="35"/>
        <v>2.1323642316790163</v>
      </c>
      <c r="AB148" s="281">
        <f t="shared" si="35"/>
        <v>0</v>
      </c>
      <c r="AC148" s="281">
        <f t="shared" si="35"/>
        <v>9.726728021747018</v>
      </c>
      <c r="AD148" s="281">
        <f t="shared" si="35"/>
        <v>2.0133962528263845</v>
      </c>
      <c r="AE148" s="281">
        <f t="shared" si="35"/>
        <v>2.1298463221499029</v>
      </c>
      <c r="AF148" s="281">
        <f t="shared" si="35"/>
        <v>1.8692193864535522</v>
      </c>
      <c r="AG148" s="281">
        <f t="shared" si="35"/>
        <v>0.90982673417262272</v>
      </c>
      <c r="AH148" s="281">
        <f t="shared" si="35"/>
        <v>-1.6874208345728696</v>
      </c>
      <c r="AI148" s="281">
        <f t="shared" si="35"/>
        <v>0</v>
      </c>
      <c r="AJ148" s="281">
        <f t="shared" si="35"/>
        <v>-1.1294127342737956</v>
      </c>
      <c r="AK148" s="281">
        <f t="shared" si="35"/>
        <v>0</v>
      </c>
      <c r="AL148" s="281">
        <f t="shared" si="35"/>
        <v>-0.86082793650793654</v>
      </c>
      <c r="AM148" s="281">
        <f t="shared" si="35"/>
        <v>0</v>
      </c>
      <c r="AN148" s="281">
        <f t="shared" si="35"/>
        <v>0</v>
      </c>
      <c r="AO148" s="281">
        <f t="shared" si="35"/>
        <v>0</v>
      </c>
      <c r="AP148" s="267"/>
      <c r="AQ148" s="267"/>
    </row>
    <row r="149" spans="2:43" x14ac:dyDescent="0.2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25">
      <c r="B150" s="85" t="s">
        <v>734</v>
      </c>
      <c r="C150" s="85"/>
      <c r="D150" s="85"/>
      <c r="E150" s="85"/>
      <c r="F150" s="85"/>
      <c r="G150" s="137"/>
      <c r="H150" s="85"/>
      <c r="I150" s="85"/>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85"/>
      <c r="AQ150" s="85"/>
    </row>
    <row r="151" spans="2:43" x14ac:dyDescent="0.25">
      <c r="F151" s="3"/>
      <c r="G151" s="353"/>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2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2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25">
      <c r="E154" s="75" t="s">
        <v>735</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25">
      <c r="F155" s="95" t="s">
        <v>154</v>
      </c>
      <c r="G155" s="95" t="s">
        <v>267</v>
      </c>
      <c r="H155" s="359"/>
      <c r="I155" s="265"/>
      <c r="J155" s="277">
        <f>'Inputs by customer type'!J198</f>
        <v>9.5679999999999996</v>
      </c>
      <c r="K155" s="277">
        <f>'Inputs by customer type'!K198</f>
        <v>9.5679999999999996</v>
      </c>
      <c r="L155" s="277">
        <f>'Inputs by customer type'!L198</f>
        <v>10.975</v>
      </c>
      <c r="M155" s="277">
        <f>'Inputs by customer type'!M198</f>
        <v>10.975</v>
      </c>
      <c r="N155" s="277">
        <f>'Inputs by customer type'!N198</f>
        <v>10.975</v>
      </c>
      <c r="O155" s="277">
        <f>'Inputs by customer type'!O198</f>
        <v>10.975</v>
      </c>
      <c r="P155" s="277">
        <f>'Inputs by customer type'!P198</f>
        <v>10.975</v>
      </c>
      <c r="Q155" s="277">
        <f>'Inputs by customer type'!Q198</f>
        <v>10.975</v>
      </c>
      <c r="R155" s="277">
        <f>'Inputs by customer type'!R198</f>
        <v>7.1180000000000003</v>
      </c>
      <c r="S155" s="277">
        <f>'Inputs by customer type'!S198</f>
        <v>7.1180000000000003</v>
      </c>
      <c r="T155" s="277">
        <f>'Inputs by customer type'!T198</f>
        <v>7.1180000000000003</v>
      </c>
      <c r="U155" s="277">
        <f>'Inputs by customer type'!U198</f>
        <v>7.1180000000000003</v>
      </c>
      <c r="V155" s="277">
        <f>'Inputs by customer type'!V198</f>
        <v>7.1180000000000003</v>
      </c>
      <c r="W155" s="277">
        <f>'Inputs by customer type'!W198</f>
        <v>3.9279999999999999</v>
      </c>
      <c r="X155" s="277">
        <f>'Inputs by customer type'!X198</f>
        <v>3.9279999999999999</v>
      </c>
      <c r="Y155" s="277">
        <f>'Inputs by customer type'!Y198</f>
        <v>3.9279999999999999</v>
      </c>
      <c r="Z155" s="277">
        <f>'Inputs by customer type'!Z198</f>
        <v>3.9279999999999999</v>
      </c>
      <c r="AA155" s="277">
        <f>'Inputs by customer type'!AA198</f>
        <v>3.9279999999999999</v>
      </c>
      <c r="AB155" s="277">
        <f>'Inputs by customer type'!AB198</f>
        <v>2.9260000000000002</v>
      </c>
      <c r="AC155" s="277">
        <f>'Inputs by customer type'!AC198</f>
        <v>2.9260000000000002</v>
      </c>
      <c r="AD155" s="277">
        <f>'Inputs by customer type'!AD198</f>
        <v>2.9260000000000002</v>
      </c>
      <c r="AE155" s="277">
        <f>'Inputs by customer type'!AE198</f>
        <v>2.9260000000000002</v>
      </c>
      <c r="AF155" s="277">
        <f>'Inputs by customer type'!AF198</f>
        <v>2.9260000000000002</v>
      </c>
      <c r="AG155" s="277">
        <f>'Inputs by customer type'!AG198</f>
        <v>26.366</v>
      </c>
      <c r="AH155" s="277">
        <f>'Inputs by customer type'!AH198</f>
        <v>-6.7629999999999999</v>
      </c>
      <c r="AI155" s="277">
        <f>'Inputs by customer type'!AI198</f>
        <v>-5.7779999999999996</v>
      </c>
      <c r="AJ155" s="277">
        <f>'Inputs by customer type'!AJ198</f>
        <v>-6.7629999999999999</v>
      </c>
      <c r="AK155" s="277">
        <f>'Inputs by customer type'!AK198</f>
        <v>-6.7629999999999999</v>
      </c>
      <c r="AL155" s="277">
        <f>'Inputs by customer type'!AL198</f>
        <v>-5.7779999999999996</v>
      </c>
      <c r="AM155" s="277">
        <f>'Inputs by customer type'!AM198</f>
        <v>-5.7779999999999996</v>
      </c>
      <c r="AN155" s="277">
        <f>'Inputs by customer type'!AN198</f>
        <v>-3.343</v>
      </c>
      <c r="AO155" s="277">
        <f>'Inputs by customer type'!AO198</f>
        <v>-3.343</v>
      </c>
      <c r="AP155" s="267"/>
      <c r="AQ155" s="267"/>
    </row>
    <row r="156" spans="2:43" x14ac:dyDescent="0.25">
      <c r="E156" s="94"/>
      <c r="F156" t="s">
        <v>155</v>
      </c>
      <c r="G156" t="s">
        <v>267</v>
      </c>
      <c r="H156" s="360"/>
      <c r="I156" s="267"/>
      <c r="J156" s="278">
        <f>'Inputs by customer type'!J199</f>
        <v>1.59</v>
      </c>
      <c r="K156" s="278">
        <f>'Inputs by customer type'!K199</f>
        <v>1.59</v>
      </c>
      <c r="L156" s="278">
        <f>'Inputs by customer type'!L199</f>
        <v>1.8240000000000001</v>
      </c>
      <c r="M156" s="278">
        <f>'Inputs by customer type'!M199</f>
        <v>1.8240000000000001</v>
      </c>
      <c r="N156" s="278">
        <f>'Inputs by customer type'!N199</f>
        <v>1.8240000000000001</v>
      </c>
      <c r="O156" s="278">
        <f>'Inputs by customer type'!O199</f>
        <v>1.8240000000000001</v>
      </c>
      <c r="P156" s="278">
        <f>'Inputs by customer type'!P199</f>
        <v>1.8240000000000001</v>
      </c>
      <c r="Q156" s="278">
        <f>'Inputs by customer type'!Q199</f>
        <v>1.8240000000000001</v>
      </c>
      <c r="R156" s="278">
        <f>'Inputs by customer type'!R199</f>
        <v>1.153</v>
      </c>
      <c r="S156" s="278">
        <f>'Inputs by customer type'!S199</f>
        <v>1.153</v>
      </c>
      <c r="T156" s="278">
        <f>'Inputs by customer type'!T199</f>
        <v>1.153</v>
      </c>
      <c r="U156" s="278">
        <f>'Inputs by customer type'!U199</f>
        <v>1.153</v>
      </c>
      <c r="V156" s="278">
        <f>'Inputs by customer type'!V199</f>
        <v>1.153</v>
      </c>
      <c r="W156" s="278">
        <f>'Inputs by customer type'!W199</f>
        <v>0.58799999999999997</v>
      </c>
      <c r="X156" s="278">
        <f>'Inputs by customer type'!X199</f>
        <v>0.58799999999999997</v>
      </c>
      <c r="Y156" s="278">
        <f>'Inputs by customer type'!Y199</f>
        <v>0.58799999999999997</v>
      </c>
      <c r="Z156" s="278">
        <f>'Inputs by customer type'!Z199</f>
        <v>0.58799999999999997</v>
      </c>
      <c r="AA156" s="278">
        <f>'Inputs by customer type'!AA199</f>
        <v>0.58799999999999997</v>
      </c>
      <c r="AB156" s="278">
        <f>'Inputs by customer type'!AB199</f>
        <v>0.41199999999999998</v>
      </c>
      <c r="AC156" s="278">
        <f>'Inputs by customer type'!AC199</f>
        <v>0.41199999999999998</v>
      </c>
      <c r="AD156" s="278">
        <f>'Inputs by customer type'!AD199</f>
        <v>0.41199999999999998</v>
      </c>
      <c r="AE156" s="278">
        <f>'Inputs by customer type'!AE199</f>
        <v>0.41199999999999998</v>
      </c>
      <c r="AF156" s="278">
        <f>'Inputs by customer type'!AF199</f>
        <v>0.41199999999999998</v>
      </c>
      <c r="AG156" s="278">
        <f>'Inputs by customer type'!AG199</f>
        <v>1.665</v>
      </c>
      <c r="AH156" s="278">
        <f>'Inputs by customer type'!AH199</f>
        <v>-1.1240000000000001</v>
      </c>
      <c r="AI156" s="278">
        <f>'Inputs by customer type'!AI199</f>
        <v>-0.94699999999999995</v>
      </c>
      <c r="AJ156" s="278">
        <f>'Inputs by customer type'!AJ199</f>
        <v>-1.1240000000000001</v>
      </c>
      <c r="AK156" s="278">
        <f>'Inputs by customer type'!AK199</f>
        <v>-1.1240000000000001</v>
      </c>
      <c r="AL156" s="278">
        <f>'Inputs by customer type'!AL199</f>
        <v>-0.94699999999999995</v>
      </c>
      <c r="AM156" s="278">
        <f>'Inputs by customer type'!AM199</f>
        <v>-0.94699999999999995</v>
      </c>
      <c r="AN156" s="278">
        <f>'Inputs by customer type'!AN199</f>
        <v>-0.501</v>
      </c>
      <c r="AO156" s="278">
        <f>'Inputs by customer type'!AO199</f>
        <v>-0.501</v>
      </c>
      <c r="AP156" s="267"/>
      <c r="AQ156" s="267"/>
    </row>
    <row r="157" spans="2:43" x14ac:dyDescent="0.25">
      <c r="E157" s="94"/>
      <c r="F157" t="s">
        <v>156</v>
      </c>
      <c r="G157" t="s">
        <v>267</v>
      </c>
      <c r="H157" s="360"/>
      <c r="I157" s="267"/>
      <c r="J157" s="278">
        <f>'Inputs by customer type'!J200</f>
        <v>0.311</v>
      </c>
      <c r="K157" s="278">
        <f>'Inputs by customer type'!K200</f>
        <v>0.311</v>
      </c>
      <c r="L157" s="278">
        <f>'Inputs by customer type'!L200</f>
        <v>0.35699999999999998</v>
      </c>
      <c r="M157" s="278">
        <f>'Inputs by customer type'!M200</f>
        <v>0.35699999999999998</v>
      </c>
      <c r="N157" s="278">
        <f>'Inputs by customer type'!N200</f>
        <v>0.35699999999999998</v>
      </c>
      <c r="O157" s="278">
        <f>'Inputs by customer type'!O200</f>
        <v>0.35699999999999998</v>
      </c>
      <c r="P157" s="278">
        <f>'Inputs by customer type'!P200</f>
        <v>0.35699999999999998</v>
      </c>
      <c r="Q157" s="278">
        <f>'Inputs by customer type'!Q200</f>
        <v>0.35699999999999998</v>
      </c>
      <c r="R157" s="278">
        <f>'Inputs by customer type'!R200</f>
        <v>0.222</v>
      </c>
      <c r="S157" s="278">
        <f>'Inputs by customer type'!S200</f>
        <v>0.222</v>
      </c>
      <c r="T157" s="278">
        <f>'Inputs by customer type'!T200</f>
        <v>0.222</v>
      </c>
      <c r="U157" s="278">
        <f>'Inputs by customer type'!U200</f>
        <v>0.222</v>
      </c>
      <c r="V157" s="278">
        <f>'Inputs by customer type'!V200</f>
        <v>0.222</v>
      </c>
      <c r="W157" s="278">
        <f>'Inputs by customer type'!W200</f>
        <v>0.107</v>
      </c>
      <c r="X157" s="278">
        <f>'Inputs by customer type'!X200</f>
        <v>0.107</v>
      </c>
      <c r="Y157" s="278">
        <f>'Inputs by customer type'!Y200</f>
        <v>0.107</v>
      </c>
      <c r="Z157" s="278">
        <f>'Inputs by customer type'!Z200</f>
        <v>0.107</v>
      </c>
      <c r="AA157" s="278">
        <f>'Inputs by customer type'!AA200</f>
        <v>0.107</v>
      </c>
      <c r="AB157" s="278">
        <f>'Inputs by customer type'!AB200</f>
        <v>7.0999999999999994E-2</v>
      </c>
      <c r="AC157" s="278">
        <f>'Inputs by customer type'!AC200</f>
        <v>7.0999999999999994E-2</v>
      </c>
      <c r="AD157" s="278">
        <f>'Inputs by customer type'!AD200</f>
        <v>7.0999999999999994E-2</v>
      </c>
      <c r="AE157" s="278">
        <f>'Inputs by customer type'!AE200</f>
        <v>7.0999999999999994E-2</v>
      </c>
      <c r="AF157" s="278">
        <f>'Inputs by customer type'!AF200</f>
        <v>7.0999999999999994E-2</v>
      </c>
      <c r="AG157" s="278">
        <f>'Inputs by customer type'!AG200</f>
        <v>0.52800000000000002</v>
      </c>
      <c r="AH157" s="278">
        <f>'Inputs by customer type'!AH200</f>
        <v>-0.22</v>
      </c>
      <c r="AI157" s="278">
        <f>'Inputs by customer type'!AI200</f>
        <v>-0.184</v>
      </c>
      <c r="AJ157" s="278">
        <f>'Inputs by customer type'!AJ200</f>
        <v>-0.22</v>
      </c>
      <c r="AK157" s="278">
        <f>'Inputs by customer type'!AK200</f>
        <v>-0.22</v>
      </c>
      <c r="AL157" s="278">
        <f>'Inputs by customer type'!AL200</f>
        <v>-0.184</v>
      </c>
      <c r="AM157" s="278">
        <f>'Inputs by customer type'!AM200</f>
        <v>-0.184</v>
      </c>
      <c r="AN157" s="278">
        <f>'Inputs by customer type'!AN200</f>
        <v>-9.0999999999999998E-2</v>
      </c>
      <c r="AO157" s="278">
        <f>'Inputs by customer type'!AO200</f>
        <v>-9.0999999999999998E-2</v>
      </c>
      <c r="AP157" s="267"/>
      <c r="AQ157" s="267"/>
    </row>
    <row r="158" spans="2:43" x14ac:dyDescent="0.25">
      <c r="E158" s="94"/>
      <c r="F158" t="s">
        <v>157</v>
      </c>
      <c r="G158" t="s">
        <v>268</v>
      </c>
      <c r="H158" s="360"/>
      <c r="J158" s="167">
        <f>'Inputs by customer type'!J201</f>
        <v>18.12</v>
      </c>
      <c r="K158" s="167">
        <f>'Inputs by customer type'!K201</f>
        <v>0</v>
      </c>
      <c r="L158" s="167">
        <f>'Inputs by customer type'!L201</f>
        <v>15.09</v>
      </c>
      <c r="M158" s="167">
        <f>'Inputs by customer type'!M201</f>
        <v>16.73</v>
      </c>
      <c r="N158" s="167">
        <f>'Inputs by customer type'!N201</f>
        <v>19.72</v>
      </c>
      <c r="O158" s="167">
        <f>'Inputs by customer type'!O201</f>
        <v>25.57</v>
      </c>
      <c r="P158" s="167">
        <f>'Inputs by customer type'!P201</f>
        <v>43.33</v>
      </c>
      <c r="Q158" s="167">
        <f>'Inputs by customer type'!Q201</f>
        <v>0</v>
      </c>
      <c r="R158" s="167">
        <f>'Inputs by customer type'!R201</f>
        <v>15.88</v>
      </c>
      <c r="S158" s="167">
        <f>'Inputs by customer type'!S201</f>
        <v>62.53</v>
      </c>
      <c r="T158" s="167">
        <f>'Inputs by customer type'!T201</f>
        <v>117.29</v>
      </c>
      <c r="U158" s="167">
        <f>'Inputs by customer type'!U201</f>
        <v>172.72</v>
      </c>
      <c r="V158" s="167">
        <f>'Inputs by customer type'!V201</f>
        <v>434.61</v>
      </c>
      <c r="W158" s="167">
        <f>'Inputs by customer type'!W201</f>
        <v>15.88</v>
      </c>
      <c r="X158" s="167">
        <f>'Inputs by customer type'!X201</f>
        <v>62.53</v>
      </c>
      <c r="Y158" s="167">
        <f>'Inputs by customer type'!Y201</f>
        <v>117.29</v>
      </c>
      <c r="Z158" s="167">
        <f>'Inputs by customer type'!Z201</f>
        <v>172.72</v>
      </c>
      <c r="AA158" s="167">
        <f>'Inputs by customer type'!AA201</f>
        <v>434.61</v>
      </c>
      <c r="AB158" s="167">
        <f>'Inputs by customer type'!AB201</f>
        <v>330.12</v>
      </c>
      <c r="AC158" s="167">
        <f>'Inputs by customer type'!AC201</f>
        <v>665.46</v>
      </c>
      <c r="AD158" s="167">
        <f>'Inputs by customer type'!AD201</f>
        <v>1185.67</v>
      </c>
      <c r="AE158" s="167">
        <f>'Inputs by customer type'!AE201</f>
        <v>1883.8</v>
      </c>
      <c r="AF158" s="167">
        <f>'Inputs by customer type'!AF201</f>
        <v>4543.8500000000004</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73.650000000000006</v>
      </c>
      <c r="AO158" s="167">
        <f>'Inputs by customer type'!AO201</f>
        <v>73.650000000000006</v>
      </c>
    </row>
    <row r="159" spans="2:43" x14ac:dyDescent="0.25">
      <c r="E159" s="94"/>
      <c r="F159" t="s">
        <v>158</v>
      </c>
      <c r="G159" t="s">
        <v>269</v>
      </c>
      <c r="H159" s="360"/>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5.23</v>
      </c>
      <c r="S159" s="167">
        <f>'Inputs by customer type'!S202</f>
        <v>5.23</v>
      </c>
      <c r="T159" s="167">
        <f>'Inputs by customer type'!T202</f>
        <v>5.23</v>
      </c>
      <c r="U159" s="167">
        <f>'Inputs by customer type'!U202</f>
        <v>5.23</v>
      </c>
      <c r="V159" s="167">
        <f>'Inputs by customer type'!V202</f>
        <v>5.23</v>
      </c>
      <c r="W159" s="167">
        <f>'Inputs by customer type'!W202</f>
        <v>4.87</v>
      </c>
      <c r="X159" s="167">
        <f>'Inputs by customer type'!X202</f>
        <v>4.87</v>
      </c>
      <c r="Y159" s="167">
        <f>'Inputs by customer type'!Y202</f>
        <v>4.87</v>
      </c>
      <c r="Z159" s="167">
        <f>'Inputs by customer type'!Z202</f>
        <v>4.87</v>
      </c>
      <c r="AA159" s="167">
        <f>'Inputs by customer type'!AA202</f>
        <v>4.87</v>
      </c>
      <c r="AB159" s="167">
        <f>'Inputs by customer type'!AB202</f>
        <v>5.09</v>
      </c>
      <c r="AC159" s="167">
        <f>'Inputs by customer type'!AC202</f>
        <v>5.09</v>
      </c>
      <c r="AD159" s="167">
        <f>'Inputs by customer type'!AD202</f>
        <v>5.09</v>
      </c>
      <c r="AE159" s="167">
        <f>'Inputs by customer type'!AE202</f>
        <v>5.09</v>
      </c>
      <c r="AF159" s="167">
        <f>'Inputs by customer type'!AF202</f>
        <v>5.09</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25">
      <c r="E160" s="94"/>
      <c r="F160" t="s">
        <v>159</v>
      </c>
      <c r="G160" t="s">
        <v>269</v>
      </c>
      <c r="H160" s="360"/>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5.23</v>
      </c>
      <c r="S160" s="167">
        <f>'Inputs by customer type'!S203</f>
        <v>5.23</v>
      </c>
      <c r="T160" s="167">
        <f>'Inputs by customer type'!T203</f>
        <v>5.23</v>
      </c>
      <c r="U160" s="167">
        <f>'Inputs by customer type'!U203</f>
        <v>5.23</v>
      </c>
      <c r="V160" s="167">
        <f>'Inputs by customer type'!V203</f>
        <v>5.23</v>
      </c>
      <c r="W160" s="167">
        <f>'Inputs by customer type'!W203</f>
        <v>4.87</v>
      </c>
      <c r="X160" s="167">
        <f>'Inputs by customer type'!X203</f>
        <v>4.87</v>
      </c>
      <c r="Y160" s="167">
        <f>'Inputs by customer type'!Y203</f>
        <v>4.87</v>
      </c>
      <c r="Z160" s="167">
        <f>'Inputs by customer type'!Z203</f>
        <v>4.87</v>
      </c>
      <c r="AA160" s="167">
        <f>'Inputs by customer type'!AA203</f>
        <v>4.87</v>
      </c>
      <c r="AB160" s="167">
        <f>'Inputs by customer type'!AB203</f>
        <v>5.09</v>
      </c>
      <c r="AC160" s="167">
        <f>'Inputs by customer type'!AC203</f>
        <v>5.09</v>
      </c>
      <c r="AD160" s="167">
        <f>'Inputs by customer type'!AD203</f>
        <v>5.09</v>
      </c>
      <c r="AE160" s="167">
        <f>'Inputs by customer type'!AE203</f>
        <v>5.09</v>
      </c>
      <c r="AF160" s="167">
        <f>'Inputs by customer type'!AF203</f>
        <v>5.09</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25">
      <c r="E161" s="94"/>
      <c r="F161" s="96" t="s">
        <v>160</v>
      </c>
      <c r="G161" s="96" t="s">
        <v>270</v>
      </c>
      <c r="H161" s="361"/>
      <c r="I161" s="269"/>
      <c r="J161" s="310">
        <f>'Inputs by customer type'!J204</f>
        <v>0</v>
      </c>
      <c r="K161" s="310">
        <f>'Inputs by customer type'!K204</f>
        <v>0</v>
      </c>
      <c r="L161" s="310">
        <f>'Inputs by customer type'!L204</f>
        <v>0</v>
      </c>
      <c r="M161" s="310">
        <f>'Inputs by customer type'!M204</f>
        <v>0</v>
      </c>
      <c r="N161" s="310">
        <f>'Inputs by customer type'!N204</f>
        <v>0</v>
      </c>
      <c r="O161" s="310">
        <f>'Inputs by customer type'!O204</f>
        <v>0</v>
      </c>
      <c r="P161" s="310">
        <f>'Inputs by customer type'!P204</f>
        <v>0</v>
      </c>
      <c r="Q161" s="310">
        <f>'Inputs by customer type'!Q204</f>
        <v>0</v>
      </c>
      <c r="R161" s="310">
        <f>'Inputs by customer type'!R204</f>
        <v>0.14599999999999999</v>
      </c>
      <c r="S161" s="310">
        <f>'Inputs by customer type'!S204</f>
        <v>0.14599999999999999</v>
      </c>
      <c r="T161" s="310">
        <f>'Inputs by customer type'!T204</f>
        <v>0.14599999999999999</v>
      </c>
      <c r="U161" s="310">
        <f>'Inputs by customer type'!U204</f>
        <v>0.14599999999999999</v>
      </c>
      <c r="V161" s="310">
        <f>'Inputs by customer type'!V204</f>
        <v>0.14599999999999999</v>
      </c>
      <c r="W161" s="310">
        <f>'Inputs by customer type'!W204</f>
        <v>6.9000000000000006E-2</v>
      </c>
      <c r="X161" s="310">
        <f>'Inputs by customer type'!X204</f>
        <v>6.9000000000000006E-2</v>
      </c>
      <c r="Y161" s="310">
        <f>'Inputs by customer type'!Y204</f>
        <v>6.9000000000000006E-2</v>
      </c>
      <c r="Z161" s="310">
        <f>'Inputs by customer type'!Z204</f>
        <v>6.9000000000000006E-2</v>
      </c>
      <c r="AA161" s="310">
        <f>'Inputs by customer type'!AA204</f>
        <v>6.9000000000000006E-2</v>
      </c>
      <c r="AB161" s="310">
        <f>'Inputs by customer type'!AB204</f>
        <v>4.8000000000000001E-2</v>
      </c>
      <c r="AC161" s="310">
        <f>'Inputs by customer type'!AC204</f>
        <v>4.8000000000000001E-2</v>
      </c>
      <c r="AD161" s="310">
        <f>'Inputs by customer type'!AD204</f>
        <v>4.8000000000000001E-2</v>
      </c>
      <c r="AE161" s="310">
        <f>'Inputs by customer type'!AE204</f>
        <v>4.8000000000000001E-2</v>
      </c>
      <c r="AF161" s="310">
        <f>'Inputs by customer type'!AF204</f>
        <v>4.8000000000000001E-2</v>
      </c>
      <c r="AG161" s="310">
        <f>'Inputs by customer type'!AG204</f>
        <v>0</v>
      </c>
      <c r="AH161" s="310">
        <f>'Inputs by customer type'!AH204</f>
        <v>0</v>
      </c>
      <c r="AI161" s="310">
        <f>'Inputs by customer type'!AI204</f>
        <v>0</v>
      </c>
      <c r="AJ161" s="310">
        <f>'Inputs by customer type'!AJ204</f>
        <v>0.126</v>
      </c>
      <c r="AK161" s="310">
        <f>'Inputs by customer type'!AK204</f>
        <v>0</v>
      </c>
      <c r="AL161" s="310">
        <f>'Inputs by customer type'!AL204</f>
        <v>0.122</v>
      </c>
      <c r="AM161" s="310">
        <f>'Inputs by customer type'!AM204</f>
        <v>0</v>
      </c>
      <c r="AN161" s="310">
        <f>'Inputs by customer type'!AN204</f>
        <v>0.104</v>
      </c>
      <c r="AO161" s="310">
        <f>'Inputs by customer type'!AO204</f>
        <v>0</v>
      </c>
      <c r="AP161" s="267"/>
      <c r="AQ161" s="267"/>
    </row>
    <row r="162" spans="2:43" x14ac:dyDescent="0.2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2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2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25">
      <c r="D165" s="86" t="s">
        <v>736</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25">
      <c r="D166" s="134" t="s">
        <v>737</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25">
      <c r="E168" s="145" t="s">
        <v>738</v>
      </c>
      <c r="F168" s="145"/>
      <c r="G168" s="145" t="s">
        <v>275</v>
      </c>
      <c r="H168" s="145"/>
      <c r="I168" s="145"/>
      <c r="J168" s="238">
        <f>'Inputs by customer type'!J213</f>
        <v>183794512.0916124</v>
      </c>
      <c r="K168" s="238">
        <f>'Inputs by customer type'!K213</f>
        <v>249377.26641827606</v>
      </c>
      <c r="L168" s="238">
        <f>'Inputs by customer type'!L213</f>
        <v>1593.0990717822024</v>
      </c>
      <c r="M168" s="238">
        <f>'Inputs by customer type'!M213</f>
        <v>4644978.4638355374</v>
      </c>
      <c r="N168" s="238">
        <f>'Inputs by customer type'!N213</f>
        <v>8266466.7534394851</v>
      </c>
      <c r="O168" s="238">
        <f>'Inputs by customer type'!O213</f>
        <v>6984810.7738460097</v>
      </c>
      <c r="P168" s="238">
        <f>'Inputs by customer type'!P213</f>
        <v>19884357.077525776</v>
      </c>
      <c r="Q168" s="238">
        <f>'Inputs by customer type'!Q213</f>
        <v>49874.643345214194</v>
      </c>
      <c r="R168" s="238">
        <f>'Inputs by customer type'!R213</f>
        <v>19265.102617452194</v>
      </c>
      <c r="S168" s="238">
        <f>'Inputs by customer type'!S213</f>
        <v>12869728.448300241</v>
      </c>
      <c r="T168" s="238">
        <f>'Inputs by customer type'!T213</f>
        <v>14899292.238293063</v>
      </c>
      <c r="U168" s="238">
        <f>'Inputs by customer type'!U213</f>
        <v>9533597.4846087415</v>
      </c>
      <c r="V168" s="238">
        <f>'Inputs by customer type'!V213</f>
        <v>17378908.502850283</v>
      </c>
      <c r="W168" s="238">
        <f>'Inputs by customer type'!W213</f>
        <v>809.24724451785266</v>
      </c>
      <c r="X168" s="238">
        <f>'Inputs by customer type'!X213</f>
        <v>56452.776291216403</v>
      </c>
      <c r="Y168" s="238">
        <f>'Inputs by customer type'!Y213</f>
        <v>168125.17774130002</v>
      </c>
      <c r="Z168" s="238">
        <f>'Inputs by customer type'!Z213</f>
        <v>487986.06002651213</v>
      </c>
      <c r="AA168" s="238">
        <f>'Inputs by customer type'!AA213</f>
        <v>10554376.842591954</v>
      </c>
      <c r="AB168" s="238">
        <f>'Inputs by customer type'!AB213</f>
        <v>478835.14540924673</v>
      </c>
      <c r="AC168" s="238">
        <f>'Inputs by customer type'!AC213</f>
        <v>2227961.939204467</v>
      </c>
      <c r="AD168" s="238">
        <f>'Inputs by customer type'!AD213</f>
        <v>6955853.0797291864</v>
      </c>
      <c r="AE168" s="238">
        <f>'Inputs by customer type'!AE213</f>
        <v>6284046.8376187151</v>
      </c>
      <c r="AF168" s="238">
        <f>'Inputs by customer type'!AF213</f>
        <v>23978568.631382667</v>
      </c>
      <c r="AG168" s="238">
        <f>'Inputs by customer type'!AG213</f>
        <v>2515532.6646171017</v>
      </c>
      <c r="AH168" s="238">
        <f>'Inputs by customer type'!AH213</f>
        <v>-2086478.8392677195</v>
      </c>
      <c r="AI168" s="238">
        <f>'Inputs by customer type'!AI213</f>
        <v>0</v>
      </c>
      <c r="AJ168" s="238">
        <f>'Inputs by customer type'!AJ213</f>
        <v>-430854.68224099989</v>
      </c>
      <c r="AK168" s="238">
        <f>'Inputs by customer type'!AK213</f>
        <v>0</v>
      </c>
      <c r="AL168" s="238">
        <f>'Inputs by customer type'!AL213</f>
        <v>-12998.077112999998</v>
      </c>
      <c r="AM168" s="238">
        <f>'Inputs by customer type'!AM213</f>
        <v>0</v>
      </c>
      <c r="AN168" s="238">
        <f>'Inputs by customer type'!AN213</f>
        <v>-5337277.4795239996</v>
      </c>
      <c r="AO168" s="238">
        <f>'Inputs by customer type'!AO213</f>
        <v>0</v>
      </c>
    </row>
    <row r="169" spans="2:43" x14ac:dyDescent="0.2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25">
      <c r="E170" t="s">
        <v>739</v>
      </c>
      <c r="G170" t="s">
        <v>275</v>
      </c>
      <c r="J170" s="168">
        <f t="shared" ref="J170:AO170" si="36">IF(J168 = 0, SUMPRODUCT(J25:J27, J158:J160) / hundred * days_in_year + ( SUMPRODUCT(J22:J24, J155:J157)  + J161*J28) * ten, J168)</f>
        <v>183794512.0916124</v>
      </c>
      <c r="K170" s="168">
        <f t="shared" si="36"/>
        <v>249377.26641827606</v>
      </c>
      <c r="L170" s="168">
        <f t="shared" si="36"/>
        <v>1593.0990717822024</v>
      </c>
      <c r="M170" s="168">
        <f t="shared" si="36"/>
        <v>4644978.4638355374</v>
      </c>
      <c r="N170" s="168">
        <f t="shared" si="36"/>
        <v>8266466.7534394851</v>
      </c>
      <c r="O170" s="168">
        <f t="shared" si="36"/>
        <v>6984810.7738460097</v>
      </c>
      <c r="P170" s="168">
        <f t="shared" si="36"/>
        <v>19884357.077525776</v>
      </c>
      <c r="Q170" s="168">
        <f t="shared" si="36"/>
        <v>49874.643345214194</v>
      </c>
      <c r="R170" s="168">
        <f t="shared" si="36"/>
        <v>19265.102617452194</v>
      </c>
      <c r="S170" s="168">
        <f t="shared" si="36"/>
        <v>12869728.448300241</v>
      </c>
      <c r="T170" s="168">
        <f t="shared" si="36"/>
        <v>14899292.238293063</v>
      </c>
      <c r="U170" s="168">
        <f t="shared" si="36"/>
        <v>9533597.4846087415</v>
      </c>
      <c r="V170" s="168">
        <f t="shared" si="36"/>
        <v>17378908.502850283</v>
      </c>
      <c r="W170" s="168">
        <f t="shared" si="36"/>
        <v>809.24724451785266</v>
      </c>
      <c r="X170" s="168">
        <f t="shared" si="36"/>
        <v>56452.776291216403</v>
      </c>
      <c r="Y170" s="168">
        <f t="shared" si="36"/>
        <v>168125.17774130002</v>
      </c>
      <c r="Z170" s="168">
        <f t="shared" si="36"/>
        <v>487986.06002651213</v>
      </c>
      <c r="AA170" s="168">
        <f t="shared" si="36"/>
        <v>10554376.842591954</v>
      </c>
      <c r="AB170" s="168">
        <f t="shared" si="36"/>
        <v>478835.14540924673</v>
      </c>
      <c r="AC170" s="168">
        <f t="shared" si="36"/>
        <v>2227961.939204467</v>
      </c>
      <c r="AD170" s="168">
        <f t="shared" si="36"/>
        <v>6955853.0797291864</v>
      </c>
      <c r="AE170" s="168">
        <f t="shared" si="36"/>
        <v>6284046.8376187151</v>
      </c>
      <c r="AF170" s="168">
        <f t="shared" si="36"/>
        <v>23978568.631382667</v>
      </c>
      <c r="AG170" s="168">
        <f t="shared" si="36"/>
        <v>2515532.6646171017</v>
      </c>
      <c r="AH170" s="168">
        <f t="shared" si="36"/>
        <v>-2086478.8392677195</v>
      </c>
      <c r="AI170" s="168">
        <f t="shared" si="36"/>
        <v>0</v>
      </c>
      <c r="AJ170" s="168">
        <f t="shared" si="36"/>
        <v>-430854.68224099989</v>
      </c>
      <c r="AK170" s="168">
        <f t="shared" si="36"/>
        <v>0</v>
      </c>
      <c r="AL170" s="168">
        <f t="shared" si="36"/>
        <v>-12998.077112999998</v>
      </c>
      <c r="AM170" s="168">
        <f t="shared" si="36"/>
        <v>0</v>
      </c>
      <c r="AN170" s="168">
        <f t="shared" si="36"/>
        <v>-5337277.4795239996</v>
      </c>
      <c r="AO170" s="168">
        <f t="shared" si="36"/>
        <v>0</v>
      </c>
    </row>
    <row r="171" spans="2:43" x14ac:dyDescent="0.25">
      <c r="F171" s="3"/>
      <c r="G171" s="353"/>
      <c r="H171" s="3"/>
      <c r="I171" s="3"/>
    </row>
    <row r="172" spans="2:43" x14ac:dyDescent="0.25">
      <c r="E172" t="s">
        <v>740</v>
      </c>
      <c r="G172" s="61" t="s">
        <v>165</v>
      </c>
      <c r="J172" s="362">
        <f t="shared" ref="J172:AH172" si="37">IF( J170 &lt;&gt; 0, (J102 - J170) / J170, "-")</f>
        <v>4.8167451940142603E-2</v>
      </c>
      <c r="K172" s="362">
        <f t="shared" si="37"/>
        <v>-0.22897570963229061</v>
      </c>
      <c r="L172" s="362">
        <f t="shared" si="37"/>
        <v>0.33241563135029117</v>
      </c>
      <c r="M172" s="362">
        <f t="shared" si="37"/>
        <v>4.5183636863652267E-2</v>
      </c>
      <c r="N172" s="362">
        <f t="shared" si="37"/>
        <v>2.9035146625516414E-2</v>
      </c>
      <c r="O172" s="362">
        <f t="shared" si="37"/>
        <v>6.4556450910134372E-2</v>
      </c>
      <c r="P172" s="362">
        <f t="shared" si="37"/>
        <v>6.6213584107604903E-2</v>
      </c>
      <c r="Q172" s="362">
        <f t="shared" si="37"/>
        <v>-6.3666980583267141E-2</v>
      </c>
      <c r="R172" s="362">
        <f t="shared" si="37"/>
        <v>0.11406297663216296</v>
      </c>
      <c r="S172" s="362">
        <f t="shared" si="37"/>
        <v>8.9027239696962468E-2</v>
      </c>
      <c r="T172" s="362">
        <f t="shared" si="37"/>
        <v>9.9097903483468391E-2</v>
      </c>
      <c r="U172" s="362">
        <f t="shared" si="37"/>
        <v>0.110849457131105</v>
      </c>
      <c r="V172" s="362">
        <f t="shared" si="37"/>
        <v>6.3745638154019527E-2</v>
      </c>
      <c r="W172" s="362">
        <f t="shared" si="37"/>
        <v>0.25212253460270984</v>
      </c>
      <c r="X172" s="362">
        <f t="shared" si="37"/>
        <v>-0.50886156694513829</v>
      </c>
      <c r="Y172" s="362">
        <f t="shared" si="37"/>
        <v>0.13169776032326311</v>
      </c>
      <c r="Z172" s="362">
        <f t="shared" si="37"/>
        <v>0.11280775657510278</v>
      </c>
      <c r="AA172" s="362">
        <f t="shared" si="37"/>
        <v>0.11717487638595749</v>
      </c>
      <c r="AB172" s="362">
        <f t="shared" si="37"/>
        <v>8.7493973764518104E-2</v>
      </c>
      <c r="AC172" s="362">
        <f t="shared" si="37"/>
        <v>0.10089611222155603</v>
      </c>
      <c r="AD172" s="362">
        <f t="shared" si="37"/>
        <v>0.123734946078455</v>
      </c>
      <c r="AE172" s="362">
        <f t="shared" si="37"/>
        <v>0.11997097769276102</v>
      </c>
      <c r="AF172" s="362">
        <f t="shared" si="37"/>
        <v>9.8582042288826097E-2</v>
      </c>
      <c r="AG172" s="362">
        <f t="shared" si="37"/>
        <v>0.11344935536177393</v>
      </c>
      <c r="AH172" s="362">
        <f t="shared" si="37"/>
        <v>-0.58065939935791044</v>
      </c>
      <c r="AI172" s="362" t="str">
        <f>IF( AI170 &lt;&gt; 0, (AI102 - AI170) / AI170, "-")</f>
        <v>-</v>
      </c>
      <c r="AJ172" s="362">
        <f t="shared" ref="AJ172:AO172" si="38">IF( AJ170 &lt;&gt; 0, (AJ102 - AJ170) / AJ170, "-")</f>
        <v>0.22834471107121199</v>
      </c>
      <c r="AK172" s="362" t="str">
        <f t="shared" si="38"/>
        <v>-</v>
      </c>
      <c r="AL172" s="362">
        <f t="shared" si="38"/>
        <v>0.98098218622254796</v>
      </c>
      <c r="AM172" s="362" t="str">
        <f t="shared" si="38"/>
        <v>-</v>
      </c>
      <c r="AN172" s="362">
        <f t="shared" si="38"/>
        <v>0.17315209160184419</v>
      </c>
      <c r="AO172" s="362" t="str">
        <f t="shared" si="38"/>
        <v>-</v>
      </c>
    </row>
    <row r="173" spans="2:43" x14ac:dyDescent="0.25">
      <c r="C173" s="105"/>
      <c r="D173" s="2"/>
      <c r="E173" s="2"/>
      <c r="G173" s="61"/>
    </row>
    <row r="174" spans="2:43" x14ac:dyDescent="0.25">
      <c r="E174" t="s">
        <v>741</v>
      </c>
      <c r="G174" s="61" t="s">
        <v>267</v>
      </c>
      <c r="H174" s="267"/>
      <c r="I174" s="267"/>
      <c r="J174" s="268">
        <f t="shared" ref="J174:AO174" si="39" xml:space="preserve"> IF( SUM(J22:J24) = 0, "-", (J102 - J170) / SUM(J22:J24)/ ten)</f>
        <v>0.2130631368763877</v>
      </c>
      <c r="K174" s="268">
        <f t="shared" si="39"/>
        <v>-0.25400992720423904</v>
      </c>
      <c r="L174" s="268">
        <f t="shared" si="39"/>
        <v>0.72591208170871568</v>
      </c>
      <c r="M174" s="268">
        <f t="shared" si="39"/>
        <v>0.19974318753855497</v>
      </c>
      <c r="N174" s="268">
        <f t="shared" si="39"/>
        <v>9.5783544382997604E-2</v>
      </c>
      <c r="O174" s="268">
        <f t="shared" si="39"/>
        <v>0.18164150535814566</v>
      </c>
      <c r="P174" s="268">
        <f t="shared" si="39"/>
        <v>0.17372186665585096</v>
      </c>
      <c r="Q174" s="268">
        <f t="shared" si="39"/>
        <v>-7.8426485569542806E-2</v>
      </c>
      <c r="R174" s="268">
        <f t="shared" si="39"/>
        <v>1.7658732720532744</v>
      </c>
      <c r="S174" s="268">
        <f t="shared" si="39"/>
        <v>0.25823953910940117</v>
      </c>
      <c r="T174" s="268">
        <f t="shared" si="39"/>
        <v>0.29845683678290358</v>
      </c>
      <c r="U174" s="268">
        <f t="shared" si="39"/>
        <v>0.3374976510711688</v>
      </c>
      <c r="V174" s="268">
        <f t="shared" si="39"/>
        <v>0.20355678781054207</v>
      </c>
      <c r="W174" s="268">
        <f t="shared" si="39"/>
        <v>0.81840138407075569</v>
      </c>
      <c r="X174" s="268">
        <f t="shared" si="39"/>
        <v>-1.5753548888372164</v>
      </c>
      <c r="Y174" s="268">
        <f t="shared" si="39"/>
        <v>0.20629607029145602</v>
      </c>
      <c r="Z174" s="268">
        <f t="shared" si="39"/>
        <v>0.16318189852175741</v>
      </c>
      <c r="AA174" s="268">
        <f t="shared" si="39"/>
        <v>0.20629603893954412</v>
      </c>
      <c r="AB174" s="268">
        <f t="shared" si="39"/>
        <v>1.1597941978430484</v>
      </c>
      <c r="AC174" s="268">
        <f t="shared" si="39"/>
        <v>0.19135461553399169</v>
      </c>
      <c r="AD174" s="268">
        <f t="shared" si="39"/>
        <v>0.21084585761415001</v>
      </c>
      <c r="AE174" s="268">
        <f t="shared" si="39"/>
        <v>0.21292965099402467</v>
      </c>
      <c r="AF174" s="268">
        <f t="shared" si="39"/>
        <v>0.17322988695693983</v>
      </c>
      <c r="AG174" s="268">
        <f t="shared" si="39"/>
        <v>0.27325128764202428</v>
      </c>
      <c r="AH174" s="268">
        <f t="shared" si="39"/>
        <v>2.3138406421933388</v>
      </c>
      <c r="AI174" s="268" t="str">
        <f t="shared" si="39"/>
        <v>-</v>
      </c>
      <c r="AJ174" s="268">
        <f t="shared" si="39"/>
        <v>-0.24202547061355131</v>
      </c>
      <c r="AK174" s="268" t="str">
        <f t="shared" si="39"/>
        <v>-</v>
      </c>
      <c r="AL174" s="268">
        <f t="shared" si="39"/>
        <v>-0.52063204126027696</v>
      </c>
      <c r="AM174" s="268" t="str">
        <f t="shared" si="39"/>
        <v>-</v>
      </c>
      <c r="AN174" s="268">
        <f t="shared" si="39"/>
        <v>-0.10550705737937827</v>
      </c>
      <c r="AO174" s="268" t="str">
        <f t="shared" si="39"/>
        <v>-</v>
      </c>
      <c r="AP174" s="267"/>
      <c r="AQ174" s="267"/>
    </row>
    <row r="175" spans="2:43" x14ac:dyDescent="0.25">
      <c r="C175" s="105"/>
      <c r="D175" s="2"/>
      <c r="E175" s="2"/>
      <c r="G175" s="61"/>
    </row>
    <row r="176" spans="2:43" x14ac:dyDescent="0.25">
      <c r="B176" s="85" t="s">
        <v>742</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25">
      <c r="F177" s="3"/>
      <c r="G177" s="353"/>
      <c r="H177" s="3"/>
      <c r="I177" s="3"/>
    </row>
    <row r="178" spans="3:43" x14ac:dyDescent="0.2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25">
      <c r="C179" s="105"/>
      <c r="D179" s="2"/>
      <c r="E179" s="2"/>
      <c r="G179" s="61"/>
    </row>
    <row r="180" spans="3:43" x14ac:dyDescent="0.25">
      <c r="E180" s="75" t="s">
        <v>743</v>
      </c>
      <c r="G180" s="61"/>
      <c r="H180" s="174"/>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25">
      <c r="E181" s="86" t="s">
        <v>744</v>
      </c>
    </row>
    <row r="182" spans="3:43" x14ac:dyDescent="0.25">
      <c r="E182" s="94"/>
      <c r="F182" s="95" t="s">
        <v>154</v>
      </c>
      <c r="G182" s="143" t="s">
        <v>745</v>
      </c>
      <c r="H182" s="363"/>
      <c r="I182" s="95"/>
      <c r="J182" s="147">
        <f t="shared" ref="J182:AO182" si="40" xml:space="preserve"> IF( J$25 &lt;&gt; 0, J$22 * thousand * J64 / hundred / J$25, 0)</f>
        <v>25.741493198308515</v>
      </c>
      <c r="K182" s="147">
        <f t="shared" si="40"/>
        <v>6.2578079723716051</v>
      </c>
      <c r="L182" s="147">
        <f t="shared" si="40"/>
        <v>58.463040563626038</v>
      </c>
      <c r="M182" s="147">
        <f t="shared" si="40"/>
        <v>24.949665792486545</v>
      </c>
      <c r="N182" s="147">
        <f t="shared" si="40"/>
        <v>69.332296040888991</v>
      </c>
      <c r="O182" s="147">
        <f t="shared" si="40"/>
        <v>147.55280864690721</v>
      </c>
      <c r="P182" s="147">
        <f t="shared" si="40"/>
        <v>404.21621881601806</v>
      </c>
      <c r="Q182" s="147">
        <f t="shared" si="40"/>
        <v>25.392565298810378</v>
      </c>
      <c r="R182" s="147">
        <f t="shared" si="40"/>
        <v>47.556975137237444</v>
      </c>
      <c r="S182" s="147">
        <f t="shared" si="40"/>
        <v>451.02891149089481</v>
      </c>
      <c r="T182" s="147">
        <f t="shared" si="40"/>
        <v>1007.9105180907358</v>
      </c>
      <c r="U182" s="147">
        <f t="shared" si="40"/>
        <v>1468.1284580300019</v>
      </c>
      <c r="V182" s="147">
        <f t="shared" si="40"/>
        <v>2996.9770428456322</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1281.4905238930846</v>
      </c>
      <c r="AH182" s="147">
        <f t="shared" si="40"/>
        <v>-21.216166881252573</v>
      </c>
      <c r="AI182" s="147">
        <f t="shared" si="40"/>
        <v>0</v>
      </c>
      <c r="AJ182" s="147">
        <f t="shared" si="40"/>
        <v>-878.66623445161258</v>
      </c>
      <c r="AK182" s="147">
        <f t="shared" si="40"/>
        <v>0</v>
      </c>
      <c r="AL182" s="147">
        <f t="shared" si="40"/>
        <v>0</v>
      </c>
      <c r="AM182" s="147">
        <f t="shared" si="40"/>
        <v>0</v>
      </c>
      <c r="AN182" s="147">
        <f t="shared" si="40"/>
        <v>0</v>
      </c>
      <c r="AO182" s="147">
        <f t="shared" si="40"/>
        <v>0</v>
      </c>
    </row>
    <row r="183" spans="3:43" x14ac:dyDescent="0.25">
      <c r="E183" s="94"/>
      <c r="F183" t="s">
        <v>155</v>
      </c>
      <c r="G183" s="61" t="s">
        <v>745</v>
      </c>
      <c r="H183" s="249"/>
      <c r="J183" s="168">
        <f t="shared" ref="J183:AO183" si="41" xml:space="preserve"> IF( J$25 &lt;&gt; 0, J$23 * thousand * J65 / hundred / J$25, 0)</f>
        <v>9.6157342621250308</v>
      </c>
      <c r="K183" s="168">
        <f t="shared" si="41"/>
        <v>5.408337643519439</v>
      </c>
      <c r="L183" s="168">
        <f t="shared" si="41"/>
        <v>29.148290830496126</v>
      </c>
      <c r="M183" s="168">
        <f t="shared" si="41"/>
        <v>14.039977232121579</v>
      </c>
      <c r="N183" s="168">
        <f t="shared" si="41"/>
        <v>39.195053457119087</v>
      </c>
      <c r="O183" s="168">
        <f t="shared" si="41"/>
        <v>82.68723744557137</v>
      </c>
      <c r="P183" s="168">
        <f t="shared" si="41"/>
        <v>216.6114639080312</v>
      </c>
      <c r="Q183" s="168">
        <f t="shared" si="41"/>
        <v>12.562119456580321</v>
      </c>
      <c r="R183" s="168">
        <f t="shared" si="41"/>
        <v>21.118483999592325</v>
      </c>
      <c r="S183" s="168">
        <f t="shared" si="41"/>
        <v>234.5791477095637</v>
      </c>
      <c r="T183" s="168">
        <f t="shared" si="41"/>
        <v>495.06597002662784</v>
      </c>
      <c r="U183" s="168">
        <f t="shared" si="41"/>
        <v>747.10066568385332</v>
      </c>
      <c r="V183" s="168">
        <f t="shared" si="41"/>
        <v>1592.5458191658495</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286.49139721769143</v>
      </c>
      <c r="AH183" s="168">
        <f t="shared" si="41"/>
        <v>-13.977086260588177</v>
      </c>
      <c r="AI183" s="168">
        <f t="shared" si="41"/>
        <v>0</v>
      </c>
      <c r="AJ183" s="168">
        <f t="shared" si="41"/>
        <v>-455.25672118279579</v>
      </c>
      <c r="AK183" s="168">
        <f t="shared" si="41"/>
        <v>0</v>
      </c>
      <c r="AL183" s="168">
        <f t="shared" si="41"/>
        <v>0</v>
      </c>
      <c r="AM183" s="168">
        <f t="shared" si="41"/>
        <v>0</v>
      </c>
      <c r="AN183" s="168">
        <f t="shared" si="41"/>
        <v>0</v>
      </c>
      <c r="AO183" s="168">
        <f t="shared" si="41"/>
        <v>0</v>
      </c>
    </row>
    <row r="184" spans="3:43" x14ac:dyDescent="0.25">
      <c r="E184" s="94"/>
      <c r="F184" t="s">
        <v>156</v>
      </c>
      <c r="G184" s="61" t="s">
        <v>745</v>
      </c>
      <c r="H184" s="249"/>
      <c r="J184" s="168">
        <f t="shared" ref="J184:AO184" si="42" xml:space="preserve"> IF( J$25 &lt;&gt; 0, J$24 * thousand * J66 / hundred / J$25, 0)</f>
        <v>2.0242511647624024</v>
      </c>
      <c r="K184" s="168">
        <f t="shared" si="42"/>
        <v>3.2906111770897217</v>
      </c>
      <c r="L184" s="168">
        <f t="shared" si="42"/>
        <v>6.4536814616487206</v>
      </c>
      <c r="M184" s="168">
        <f t="shared" si="42"/>
        <v>2.0480335675457764</v>
      </c>
      <c r="N184" s="168">
        <f t="shared" si="42"/>
        <v>5.6986520083452303</v>
      </c>
      <c r="O184" s="168">
        <f t="shared" si="42"/>
        <v>12.570685202734367</v>
      </c>
      <c r="P184" s="168">
        <f t="shared" si="42"/>
        <v>34.697154408587259</v>
      </c>
      <c r="Q184" s="168">
        <f t="shared" si="42"/>
        <v>8.7439257824426999</v>
      </c>
      <c r="R184" s="168">
        <f t="shared" si="42"/>
        <v>5.2539973430139506</v>
      </c>
      <c r="S184" s="168">
        <f t="shared" si="42"/>
        <v>37.854265868062036</v>
      </c>
      <c r="T184" s="168">
        <f t="shared" si="42"/>
        <v>82.851892224232088</v>
      </c>
      <c r="U184" s="168">
        <f t="shared" si="42"/>
        <v>125.32709029146984</v>
      </c>
      <c r="V184" s="168">
        <f t="shared" si="42"/>
        <v>260.51866152247305</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237.68023182812794</v>
      </c>
      <c r="AH184" s="168">
        <f t="shared" si="42"/>
        <v>-1.1684970400310537</v>
      </c>
      <c r="AI184" s="168">
        <f t="shared" si="42"/>
        <v>0</v>
      </c>
      <c r="AJ184" s="168">
        <f t="shared" si="42"/>
        <v>-97.413496169354829</v>
      </c>
      <c r="AK184" s="168">
        <f t="shared" si="42"/>
        <v>0</v>
      </c>
      <c r="AL184" s="168">
        <f t="shared" si="42"/>
        <v>0</v>
      </c>
      <c r="AM184" s="168">
        <f t="shared" si="42"/>
        <v>0</v>
      </c>
      <c r="AN184" s="168">
        <f t="shared" si="42"/>
        <v>0</v>
      </c>
      <c r="AO184" s="168">
        <f t="shared" si="42"/>
        <v>0</v>
      </c>
    </row>
    <row r="185" spans="3:43" x14ac:dyDescent="0.25">
      <c r="E185" s="94"/>
      <c r="F185" s="95" t="s">
        <v>157</v>
      </c>
      <c r="G185" s="143" t="s">
        <v>745</v>
      </c>
      <c r="H185" s="363"/>
      <c r="I185" s="95"/>
      <c r="J185" s="147">
        <f t="shared" ref="J185:AO185" si="43" xml:space="preserve"> IF( J$25 &lt;&gt; 0, J$25 * J67 * days_in_year / hundred / J$25, 0)</f>
        <v>38.690000000000005</v>
      </c>
      <c r="K185" s="147">
        <f t="shared" si="43"/>
        <v>0</v>
      </c>
      <c r="L185" s="147">
        <f t="shared" si="43"/>
        <v>31.682000000000002</v>
      </c>
      <c r="M185" s="147">
        <f t="shared" si="43"/>
        <v>36.025500000000001</v>
      </c>
      <c r="N185" s="147">
        <f t="shared" si="43"/>
        <v>43.508000000000003</v>
      </c>
      <c r="O185" s="147">
        <f t="shared" si="43"/>
        <v>57.158999999999999</v>
      </c>
      <c r="P185" s="147">
        <f t="shared" si="43"/>
        <v>100.30200000000001</v>
      </c>
      <c r="Q185" s="147">
        <f t="shared" si="43"/>
        <v>0</v>
      </c>
      <c r="R185" s="147">
        <f t="shared" si="43"/>
        <v>32.813499999999998</v>
      </c>
      <c r="S185" s="147">
        <f t="shared" si="43"/>
        <v>147.2775</v>
      </c>
      <c r="T185" s="147">
        <f t="shared" si="43"/>
        <v>279.73600000000005</v>
      </c>
      <c r="U185" s="147">
        <f t="shared" si="43"/>
        <v>419.38499999999993</v>
      </c>
      <c r="V185" s="147">
        <f t="shared" si="43"/>
        <v>1039.8485000000001</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25">
      <c r="E186" s="94"/>
      <c r="F186" t="s">
        <v>158</v>
      </c>
      <c r="G186" s="61" t="s">
        <v>745</v>
      </c>
      <c r="H186" s="249"/>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699.02982056600399</v>
      </c>
      <c r="S186" s="168">
        <f t="shared" si="44"/>
        <v>515.72073140022189</v>
      </c>
      <c r="T186" s="168">
        <f t="shared" si="44"/>
        <v>1329.2385736054332</v>
      </c>
      <c r="U186" s="168">
        <f t="shared" si="44"/>
        <v>2161.3090367344516</v>
      </c>
      <c r="V186" s="168">
        <f t="shared" si="44"/>
        <v>4469.3324020879445</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25">
      <c r="E187" s="94"/>
      <c r="F187" t="s">
        <v>159</v>
      </c>
      <c r="G187" s="61" t="s">
        <v>745</v>
      </c>
      <c r="H187" s="249"/>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78.566594467359309</v>
      </c>
      <c r="S187" s="168">
        <f t="shared" si="45"/>
        <v>30.979011405052258</v>
      </c>
      <c r="T187" s="168">
        <f t="shared" si="45"/>
        <v>15.35429387817287</v>
      </c>
      <c r="U187" s="168">
        <f t="shared" si="45"/>
        <v>14.783268755668997</v>
      </c>
      <c r="V187" s="168">
        <f t="shared" si="45"/>
        <v>21.624674605671096</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25">
      <c r="E188" s="94"/>
      <c r="F188" s="95" t="s">
        <v>160</v>
      </c>
      <c r="G188" s="143" t="s">
        <v>745</v>
      </c>
      <c r="H188" s="363"/>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5.5357067862487108</v>
      </c>
      <c r="S188" s="147">
        <f t="shared" si="46"/>
        <v>5.1026845285283793</v>
      </c>
      <c r="T188" s="147">
        <f t="shared" si="46"/>
        <v>12.021382774767202</v>
      </c>
      <c r="U188" s="147">
        <f t="shared" si="46"/>
        <v>16.669072855446363</v>
      </c>
      <c r="V188" s="147">
        <f t="shared" si="46"/>
        <v>44.183060233473483</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8.6534674731182797</v>
      </c>
      <c r="AK188" s="147">
        <f t="shared" si="46"/>
        <v>0</v>
      </c>
      <c r="AL188" s="147">
        <f t="shared" si="46"/>
        <v>0</v>
      </c>
      <c r="AM188" s="147">
        <f t="shared" si="46"/>
        <v>0</v>
      </c>
      <c r="AN188" s="147">
        <f t="shared" si="46"/>
        <v>0</v>
      </c>
      <c r="AO188" s="147">
        <f t="shared" si="46"/>
        <v>0</v>
      </c>
    </row>
    <row r="189" spans="3:43" x14ac:dyDescent="0.25">
      <c r="E189" s="94"/>
      <c r="F189" s="145" t="s">
        <v>99</v>
      </c>
      <c r="G189" s="355" t="s">
        <v>745</v>
      </c>
      <c r="H189" s="364"/>
      <c r="I189" s="145"/>
      <c r="J189" s="146">
        <f t="shared" ref="J189" si="47">SUM(J182:J188)</f>
        <v>76.071478625195965</v>
      </c>
      <c r="K189" s="146">
        <f t="shared" ref="K189:AO189" si="48">SUM(K182:K188)</f>
        <v>14.956756792980766</v>
      </c>
      <c r="L189" s="146">
        <f t="shared" si="48"/>
        <v>125.74701285577088</v>
      </c>
      <c r="M189" s="146">
        <f t="shared" si="48"/>
        <v>77.063176592153908</v>
      </c>
      <c r="N189" s="146">
        <f t="shared" si="48"/>
        <v>157.73400150635331</v>
      </c>
      <c r="O189" s="146">
        <f t="shared" si="48"/>
        <v>299.96973129521291</v>
      </c>
      <c r="P189" s="146">
        <f t="shared" si="48"/>
        <v>755.82683713263657</v>
      </c>
      <c r="Q189" s="146">
        <f t="shared" si="48"/>
        <v>46.698610537833403</v>
      </c>
      <c r="R189" s="146">
        <f t="shared" si="48"/>
        <v>889.87507829945582</v>
      </c>
      <c r="S189" s="146">
        <f t="shared" si="48"/>
        <v>1422.5422524023231</v>
      </c>
      <c r="T189" s="146">
        <f t="shared" si="48"/>
        <v>3222.178630599969</v>
      </c>
      <c r="U189" s="146">
        <f t="shared" si="48"/>
        <v>4952.7025923508927</v>
      </c>
      <c r="V189" s="146">
        <f t="shared" si="48"/>
        <v>10425.030160461043</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1805.662152938904</v>
      </c>
      <c r="AH189" s="146">
        <f t="shared" si="48"/>
        <v>-36.361750181871805</v>
      </c>
      <c r="AI189" s="146">
        <f t="shared" si="48"/>
        <v>0</v>
      </c>
      <c r="AJ189" s="146">
        <f t="shared" si="48"/>
        <v>-1422.682984330645</v>
      </c>
      <c r="AK189" s="146">
        <f t="shared" si="48"/>
        <v>0</v>
      </c>
      <c r="AL189" s="146">
        <f t="shared" si="48"/>
        <v>0</v>
      </c>
      <c r="AM189" s="146">
        <f t="shared" si="48"/>
        <v>0</v>
      </c>
      <c r="AN189" s="146">
        <f t="shared" si="48"/>
        <v>0</v>
      </c>
      <c r="AO189" s="146">
        <f t="shared" si="48"/>
        <v>0</v>
      </c>
    </row>
    <row r="190" spans="3:43" x14ac:dyDescent="0.2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25">
      <c r="E191" s="75" t="s">
        <v>746</v>
      </c>
      <c r="G191" s="61"/>
      <c r="H191" s="174"/>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25">
      <c r="E192" s="86" t="s">
        <v>747</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25">
      <c r="C193" s="105"/>
      <c r="F193" s="95" t="s">
        <v>154</v>
      </c>
      <c r="G193" s="143" t="s">
        <v>745</v>
      </c>
      <c r="H193" s="363"/>
      <c r="I193" s="95"/>
      <c r="J193" s="147">
        <f t="shared" ref="J193:AO193" si="49" xml:space="preserve"> IF( J$25 &lt;&gt; 0, J$22 * thousand * J73 / hundred / J$25,0)</f>
        <v>17.286513227577714</v>
      </c>
      <c r="K193" s="147">
        <f t="shared" si="49"/>
        <v>4.2023855980954243</v>
      </c>
      <c r="L193" s="147">
        <f t="shared" si="49"/>
        <v>39.266451963487626</v>
      </c>
      <c r="M193" s="147">
        <f t="shared" si="49"/>
        <v>16.757336667762608</v>
      </c>
      <c r="N193" s="147">
        <f t="shared" si="49"/>
        <v>46.566741068573286</v>
      </c>
      <c r="O193" s="147">
        <f t="shared" si="49"/>
        <v>99.103214902172581</v>
      </c>
      <c r="P193" s="147">
        <f t="shared" si="49"/>
        <v>271.49010017239766</v>
      </c>
      <c r="Q193" s="147">
        <f t="shared" si="49"/>
        <v>17.054808233080703</v>
      </c>
      <c r="R193" s="147">
        <f t="shared" si="49"/>
        <v>31.941110787281396</v>
      </c>
      <c r="S193" s="147">
        <f t="shared" si="49"/>
        <v>302.92852706936196</v>
      </c>
      <c r="T193" s="147">
        <f t="shared" si="49"/>
        <v>676.95183365004266</v>
      </c>
      <c r="U193" s="147">
        <f t="shared" si="49"/>
        <v>986.05206896724644</v>
      </c>
      <c r="V193" s="147">
        <f t="shared" si="49"/>
        <v>2012.8861323965193</v>
      </c>
      <c r="W193" s="147">
        <f t="shared" si="49"/>
        <v>71.06131659122677</v>
      </c>
      <c r="X193" s="147">
        <f t="shared" si="49"/>
        <v>624.51427221571475</v>
      </c>
      <c r="Y193" s="147">
        <f t="shared" si="49"/>
        <v>1141.0888507973823</v>
      </c>
      <c r="Z193" s="147">
        <f t="shared" si="49"/>
        <v>1857.5165295806639</v>
      </c>
      <c r="AA193" s="147">
        <f t="shared" si="49"/>
        <v>3430.0857507903979</v>
      </c>
      <c r="AB193" s="147">
        <f t="shared" si="49"/>
        <v>86.49303154652354</v>
      </c>
      <c r="AC193" s="147">
        <f t="shared" si="49"/>
        <v>1653.9693090467149</v>
      </c>
      <c r="AD193" s="147">
        <f t="shared" si="49"/>
        <v>4606.1931266847942</v>
      </c>
      <c r="AE193" s="147">
        <f t="shared" si="49"/>
        <v>8534.4037357478355</v>
      </c>
      <c r="AF193" s="147">
        <f t="shared" si="49"/>
        <v>22417.9111042187</v>
      </c>
      <c r="AG193" s="147">
        <f t="shared" si="49"/>
        <v>860.61932576509992</v>
      </c>
      <c r="AH193" s="147">
        <f t="shared" si="49"/>
        <v>-21.216166881252573</v>
      </c>
      <c r="AI193" s="147">
        <f t="shared" si="49"/>
        <v>0</v>
      </c>
      <c r="AJ193" s="147">
        <f t="shared" si="49"/>
        <v>-878.66623445161258</v>
      </c>
      <c r="AK193" s="147">
        <f t="shared" si="49"/>
        <v>0</v>
      </c>
      <c r="AL193" s="147">
        <f t="shared" si="49"/>
        <v>-426.12782916666663</v>
      </c>
      <c r="AM193" s="147">
        <f t="shared" si="49"/>
        <v>0</v>
      </c>
      <c r="AN193" s="147">
        <f t="shared" si="49"/>
        <v>-24811.172650136359</v>
      </c>
      <c r="AO193" s="147">
        <f t="shared" si="49"/>
        <v>0</v>
      </c>
    </row>
    <row r="194" spans="3:43" x14ac:dyDescent="0.25">
      <c r="C194" s="105"/>
      <c r="F194" t="s">
        <v>155</v>
      </c>
      <c r="G194" s="61" t="s">
        <v>745</v>
      </c>
      <c r="H194" s="249"/>
      <c r="J194" s="168">
        <f t="shared" ref="J194:AO194" si="50" xml:space="preserve"> IF( J$25 &lt;&gt; 0, J$23 * thousand * J74 / hundred / J$25, 0)</f>
        <v>6.4551841560480776</v>
      </c>
      <c r="K194" s="168">
        <f t="shared" si="50"/>
        <v>3.6306967845937268</v>
      </c>
      <c r="L194" s="168">
        <f t="shared" si="50"/>
        <v>19.559367930760491</v>
      </c>
      <c r="M194" s="168">
        <f t="shared" si="50"/>
        <v>9.4212412665807115</v>
      </c>
      <c r="N194" s="168">
        <f t="shared" si="50"/>
        <v>26.301043724716042</v>
      </c>
      <c r="O194" s="168">
        <f t="shared" si="50"/>
        <v>55.485589524995099</v>
      </c>
      <c r="P194" s="168">
        <f t="shared" si="50"/>
        <v>145.35271880041537</v>
      </c>
      <c r="Q194" s="168">
        <f t="shared" si="50"/>
        <v>8.4295548534993614</v>
      </c>
      <c r="R194" s="168">
        <f t="shared" si="50"/>
        <v>14.164489268282571</v>
      </c>
      <c r="S194" s="168">
        <f t="shared" si="50"/>
        <v>157.33581162166419</v>
      </c>
      <c r="T194" s="168">
        <f t="shared" si="50"/>
        <v>332.04829568587593</v>
      </c>
      <c r="U194" s="168">
        <f t="shared" si="50"/>
        <v>501.09180950725391</v>
      </c>
      <c r="V194" s="168">
        <f t="shared" si="50"/>
        <v>1068.1447667009813</v>
      </c>
      <c r="W194" s="168">
        <f t="shared" si="50"/>
        <v>41.184423856917917</v>
      </c>
      <c r="X194" s="168">
        <f t="shared" si="50"/>
        <v>270.63696257175667</v>
      </c>
      <c r="Y194" s="168">
        <f t="shared" si="50"/>
        <v>494.08848427714503</v>
      </c>
      <c r="Z194" s="168">
        <f t="shared" si="50"/>
        <v>804.29707113782729</v>
      </c>
      <c r="AA194" s="168">
        <f t="shared" si="50"/>
        <v>1529.2416267171309</v>
      </c>
      <c r="AB194" s="168">
        <f t="shared" si="50"/>
        <v>52.05073316183281</v>
      </c>
      <c r="AC194" s="168">
        <f t="shared" si="50"/>
        <v>734.95995151483771</v>
      </c>
      <c r="AD194" s="168">
        <f t="shared" si="50"/>
        <v>1921.0613589562006</v>
      </c>
      <c r="AE194" s="168">
        <f t="shared" si="50"/>
        <v>3512.9831773263895</v>
      </c>
      <c r="AF194" s="168">
        <f t="shared" si="50"/>
        <v>8923.3529005977216</v>
      </c>
      <c r="AG194" s="168">
        <f t="shared" si="50"/>
        <v>192.24376000215182</v>
      </c>
      <c r="AH194" s="168">
        <f t="shared" si="50"/>
        <v>-13.977086260588177</v>
      </c>
      <c r="AI194" s="168">
        <f t="shared" si="50"/>
        <v>0</v>
      </c>
      <c r="AJ194" s="168">
        <f t="shared" si="50"/>
        <v>-455.25672118279579</v>
      </c>
      <c r="AK194" s="168">
        <f t="shared" si="50"/>
        <v>0</v>
      </c>
      <c r="AL194" s="168">
        <f t="shared" si="50"/>
        <v>-255.80315699999997</v>
      </c>
      <c r="AM194" s="168">
        <f t="shared" si="50"/>
        <v>0</v>
      </c>
      <c r="AN194" s="168">
        <f t="shared" si="50"/>
        <v>-9114.6826700284091</v>
      </c>
      <c r="AO194" s="168">
        <f t="shared" si="50"/>
        <v>0</v>
      </c>
    </row>
    <row r="195" spans="3:43" x14ac:dyDescent="0.25">
      <c r="C195" s="105"/>
      <c r="F195" t="s">
        <v>156</v>
      </c>
      <c r="G195" s="61" t="s">
        <v>745</v>
      </c>
      <c r="H195" s="249"/>
      <c r="J195" s="168">
        <f t="shared" ref="J195:AO195" si="51" xml:space="preserve"> IF( J$25 &lt;&gt; 0, J$24 * thousand * J75 / hundred / J$25, 0)</f>
        <v>1.3638571677477183</v>
      </c>
      <c r="K195" s="168">
        <f t="shared" si="51"/>
        <v>2.2170784526491034</v>
      </c>
      <c r="L195" s="168">
        <f t="shared" si="51"/>
        <v>4.3291776264475885</v>
      </c>
      <c r="M195" s="168">
        <f t="shared" si="51"/>
        <v>1.3738361819561731</v>
      </c>
      <c r="N195" s="168">
        <f t="shared" si="51"/>
        <v>3.8226982416228874</v>
      </c>
      <c r="O195" s="168">
        <f t="shared" si="51"/>
        <v>8.4325093285423076</v>
      </c>
      <c r="P195" s="168">
        <f t="shared" si="51"/>
        <v>23.275109789611331</v>
      </c>
      <c r="Q195" s="168">
        <f t="shared" si="51"/>
        <v>5.8654905869801954</v>
      </c>
      <c r="R195" s="168">
        <f t="shared" si="51"/>
        <v>3.5191868995659474</v>
      </c>
      <c r="S195" s="168">
        <f t="shared" si="51"/>
        <v>25.355215817286833</v>
      </c>
      <c r="T195" s="168">
        <f t="shared" si="51"/>
        <v>55.495135357740352</v>
      </c>
      <c r="U195" s="168">
        <f t="shared" si="51"/>
        <v>83.945503874475079</v>
      </c>
      <c r="V195" s="168">
        <f t="shared" si="51"/>
        <v>174.49834875561874</v>
      </c>
      <c r="W195" s="168">
        <f t="shared" si="51"/>
        <v>6.3338606671604962</v>
      </c>
      <c r="X195" s="168">
        <f t="shared" si="51"/>
        <v>60.073050992514204</v>
      </c>
      <c r="Y195" s="168">
        <f t="shared" si="51"/>
        <v>102.88995051241157</v>
      </c>
      <c r="Z195" s="168">
        <f t="shared" si="51"/>
        <v>172.75536907319815</v>
      </c>
      <c r="AA195" s="168">
        <f t="shared" si="51"/>
        <v>311.93622971282764</v>
      </c>
      <c r="AB195" s="168">
        <f t="shared" si="51"/>
        <v>15.0581594718176</v>
      </c>
      <c r="AC195" s="168">
        <f t="shared" si="51"/>
        <v>147.17064657962351</v>
      </c>
      <c r="AD195" s="168">
        <f t="shared" si="51"/>
        <v>400.64109684905691</v>
      </c>
      <c r="AE195" s="168">
        <f t="shared" si="51"/>
        <v>707.70544036525905</v>
      </c>
      <c r="AF195" s="168">
        <f t="shared" si="51"/>
        <v>2013.6653290326142</v>
      </c>
      <c r="AG195" s="168">
        <f t="shared" si="51"/>
        <v>159.26192404809933</v>
      </c>
      <c r="AH195" s="168">
        <f t="shared" si="51"/>
        <v>-1.1684970400310537</v>
      </c>
      <c r="AI195" s="168">
        <f t="shared" si="51"/>
        <v>0</v>
      </c>
      <c r="AJ195" s="168">
        <f t="shared" si="51"/>
        <v>-97.413496169354829</v>
      </c>
      <c r="AK195" s="168">
        <f t="shared" si="51"/>
        <v>0</v>
      </c>
      <c r="AL195" s="168">
        <f t="shared" si="51"/>
        <v>-48.543006500000011</v>
      </c>
      <c r="AM195" s="168">
        <f t="shared" si="51"/>
        <v>0</v>
      </c>
      <c r="AN195" s="168">
        <f t="shared" si="51"/>
        <v>-2029.4831668977274</v>
      </c>
      <c r="AO195" s="168">
        <f t="shared" si="51"/>
        <v>0</v>
      </c>
    </row>
    <row r="196" spans="3:43" x14ac:dyDescent="0.25">
      <c r="C196" s="105"/>
      <c r="F196" s="95" t="s">
        <v>157</v>
      </c>
      <c r="G196" s="143" t="s">
        <v>745</v>
      </c>
      <c r="H196" s="363"/>
      <c r="I196" s="95"/>
      <c r="J196" s="147">
        <f t="shared" ref="J196:AO196" si="52" xml:space="preserve"> IF( J$25 &lt;&gt; 0, J$25 * J76 * days_in_year / hundred / J$25, 0)</f>
        <v>25.988000000000003</v>
      </c>
      <c r="K196" s="147">
        <f t="shared" si="52"/>
        <v>0</v>
      </c>
      <c r="L196" s="147">
        <f t="shared" si="52"/>
        <v>21.279500000000002</v>
      </c>
      <c r="M196" s="147">
        <f t="shared" si="52"/>
        <v>24.1995</v>
      </c>
      <c r="N196" s="147">
        <f t="shared" si="52"/>
        <v>29.236499999999999</v>
      </c>
      <c r="O196" s="147">
        <f t="shared" si="52"/>
        <v>38.398000000000003</v>
      </c>
      <c r="P196" s="147">
        <f t="shared" si="52"/>
        <v>67.379000000000019</v>
      </c>
      <c r="Q196" s="147">
        <f t="shared" si="52"/>
        <v>0</v>
      </c>
      <c r="R196" s="147">
        <f t="shared" si="52"/>
        <v>22.045999999999996</v>
      </c>
      <c r="S196" s="147">
        <f t="shared" si="52"/>
        <v>98.915000000000006</v>
      </c>
      <c r="T196" s="147">
        <f t="shared" si="52"/>
        <v>187.8655</v>
      </c>
      <c r="U196" s="147">
        <f t="shared" si="52"/>
        <v>281.63399999999996</v>
      </c>
      <c r="V196" s="147">
        <f t="shared" si="52"/>
        <v>698.35450000000003</v>
      </c>
      <c r="W196" s="147">
        <f t="shared" si="52"/>
        <v>37.594999999999999</v>
      </c>
      <c r="X196" s="147">
        <f t="shared" si="52"/>
        <v>168.59350000000001</v>
      </c>
      <c r="Y196" s="147">
        <f t="shared" si="52"/>
        <v>320.17799999999994</v>
      </c>
      <c r="Z196" s="147">
        <f t="shared" si="52"/>
        <v>480.01149999999996</v>
      </c>
      <c r="AA196" s="147">
        <f t="shared" si="52"/>
        <v>1190.192</v>
      </c>
      <c r="AB196" s="147">
        <f t="shared" si="52"/>
        <v>959.76749999999981</v>
      </c>
      <c r="AC196" s="147">
        <f t="shared" si="52"/>
        <v>2066.1555000000003</v>
      </c>
      <c r="AD196" s="147">
        <f t="shared" si="52"/>
        <v>3989.8879999999999</v>
      </c>
      <c r="AE196" s="147">
        <f t="shared" si="52"/>
        <v>6375.2725000000009</v>
      </c>
      <c r="AF196" s="147">
        <f t="shared" si="52"/>
        <v>15706.899000000001</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25">
      <c r="C197" s="105"/>
      <c r="F197" t="s">
        <v>158</v>
      </c>
      <c r="G197" s="61" t="s">
        <v>745</v>
      </c>
      <c r="H197" s="249"/>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469.6268453957365</v>
      </c>
      <c r="S197" s="168">
        <f t="shared" si="53"/>
        <v>346.47491861872487</v>
      </c>
      <c r="T197" s="168">
        <f t="shared" si="53"/>
        <v>893.01786523956366</v>
      </c>
      <c r="U197" s="168">
        <f t="shared" si="53"/>
        <v>1452.0249565677273</v>
      </c>
      <c r="V197" s="168">
        <f t="shared" si="53"/>
        <v>3002.6165054275039</v>
      </c>
      <c r="W197" s="168">
        <f t="shared" si="53"/>
        <v>449.60609151984045</v>
      </c>
      <c r="X197" s="168">
        <f t="shared" si="53"/>
        <v>580.74120154646062</v>
      </c>
      <c r="Y197" s="168">
        <f t="shared" si="53"/>
        <v>1693.5162780580663</v>
      </c>
      <c r="Z197" s="168">
        <f t="shared" si="53"/>
        <v>2334.7965454363639</v>
      </c>
      <c r="AA197" s="168">
        <f t="shared" si="53"/>
        <v>6315.0000947432909</v>
      </c>
      <c r="AB197" s="168">
        <f t="shared" si="53"/>
        <v>3920.4746982343918</v>
      </c>
      <c r="AC197" s="168">
        <f t="shared" si="53"/>
        <v>4507.7059276167902</v>
      </c>
      <c r="AD197" s="168">
        <f t="shared" si="53"/>
        <v>11836.053259487408</v>
      </c>
      <c r="AE197" s="168">
        <f t="shared" si="53"/>
        <v>23482.65402043211</v>
      </c>
      <c r="AF197" s="168">
        <f t="shared" si="53"/>
        <v>62909.907295070778</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25">
      <c r="C198" s="105"/>
      <c r="F198" t="s">
        <v>159</v>
      </c>
      <c r="G198" s="61" t="s">
        <v>745</v>
      </c>
      <c r="H198" s="249"/>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52.783130029154698</v>
      </c>
      <c r="S198" s="168">
        <f t="shared" si="54"/>
        <v>20.812524690081549</v>
      </c>
      <c r="T198" s="168">
        <f t="shared" si="54"/>
        <v>10.315423441373103</v>
      </c>
      <c r="U198" s="168">
        <f t="shared" si="54"/>
        <v>9.9317935603101315</v>
      </c>
      <c r="V198" s="168">
        <f t="shared" si="54"/>
        <v>14.528032165419901</v>
      </c>
      <c r="W198" s="168">
        <f t="shared" si="54"/>
        <v>0</v>
      </c>
      <c r="X198" s="168">
        <f t="shared" si="54"/>
        <v>130.55000620888882</v>
      </c>
      <c r="Y198" s="168">
        <f t="shared" si="54"/>
        <v>25.005489473569209</v>
      </c>
      <c r="Z198" s="168">
        <f t="shared" si="54"/>
        <v>25.591133553366738</v>
      </c>
      <c r="AA198" s="168">
        <f t="shared" si="54"/>
        <v>24.687499487688786</v>
      </c>
      <c r="AB198" s="168">
        <f t="shared" si="54"/>
        <v>407.29597010233761</v>
      </c>
      <c r="AC198" s="168">
        <f t="shared" si="54"/>
        <v>193.04338181311203</v>
      </c>
      <c r="AD198" s="168">
        <f t="shared" si="54"/>
        <v>180.32070911437015</v>
      </c>
      <c r="AE198" s="168">
        <f t="shared" si="54"/>
        <v>240.76401458546312</v>
      </c>
      <c r="AF198" s="168">
        <f t="shared" si="54"/>
        <v>343.27806298520551</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25">
      <c r="C199" s="105"/>
      <c r="F199" s="95" t="s">
        <v>160</v>
      </c>
      <c r="G199" s="143" t="s">
        <v>745</v>
      </c>
      <c r="H199" s="363"/>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3.6904711908324734</v>
      </c>
      <c r="S199" s="147">
        <f t="shared" si="55"/>
        <v>3.401789685685586</v>
      </c>
      <c r="T199" s="147">
        <f t="shared" si="55"/>
        <v>8.0142551831781361</v>
      </c>
      <c r="U199" s="147">
        <f t="shared" si="55"/>
        <v>11.112715236964238</v>
      </c>
      <c r="V199" s="147">
        <f t="shared" si="55"/>
        <v>29.455373488982321</v>
      </c>
      <c r="W199" s="147">
        <f t="shared" si="55"/>
        <v>6.3173868039681572E-2</v>
      </c>
      <c r="X199" s="147">
        <f t="shared" si="55"/>
        <v>6.6368528198492642</v>
      </c>
      <c r="Y199" s="147">
        <f t="shared" si="55"/>
        <v>14.904473200773559</v>
      </c>
      <c r="Z199" s="147">
        <f t="shared" si="55"/>
        <v>20.568420363324215</v>
      </c>
      <c r="AA199" s="147">
        <f t="shared" si="55"/>
        <v>39.085643340901605</v>
      </c>
      <c r="AB199" s="147">
        <f t="shared" si="55"/>
        <v>17.950297471782338</v>
      </c>
      <c r="AC199" s="147">
        <f t="shared" si="55"/>
        <v>24.832084593779442</v>
      </c>
      <c r="AD199" s="147">
        <f t="shared" si="55"/>
        <v>55.206691929850059</v>
      </c>
      <c r="AE199" s="147">
        <f t="shared" si="55"/>
        <v>90.400209661086507</v>
      </c>
      <c r="AF199" s="147">
        <f t="shared" si="55"/>
        <v>448.92643212143361</v>
      </c>
      <c r="AG199" s="147">
        <f t="shared" si="55"/>
        <v>0</v>
      </c>
      <c r="AH199" s="147">
        <f t="shared" si="55"/>
        <v>0</v>
      </c>
      <c r="AI199" s="147">
        <f t="shared" si="55"/>
        <v>0</v>
      </c>
      <c r="AJ199" s="147">
        <f t="shared" si="55"/>
        <v>8.6534674731182797</v>
      </c>
      <c r="AK199" s="147">
        <f t="shared" si="55"/>
        <v>0</v>
      </c>
      <c r="AL199" s="147">
        <f t="shared" si="55"/>
        <v>15.225125555555556</v>
      </c>
      <c r="AM199" s="147">
        <f t="shared" si="55"/>
        <v>0</v>
      </c>
      <c r="AN199" s="147">
        <f t="shared" si="55"/>
        <v>121.14885886363639</v>
      </c>
      <c r="AO199" s="147">
        <f t="shared" si="55"/>
        <v>0</v>
      </c>
    </row>
    <row r="200" spans="3:43" x14ac:dyDescent="0.25">
      <c r="C200" s="105"/>
      <c r="F200" s="145" t="s">
        <v>99</v>
      </c>
      <c r="G200" s="355" t="s">
        <v>745</v>
      </c>
      <c r="H200" s="364"/>
      <c r="I200" s="145"/>
      <c r="J200" s="146">
        <f t="shared" ref="J200" si="56">SUM(J193:J199)</f>
        <v>51.093554551373515</v>
      </c>
      <c r="K200" s="146">
        <f t="shared" ref="K200:AO200" si="57">SUM(K193:K199)</f>
        <v>10.050160835338254</v>
      </c>
      <c r="L200" s="146">
        <f t="shared" si="57"/>
        <v>84.4344975206957</v>
      </c>
      <c r="M200" s="146">
        <f t="shared" si="57"/>
        <v>51.751914116299488</v>
      </c>
      <c r="N200" s="146">
        <f t="shared" si="57"/>
        <v>105.92698303491221</v>
      </c>
      <c r="O200" s="146">
        <f t="shared" si="57"/>
        <v>201.41931375570996</v>
      </c>
      <c r="P200" s="146">
        <f t="shared" si="57"/>
        <v>507.49692876242437</v>
      </c>
      <c r="Q200" s="146">
        <f t="shared" si="57"/>
        <v>31.349853673560261</v>
      </c>
      <c r="R200" s="146">
        <f t="shared" si="57"/>
        <v>597.7712335708535</v>
      </c>
      <c r="S200" s="146">
        <f t="shared" si="57"/>
        <v>955.22378750280495</v>
      </c>
      <c r="T200" s="146">
        <f t="shared" si="57"/>
        <v>2163.7083085577738</v>
      </c>
      <c r="U200" s="146">
        <f t="shared" si="57"/>
        <v>3325.7928477139772</v>
      </c>
      <c r="V200" s="146">
        <f t="shared" si="57"/>
        <v>7000.4836589350252</v>
      </c>
      <c r="W200" s="146">
        <f t="shared" si="57"/>
        <v>605.84386650318538</v>
      </c>
      <c r="X200" s="146">
        <f t="shared" si="57"/>
        <v>1841.7458463551843</v>
      </c>
      <c r="Y200" s="146">
        <f t="shared" si="57"/>
        <v>3791.6715263193478</v>
      </c>
      <c r="Z200" s="146">
        <f t="shared" si="57"/>
        <v>5695.536569144745</v>
      </c>
      <c r="AA200" s="146">
        <f t="shared" si="57"/>
        <v>12840.228844792236</v>
      </c>
      <c r="AB200" s="146">
        <f t="shared" si="57"/>
        <v>5459.0903899886853</v>
      </c>
      <c r="AC200" s="146">
        <f t="shared" si="57"/>
        <v>9327.8368011648563</v>
      </c>
      <c r="AD200" s="146">
        <f t="shared" si="57"/>
        <v>22989.364243021679</v>
      </c>
      <c r="AE200" s="146">
        <f t="shared" si="57"/>
        <v>42944.183098118141</v>
      </c>
      <c r="AF200" s="146">
        <f t="shared" si="57"/>
        <v>112763.94012402646</v>
      </c>
      <c r="AG200" s="146">
        <f t="shared" si="57"/>
        <v>1212.1250098153509</v>
      </c>
      <c r="AH200" s="146">
        <f t="shared" si="57"/>
        <v>-36.361750181871805</v>
      </c>
      <c r="AI200" s="146">
        <f t="shared" si="57"/>
        <v>0</v>
      </c>
      <c r="AJ200" s="146">
        <f t="shared" si="57"/>
        <v>-1422.682984330645</v>
      </c>
      <c r="AK200" s="146">
        <f t="shared" si="57"/>
        <v>0</v>
      </c>
      <c r="AL200" s="146">
        <f t="shared" si="57"/>
        <v>-715.24886711111105</v>
      </c>
      <c r="AM200" s="146">
        <f t="shared" si="57"/>
        <v>0</v>
      </c>
      <c r="AN200" s="146">
        <f t="shared" si="57"/>
        <v>-35834.189628198859</v>
      </c>
      <c r="AO200" s="146">
        <f t="shared" si="57"/>
        <v>0</v>
      </c>
    </row>
    <row r="201" spans="3:43" x14ac:dyDescent="0.25">
      <c r="C201" s="105"/>
      <c r="D201" s="2"/>
      <c r="E201" s="2"/>
      <c r="G201" s="61"/>
    </row>
    <row r="202" spans="3:43" x14ac:dyDescent="0.2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25">
      <c r="C203" s="105"/>
      <c r="D203" s="2"/>
      <c r="E203" s="2"/>
      <c r="G203" s="61"/>
    </row>
    <row r="204" spans="3:43" x14ac:dyDescent="0.25">
      <c r="C204" s="105"/>
      <c r="D204" s="2" t="s">
        <v>748</v>
      </c>
      <c r="E204" s="2"/>
      <c r="G204" s="61"/>
    </row>
    <row r="205" spans="3:43" x14ac:dyDescent="0.25">
      <c r="D205" s="75"/>
      <c r="G205" s="61"/>
      <c r="H205" s="174"/>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25">
      <c r="C206" s="105"/>
      <c r="D206" s="2"/>
      <c r="E206" t="s">
        <v>749</v>
      </c>
      <c r="G206" s="94" t="s">
        <v>165</v>
      </c>
      <c r="J206" s="158">
        <f>IF( AND( ISNUMBER(J$140), J$140 &lt;&gt; 0), ( J$140 - J189 ) / J$140, 0)</f>
        <v>0.41014555397981378</v>
      </c>
      <c r="K206" s="158">
        <f>IF( AND( ISNUMBER(K$140), K$140 &lt;&gt; 0), ( K$140 - K189 ) / K$140, 0)</f>
        <v>0.4105903909936679</v>
      </c>
      <c r="L206" s="158">
        <f t="shared" ref="L206:AK206" si="58">IF( AND( ISNUMBER(L$140), L$140 &lt;&gt; 0), ( L$140 - L189 ) / L$140, 0)</f>
        <v>0.4099887405105021</v>
      </c>
      <c r="M206" s="158">
        <f t="shared" si="58"/>
        <v>0.41002013510833218</v>
      </c>
      <c r="N206" s="158">
        <f t="shared" si="58"/>
        <v>0.41005390391061974</v>
      </c>
      <c r="O206" s="158">
        <f t="shared" si="58"/>
        <v>0.40999134475195131</v>
      </c>
      <c r="P206" s="158">
        <f t="shared" si="58"/>
        <v>0.41000935836749858</v>
      </c>
      <c r="Q206" s="158">
        <f t="shared" si="58"/>
        <v>0.41004173269305999</v>
      </c>
      <c r="R206" s="158">
        <f t="shared" si="58"/>
        <v>0.41051163979491589</v>
      </c>
      <c r="S206" s="158">
        <f t="shared" si="58"/>
        <v>0.41009779842830862</v>
      </c>
      <c r="T206" s="158">
        <f t="shared" si="58"/>
        <v>0.41012068015717346</v>
      </c>
      <c r="U206" s="158">
        <f t="shared" si="58"/>
        <v>0.41013714414334651</v>
      </c>
      <c r="V206" s="158">
        <f t="shared" si="58"/>
        <v>0.41013384471212999</v>
      </c>
      <c r="W206" s="158">
        <f t="shared" si="58"/>
        <v>1</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0.40993544383556174</v>
      </c>
      <c r="AH206" s="158">
        <f t="shared" si="58"/>
        <v>0</v>
      </c>
      <c r="AI206" s="365"/>
      <c r="AJ206" s="158">
        <f t="shared" si="58"/>
        <v>-1.5982033801452165E-16</v>
      </c>
      <c r="AK206" s="158">
        <f t="shared" si="58"/>
        <v>0</v>
      </c>
      <c r="AL206" s="365"/>
      <c r="AM206" s="365"/>
      <c r="AN206" s="365"/>
      <c r="AO206" s="365"/>
    </row>
    <row r="207" spans="3:43" x14ac:dyDescent="0.25">
      <c r="C207" s="105"/>
      <c r="D207" s="2"/>
      <c r="E207" t="s">
        <v>750</v>
      </c>
      <c r="G207" s="94" t="s">
        <v>165</v>
      </c>
      <c r="J207" s="158">
        <f>IF( AND( ISNUMBER(J$140), J$140 &lt;&gt; 0), ( J$140 - J200 ) / J$140, 0)</f>
        <v>0.60382312977520425</v>
      </c>
      <c r="K207" s="158">
        <f>IF( AND( ISNUMBER(K$140), K$140 &lt;&gt; 0), ( K$140 - K200 ) / K$140, 0)</f>
        <v>0.60394747000315885</v>
      </c>
      <c r="L207" s="158">
        <f t="shared" ref="L207:AO207" si="59">IF( AND( ISNUMBER(L$140), L$140 &lt;&gt; 0), ( L$140 - L200 ) / L$140, 0)</f>
        <v>0.60382912408672529</v>
      </c>
      <c r="M207" s="158">
        <f t="shared" si="59"/>
        <v>0.60379796618287596</v>
      </c>
      <c r="N207" s="158">
        <f t="shared" si="59"/>
        <v>0.60381902750717054</v>
      </c>
      <c r="O207" s="158">
        <f t="shared" si="59"/>
        <v>0.60382956661371745</v>
      </c>
      <c r="P207" s="158">
        <f t="shared" si="59"/>
        <v>0.60385312624917675</v>
      </c>
      <c r="Q207" s="158">
        <f t="shared" si="59"/>
        <v>0.60394741640983718</v>
      </c>
      <c r="R207" s="158">
        <f t="shared" si="59"/>
        <v>0.60401275094831675</v>
      </c>
      <c r="S207" s="158">
        <f t="shared" si="59"/>
        <v>0.60388620141864979</v>
      </c>
      <c r="T207" s="158">
        <f t="shared" si="59"/>
        <v>0.60389322513982391</v>
      </c>
      <c r="U207" s="158">
        <f t="shared" si="59"/>
        <v>0.6039007732525663</v>
      </c>
      <c r="V207" s="158">
        <f t="shared" si="59"/>
        <v>0.6039005818215355</v>
      </c>
      <c r="W207" s="158">
        <f t="shared" si="59"/>
        <v>0.32433321881157645</v>
      </c>
      <c r="X207" s="158">
        <f t="shared" si="59"/>
        <v>0.32441049197654059</v>
      </c>
      <c r="Y207" s="158">
        <f t="shared" si="59"/>
        <v>0.32440152260129501</v>
      </c>
      <c r="Z207" s="158">
        <f t="shared" si="59"/>
        <v>0.32441211452737234</v>
      </c>
      <c r="AA207" s="158">
        <f t="shared" si="59"/>
        <v>0.32439747431055649</v>
      </c>
      <c r="AB207" s="158">
        <f t="shared" si="59"/>
        <v>0.16967716281728271</v>
      </c>
      <c r="AC207" s="158">
        <f t="shared" si="59"/>
        <v>0.1697473571897147</v>
      </c>
      <c r="AD207" s="158">
        <f t="shared" si="59"/>
        <v>0.16976231355414664</v>
      </c>
      <c r="AE207" s="158">
        <f t="shared" si="59"/>
        <v>0.16975181437318013</v>
      </c>
      <c r="AF207" s="158">
        <f t="shared" si="59"/>
        <v>0.16978068672160163</v>
      </c>
      <c r="AG207" s="158">
        <f t="shared" si="59"/>
        <v>0.60389488987826678</v>
      </c>
      <c r="AH207" s="158">
        <f t="shared" si="59"/>
        <v>0</v>
      </c>
      <c r="AI207" s="158">
        <f t="shared" si="59"/>
        <v>0</v>
      </c>
      <c r="AJ207" s="158">
        <f t="shared" si="59"/>
        <v>-1.5982033801452165E-16</v>
      </c>
      <c r="AK207" s="158">
        <f t="shared" si="59"/>
        <v>0</v>
      </c>
      <c r="AL207" s="158">
        <f t="shared" si="59"/>
        <v>0</v>
      </c>
      <c r="AM207" s="158">
        <f t="shared" si="59"/>
        <v>0</v>
      </c>
      <c r="AN207" s="158">
        <f t="shared" si="59"/>
        <v>-7.2473981649326374E-3</v>
      </c>
      <c r="AO207" s="158">
        <f t="shared" si="59"/>
        <v>0</v>
      </c>
    </row>
    <row r="208" spans="3:43" x14ac:dyDescent="0.25">
      <c r="C208" s="105"/>
      <c r="D208" s="2"/>
      <c r="E208" s="2"/>
      <c r="F208" s="249"/>
      <c r="G208" s="249"/>
    </row>
    <row r="209" spans="2:43" x14ac:dyDescent="0.25">
      <c r="B209" s="85" t="s">
        <v>229</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25">
      <c r="F210" s="3"/>
      <c r="G210" s="353"/>
      <c r="H210" s="3"/>
      <c r="I210" s="3"/>
    </row>
    <row r="211" spans="2:43" x14ac:dyDescent="0.25">
      <c r="D211" t="s">
        <v>230</v>
      </c>
      <c r="G211" s="6" t="s">
        <v>54</v>
      </c>
      <c r="H211" s="113">
        <f t="array" ref="H211">SUM(IF(ISERROR($H$13:$AP$207), 1))</f>
        <v>0</v>
      </c>
      <c r="I211" s="3"/>
    </row>
    <row r="212" spans="2:43" x14ac:dyDescent="0.25">
      <c r="F212" s="3"/>
      <c r="G212" s="3"/>
      <c r="H212" s="3"/>
      <c r="I212" s="3"/>
    </row>
    <row r="213" spans="2:43" x14ac:dyDescent="0.25">
      <c r="B213" s="85" t="s">
        <v>105</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(Northeast) - v0.1</v>
      </c>
    </row>
    <row r="3" spans="1:44" s="5" customFormat="1" x14ac:dyDescent="0.25">
      <c r="A3" s="5" t="str">
        <f>Cover!D2&amp;" - "&amp;Cover!D8&amp;" v"&amp;Cover!D10&amp;" - "&amp;Cover!D19</f>
        <v>CDCM charging model - Release for charge setting v11 - 2026/27</v>
      </c>
    </row>
    <row r="4" spans="1:44" x14ac:dyDescent="0.25">
      <c r="A4" s="60" t="str">
        <f>H119 &amp; IF(H119 = 1, " issue", " issues") &amp;" identified in checks on this sheet"</f>
        <v>0 issues identified in checks on this sheet</v>
      </c>
      <c r="B4" s="61"/>
      <c r="C4" s="61"/>
      <c r="D4" s="61"/>
      <c r="E4" s="61"/>
      <c r="F4" s="61"/>
      <c r="G4" s="61"/>
      <c r="H4" s="62"/>
      <c r="I4" s="62"/>
      <c r="J4" s="61"/>
    </row>
    <row r="5" spans="1:44" ht="45" x14ac:dyDescent="0.25">
      <c r="B5" s="89" t="s">
        <v>140</v>
      </c>
      <c r="C5" s="90"/>
      <c r="D5" s="90"/>
      <c r="E5" s="90"/>
      <c r="F5" s="90"/>
      <c r="G5" s="91"/>
      <c r="H5" s="91" t="s">
        <v>751</v>
      </c>
      <c r="J5" s="92" t="s">
        <v>752</v>
      </c>
      <c r="K5" s="92" t="s">
        <v>753</v>
      </c>
      <c r="L5" s="92" t="s">
        <v>754</v>
      </c>
      <c r="M5" s="92" t="s">
        <v>755</v>
      </c>
      <c r="N5" s="92" t="s">
        <v>756</v>
      </c>
      <c r="O5" s="92" t="s">
        <v>757</v>
      </c>
      <c r="P5" s="92" t="s">
        <v>758</v>
      </c>
      <c r="R5" s="91" t="s">
        <v>143</v>
      </c>
    </row>
    <row r="7" spans="1:44"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25">
      <c r="C9" s="86" t="s">
        <v>759</v>
      </c>
    </row>
    <row r="11" spans="1:44" x14ac:dyDescent="0.25">
      <c r="B11" s="85" t="s">
        <v>95</v>
      </c>
      <c r="C11" s="85"/>
      <c r="D11" s="85"/>
      <c r="E11" s="85"/>
      <c r="F11" s="85"/>
      <c r="G11" s="85"/>
      <c r="H11" s="85"/>
      <c r="I11" s="85"/>
      <c r="J11" s="85"/>
      <c r="K11" s="85"/>
      <c r="L11" s="152"/>
      <c r="M11" s="152"/>
      <c r="N11" s="152"/>
      <c r="O11" s="152"/>
      <c r="P11" s="152"/>
      <c r="Q11" s="152"/>
      <c r="R11" s="152"/>
    </row>
    <row r="12" spans="1:44" x14ac:dyDescent="0.25">
      <c r="D12"/>
      <c r="E12"/>
    </row>
    <row r="13" spans="1:44" x14ac:dyDescent="0.2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25">
      <c r="D14"/>
      <c r="E14"/>
    </row>
    <row r="15" spans="1:44" x14ac:dyDescent="0.25">
      <c r="D15" s="75"/>
      <c r="E15" s="75" t="s">
        <v>760</v>
      </c>
    </row>
    <row r="16" spans="1:44" x14ac:dyDescent="0.25">
      <c r="F16" s="95" t="s">
        <v>1114</v>
      </c>
      <c r="G16" s="95"/>
      <c r="H16" s="95" t="s">
        <v>728</v>
      </c>
      <c r="I16" s="95"/>
      <c r="J16" s="366">
        <f t="array" ref="J16:P47">TRANSPOSE(Rounding!J150:AO156)</f>
        <v>11.239000000000001</v>
      </c>
      <c r="K16" s="366">
        <v>1.702</v>
      </c>
      <c r="L16" s="366">
        <v>0.24</v>
      </c>
      <c r="M16" s="367">
        <v>17.97</v>
      </c>
      <c r="N16" s="368">
        <v>0</v>
      </c>
      <c r="O16" s="368">
        <v>0</v>
      </c>
      <c r="P16" s="366">
        <v>0</v>
      </c>
    </row>
    <row r="17" spans="6:16" x14ac:dyDescent="0.25">
      <c r="F17" t="s">
        <v>783</v>
      </c>
      <c r="H17" t="s">
        <v>728</v>
      </c>
      <c r="J17" s="369">
        <v>11.239000000000001</v>
      </c>
      <c r="K17" s="369">
        <v>1.702</v>
      </c>
      <c r="L17" s="369">
        <v>0.24</v>
      </c>
      <c r="M17" s="370">
        <v>0</v>
      </c>
      <c r="N17" s="371">
        <v>0</v>
      </c>
      <c r="O17" s="371">
        <v>0</v>
      </c>
      <c r="P17" s="369">
        <v>0</v>
      </c>
    </row>
    <row r="18" spans="6:16" x14ac:dyDescent="0.25">
      <c r="F18" t="s">
        <v>1115</v>
      </c>
      <c r="H18" t="s">
        <v>728</v>
      </c>
      <c r="J18" s="369">
        <v>12.823</v>
      </c>
      <c r="K18" s="369">
        <v>1.9419999999999999</v>
      </c>
      <c r="L18" s="369">
        <v>0.27300000000000002</v>
      </c>
      <c r="M18" s="370">
        <v>14.71</v>
      </c>
      <c r="N18" s="371">
        <v>0</v>
      </c>
      <c r="O18" s="371">
        <v>0</v>
      </c>
      <c r="P18" s="369">
        <v>0</v>
      </c>
    </row>
    <row r="19" spans="6:16" x14ac:dyDescent="0.25">
      <c r="F19" t="s">
        <v>1116</v>
      </c>
      <c r="H19" t="s">
        <v>728</v>
      </c>
      <c r="J19" s="369">
        <v>12.823</v>
      </c>
      <c r="K19" s="369">
        <v>1.9419999999999999</v>
      </c>
      <c r="L19" s="369">
        <v>0.27300000000000002</v>
      </c>
      <c r="M19" s="370">
        <v>16.73</v>
      </c>
      <c r="N19" s="371">
        <v>0</v>
      </c>
      <c r="O19" s="371">
        <v>0</v>
      </c>
      <c r="P19" s="369">
        <v>0</v>
      </c>
    </row>
    <row r="20" spans="6:16" x14ac:dyDescent="0.25">
      <c r="F20" t="s">
        <v>1117</v>
      </c>
      <c r="H20" t="s">
        <v>728</v>
      </c>
      <c r="J20" s="369">
        <v>12.823</v>
      </c>
      <c r="K20" s="369">
        <v>1.9419999999999999</v>
      </c>
      <c r="L20" s="369">
        <v>0.27300000000000002</v>
      </c>
      <c r="M20" s="370">
        <v>20.21</v>
      </c>
      <c r="N20" s="371">
        <v>0</v>
      </c>
      <c r="O20" s="371">
        <v>0</v>
      </c>
      <c r="P20" s="369">
        <v>0</v>
      </c>
    </row>
    <row r="21" spans="6:16" x14ac:dyDescent="0.25">
      <c r="F21" t="s">
        <v>1118</v>
      </c>
      <c r="H21" t="s">
        <v>728</v>
      </c>
      <c r="J21" s="369">
        <v>12.823</v>
      </c>
      <c r="K21" s="369">
        <v>1.9419999999999999</v>
      </c>
      <c r="L21" s="369">
        <v>0.27300000000000002</v>
      </c>
      <c r="M21" s="370">
        <v>26.54</v>
      </c>
      <c r="N21" s="371">
        <v>0</v>
      </c>
      <c r="O21" s="371">
        <v>0</v>
      </c>
      <c r="P21" s="369">
        <v>0</v>
      </c>
    </row>
    <row r="22" spans="6:16" x14ac:dyDescent="0.25">
      <c r="F22" t="s">
        <v>1119</v>
      </c>
      <c r="H22" t="s">
        <v>728</v>
      </c>
      <c r="J22" s="369">
        <v>12.823</v>
      </c>
      <c r="K22" s="369">
        <v>1.9419999999999999</v>
      </c>
      <c r="L22" s="369">
        <v>0.27300000000000002</v>
      </c>
      <c r="M22" s="370">
        <v>46.58</v>
      </c>
      <c r="N22" s="371">
        <v>0</v>
      </c>
      <c r="O22" s="371">
        <v>0</v>
      </c>
      <c r="P22" s="369">
        <v>0</v>
      </c>
    </row>
    <row r="23" spans="6:16" x14ac:dyDescent="0.25">
      <c r="F23" t="s">
        <v>784</v>
      </c>
      <c r="H23" t="s">
        <v>728</v>
      </c>
      <c r="J23" s="369">
        <v>12.823</v>
      </c>
      <c r="K23" s="369">
        <v>1.9419999999999999</v>
      </c>
      <c r="L23" s="369">
        <v>0.27300000000000002</v>
      </c>
      <c r="M23" s="370">
        <v>0</v>
      </c>
      <c r="N23" s="371">
        <v>0</v>
      </c>
      <c r="O23" s="371">
        <v>0</v>
      </c>
      <c r="P23" s="369">
        <v>0</v>
      </c>
    </row>
    <row r="24" spans="6:16" x14ac:dyDescent="0.25">
      <c r="F24" t="s">
        <v>860</v>
      </c>
      <c r="H24" t="s">
        <v>728</v>
      </c>
      <c r="J24" s="369">
        <v>8.5220000000000002</v>
      </c>
      <c r="K24" s="369">
        <v>1.2549999999999999</v>
      </c>
      <c r="L24" s="369">
        <v>0.17899999999999999</v>
      </c>
      <c r="M24" s="370">
        <v>15.25</v>
      </c>
      <c r="N24" s="371">
        <v>5.48</v>
      </c>
      <c r="O24" s="371">
        <v>5.48</v>
      </c>
      <c r="P24" s="369">
        <v>0.16300000000000001</v>
      </c>
    </row>
    <row r="25" spans="6:16" x14ac:dyDescent="0.25">
      <c r="F25" t="s">
        <v>861</v>
      </c>
      <c r="H25" t="s">
        <v>728</v>
      </c>
      <c r="J25" s="369">
        <v>8.5220000000000002</v>
      </c>
      <c r="K25" s="369">
        <v>1.2549999999999999</v>
      </c>
      <c r="L25" s="369">
        <v>0.17899999999999999</v>
      </c>
      <c r="M25" s="370">
        <v>68.39</v>
      </c>
      <c r="N25" s="371">
        <v>5.48</v>
      </c>
      <c r="O25" s="371">
        <v>5.48</v>
      </c>
      <c r="P25" s="369">
        <v>0.16300000000000001</v>
      </c>
    </row>
    <row r="26" spans="6:16" x14ac:dyDescent="0.25">
      <c r="F26" t="s">
        <v>862</v>
      </c>
      <c r="H26" t="s">
        <v>728</v>
      </c>
      <c r="J26" s="369">
        <v>8.5220000000000002</v>
      </c>
      <c r="K26" s="369">
        <v>1.2549999999999999</v>
      </c>
      <c r="L26" s="369">
        <v>0.17899999999999999</v>
      </c>
      <c r="M26" s="370">
        <v>129.88999999999999</v>
      </c>
      <c r="N26" s="371">
        <v>5.48</v>
      </c>
      <c r="O26" s="371">
        <v>5.48</v>
      </c>
      <c r="P26" s="369">
        <v>0.16300000000000001</v>
      </c>
    </row>
    <row r="27" spans="6:16" x14ac:dyDescent="0.25">
      <c r="F27" t="s">
        <v>863</v>
      </c>
      <c r="H27" t="s">
        <v>728</v>
      </c>
      <c r="J27" s="369">
        <v>8.5220000000000002</v>
      </c>
      <c r="K27" s="369">
        <v>1.2549999999999999</v>
      </c>
      <c r="L27" s="369">
        <v>0.17899999999999999</v>
      </c>
      <c r="M27" s="370">
        <v>194.74</v>
      </c>
      <c r="N27" s="371">
        <v>5.48</v>
      </c>
      <c r="O27" s="371">
        <v>5.48</v>
      </c>
      <c r="P27" s="369">
        <v>0.16300000000000001</v>
      </c>
    </row>
    <row r="28" spans="6:16" x14ac:dyDescent="0.25">
      <c r="F28" t="s">
        <v>864</v>
      </c>
      <c r="H28" t="s">
        <v>728</v>
      </c>
      <c r="J28" s="369">
        <v>8.5220000000000002</v>
      </c>
      <c r="K28" s="369">
        <v>1.2549999999999999</v>
      </c>
      <c r="L28" s="369">
        <v>0.17899999999999999</v>
      </c>
      <c r="M28" s="370">
        <v>482.86</v>
      </c>
      <c r="N28" s="371">
        <v>5.48</v>
      </c>
      <c r="O28" s="371">
        <v>5.48</v>
      </c>
      <c r="P28" s="369">
        <v>0.16300000000000001</v>
      </c>
    </row>
    <row r="29" spans="6:16" x14ac:dyDescent="0.25">
      <c r="F29" t="s">
        <v>865</v>
      </c>
      <c r="H29" t="s">
        <v>728</v>
      </c>
      <c r="J29" s="369">
        <v>4.6340000000000003</v>
      </c>
      <c r="K29" s="369">
        <v>0.626</v>
      </c>
      <c r="L29" s="369">
        <v>9.2999999999999999E-2</v>
      </c>
      <c r="M29" s="370">
        <v>15.25</v>
      </c>
      <c r="N29" s="371">
        <v>5.15</v>
      </c>
      <c r="O29" s="371">
        <v>5.15</v>
      </c>
      <c r="P29" s="369">
        <v>8.6999999999999994E-2</v>
      </c>
    </row>
    <row r="30" spans="6:16" x14ac:dyDescent="0.25">
      <c r="F30" t="s">
        <v>866</v>
      </c>
      <c r="H30" t="s">
        <v>728</v>
      </c>
      <c r="J30" s="369">
        <v>4.6340000000000003</v>
      </c>
      <c r="K30" s="369">
        <v>0.626</v>
      </c>
      <c r="L30" s="369">
        <v>9.2999999999999999E-2</v>
      </c>
      <c r="M30" s="370">
        <v>68.39</v>
      </c>
      <c r="N30" s="371">
        <v>5.15</v>
      </c>
      <c r="O30" s="371">
        <v>5.15</v>
      </c>
      <c r="P30" s="369">
        <v>8.6999999999999994E-2</v>
      </c>
    </row>
    <row r="31" spans="6:16" x14ac:dyDescent="0.25">
      <c r="F31" t="s">
        <v>867</v>
      </c>
      <c r="H31" t="s">
        <v>728</v>
      </c>
      <c r="J31" s="372">
        <v>4.6340000000000003</v>
      </c>
      <c r="K31" s="372">
        <v>0.626</v>
      </c>
      <c r="L31" s="372">
        <v>9.2999999999999999E-2</v>
      </c>
      <c r="M31" s="373">
        <v>129.88999999999999</v>
      </c>
      <c r="N31" s="374">
        <v>5.15</v>
      </c>
      <c r="O31" s="374">
        <v>5.15</v>
      </c>
      <c r="P31" s="372">
        <v>8.6999999999999994E-2</v>
      </c>
    </row>
    <row r="32" spans="6:16" x14ac:dyDescent="0.25">
      <c r="F32" t="s">
        <v>868</v>
      </c>
      <c r="H32" t="s">
        <v>728</v>
      </c>
      <c r="J32" s="372">
        <v>4.6340000000000003</v>
      </c>
      <c r="K32" s="372">
        <v>0.626</v>
      </c>
      <c r="L32" s="372">
        <v>9.2999999999999999E-2</v>
      </c>
      <c r="M32" s="373">
        <v>194.74</v>
      </c>
      <c r="N32" s="374">
        <v>5.15</v>
      </c>
      <c r="O32" s="374">
        <v>5.15</v>
      </c>
      <c r="P32" s="372">
        <v>8.6999999999999994E-2</v>
      </c>
    </row>
    <row r="33" spans="6:16" x14ac:dyDescent="0.25">
      <c r="F33" t="s">
        <v>869</v>
      </c>
      <c r="H33" t="s">
        <v>728</v>
      </c>
      <c r="J33" s="372">
        <v>4.6340000000000003</v>
      </c>
      <c r="K33" s="372">
        <v>0.626</v>
      </c>
      <c r="L33" s="372">
        <v>9.2999999999999999E-2</v>
      </c>
      <c r="M33" s="373">
        <v>482.86</v>
      </c>
      <c r="N33" s="374">
        <v>5.15</v>
      </c>
      <c r="O33" s="374">
        <v>5.15</v>
      </c>
      <c r="P33" s="372">
        <v>8.6999999999999994E-2</v>
      </c>
    </row>
    <row r="34" spans="6:16" x14ac:dyDescent="0.25">
      <c r="F34" t="s">
        <v>870</v>
      </c>
      <c r="H34" t="s">
        <v>728</v>
      </c>
      <c r="J34" s="372">
        <v>3.403</v>
      </c>
      <c r="K34" s="372">
        <v>0.42699999999999999</v>
      </c>
      <c r="L34" s="372">
        <v>6.6000000000000003E-2</v>
      </c>
      <c r="M34" s="373">
        <v>316.66000000000003</v>
      </c>
      <c r="N34" s="374">
        <v>5.6</v>
      </c>
      <c r="O34" s="374">
        <v>5.6</v>
      </c>
      <c r="P34" s="372">
        <v>6.3E-2</v>
      </c>
    </row>
    <row r="35" spans="6:16" x14ac:dyDescent="0.25">
      <c r="F35" t="s">
        <v>871</v>
      </c>
      <c r="H35" t="s">
        <v>728</v>
      </c>
      <c r="J35" s="372">
        <v>3.403</v>
      </c>
      <c r="K35" s="372">
        <v>0.42699999999999999</v>
      </c>
      <c r="L35" s="372">
        <v>6.6000000000000003E-2</v>
      </c>
      <c r="M35" s="373">
        <v>681.69</v>
      </c>
      <c r="N35" s="374">
        <v>5.6</v>
      </c>
      <c r="O35" s="374">
        <v>5.6</v>
      </c>
      <c r="P35" s="372">
        <v>6.3E-2</v>
      </c>
    </row>
    <row r="36" spans="6:16" x14ac:dyDescent="0.25">
      <c r="F36" t="s">
        <v>872</v>
      </c>
      <c r="H36" t="s">
        <v>728</v>
      </c>
      <c r="J36" s="372">
        <v>3.403</v>
      </c>
      <c r="K36" s="372">
        <v>0.42699999999999999</v>
      </c>
      <c r="L36" s="372">
        <v>6.6000000000000003E-2</v>
      </c>
      <c r="M36" s="373">
        <v>1316.4</v>
      </c>
      <c r="N36" s="374">
        <v>5.6</v>
      </c>
      <c r="O36" s="374">
        <v>5.6</v>
      </c>
      <c r="P36" s="372">
        <v>6.3E-2</v>
      </c>
    </row>
    <row r="37" spans="6:16" x14ac:dyDescent="0.25">
      <c r="F37" t="s">
        <v>873</v>
      </c>
      <c r="H37" t="s">
        <v>728</v>
      </c>
      <c r="J37" s="372">
        <v>3.403</v>
      </c>
      <c r="K37" s="372">
        <v>0.42699999999999999</v>
      </c>
      <c r="L37" s="372">
        <v>6.6000000000000003E-2</v>
      </c>
      <c r="M37" s="373">
        <v>2103.42</v>
      </c>
      <c r="N37" s="374">
        <v>5.6</v>
      </c>
      <c r="O37" s="374">
        <v>5.6</v>
      </c>
      <c r="P37" s="372">
        <v>6.3E-2</v>
      </c>
    </row>
    <row r="38" spans="6:16" x14ac:dyDescent="0.25">
      <c r="F38" t="s">
        <v>874</v>
      </c>
      <c r="H38" t="s">
        <v>728</v>
      </c>
      <c r="J38" s="372">
        <v>3.403</v>
      </c>
      <c r="K38" s="372">
        <v>0.42699999999999999</v>
      </c>
      <c r="L38" s="372">
        <v>6.6000000000000003E-2</v>
      </c>
      <c r="M38" s="373">
        <v>5182.22</v>
      </c>
      <c r="N38" s="374">
        <v>5.6</v>
      </c>
      <c r="O38" s="374">
        <v>5.6</v>
      </c>
      <c r="P38" s="372">
        <v>6.3E-2</v>
      </c>
    </row>
    <row r="39" spans="6:16" x14ac:dyDescent="0.25">
      <c r="F39" t="s">
        <v>793</v>
      </c>
      <c r="H39" t="s">
        <v>728</v>
      </c>
      <c r="J39" s="372">
        <v>33.484000000000002</v>
      </c>
      <c r="K39" s="372">
        <v>1.8129999999999999</v>
      </c>
      <c r="L39" s="372">
        <v>0.498</v>
      </c>
      <c r="M39" s="373">
        <v>0</v>
      </c>
      <c r="N39" s="374">
        <v>0</v>
      </c>
      <c r="O39" s="374">
        <v>0</v>
      </c>
      <c r="P39" s="372">
        <v>0</v>
      </c>
    </row>
    <row r="40" spans="6:16" x14ac:dyDescent="0.25">
      <c r="F40" t="s">
        <v>785</v>
      </c>
      <c r="H40" t="s">
        <v>728</v>
      </c>
      <c r="J40" s="372">
        <v>-7.7359999999999998</v>
      </c>
      <c r="K40" s="372">
        <v>-1.171</v>
      </c>
      <c r="L40" s="372">
        <v>-0.16500000000000001</v>
      </c>
      <c r="M40" s="373">
        <v>0</v>
      </c>
      <c r="N40" s="374">
        <v>0</v>
      </c>
      <c r="O40" s="374">
        <v>0</v>
      </c>
      <c r="P40" s="372">
        <v>0</v>
      </c>
    </row>
    <row r="41" spans="6:16" x14ac:dyDescent="0.25">
      <c r="F41" t="s">
        <v>786</v>
      </c>
      <c r="H41" t="s">
        <v>728</v>
      </c>
      <c r="J41" s="372">
        <v>-6.5179999999999998</v>
      </c>
      <c r="K41" s="372">
        <v>-0.97199999999999998</v>
      </c>
      <c r="L41" s="372">
        <v>-0.13800000000000001</v>
      </c>
      <c r="M41" s="373">
        <v>0</v>
      </c>
      <c r="N41" s="374">
        <v>0</v>
      </c>
      <c r="O41" s="374">
        <v>0</v>
      </c>
      <c r="P41" s="372">
        <v>0</v>
      </c>
    </row>
    <row r="42" spans="6:16" x14ac:dyDescent="0.25">
      <c r="F42" t="s">
        <v>787</v>
      </c>
      <c r="H42" t="s">
        <v>728</v>
      </c>
      <c r="J42" s="372">
        <v>-7.7359999999999998</v>
      </c>
      <c r="K42" s="372">
        <v>-1.171</v>
      </c>
      <c r="L42" s="372">
        <v>-0.16500000000000001</v>
      </c>
      <c r="M42" s="373">
        <v>0</v>
      </c>
      <c r="N42" s="374">
        <v>0</v>
      </c>
      <c r="O42" s="374">
        <v>0</v>
      </c>
      <c r="P42" s="372">
        <v>0.13</v>
      </c>
    </row>
    <row r="43" spans="6:16" x14ac:dyDescent="0.25">
      <c r="F43" t="s">
        <v>796</v>
      </c>
      <c r="H43" t="s">
        <v>728</v>
      </c>
      <c r="J43" s="372">
        <v>-7.7359999999999998</v>
      </c>
      <c r="K43" s="372">
        <v>-1.171</v>
      </c>
      <c r="L43" s="372">
        <v>-0.16500000000000001</v>
      </c>
      <c r="M43" s="373">
        <v>0</v>
      </c>
      <c r="N43" s="374">
        <v>0</v>
      </c>
      <c r="O43" s="374">
        <v>0</v>
      </c>
      <c r="P43" s="372">
        <v>0</v>
      </c>
    </row>
    <row r="44" spans="6:16" x14ac:dyDescent="0.25">
      <c r="F44" t="s">
        <v>788</v>
      </c>
      <c r="H44" t="s">
        <v>728</v>
      </c>
      <c r="J44" s="372">
        <v>-6.5179999999999998</v>
      </c>
      <c r="K44" s="372">
        <v>-0.97199999999999998</v>
      </c>
      <c r="L44" s="372">
        <v>-0.13800000000000001</v>
      </c>
      <c r="M44" s="373">
        <v>0</v>
      </c>
      <c r="N44" s="374">
        <v>0</v>
      </c>
      <c r="O44" s="374">
        <v>0</v>
      </c>
      <c r="P44" s="372">
        <v>0.122</v>
      </c>
    </row>
    <row r="45" spans="6:16" x14ac:dyDescent="0.25">
      <c r="F45" t="s">
        <v>795</v>
      </c>
      <c r="H45" t="s">
        <v>728</v>
      </c>
      <c r="J45" s="372">
        <v>-6.5179999999999998</v>
      </c>
      <c r="K45" s="372">
        <v>-0.97199999999999998</v>
      </c>
      <c r="L45" s="372">
        <v>-0.13800000000000001</v>
      </c>
      <c r="M45" s="373">
        <v>0</v>
      </c>
      <c r="N45" s="374">
        <v>0</v>
      </c>
      <c r="O45" s="374">
        <v>0</v>
      </c>
      <c r="P45" s="372">
        <v>0</v>
      </c>
    </row>
    <row r="46" spans="6:16" x14ac:dyDescent="0.25">
      <c r="F46" t="s">
        <v>789</v>
      </c>
      <c r="H46" t="s">
        <v>728</v>
      </c>
      <c r="J46" s="372">
        <v>-3.8839999999999999</v>
      </c>
      <c r="K46" s="372">
        <v>-0.52500000000000002</v>
      </c>
      <c r="L46" s="372">
        <v>-7.8E-2</v>
      </c>
      <c r="M46" s="373">
        <v>70.64</v>
      </c>
      <c r="N46" s="374">
        <v>0</v>
      </c>
      <c r="O46" s="374">
        <v>0</v>
      </c>
      <c r="P46" s="372">
        <v>0.108</v>
      </c>
    </row>
    <row r="47" spans="6:16" x14ac:dyDescent="0.25">
      <c r="F47" s="96" t="s">
        <v>794</v>
      </c>
      <c r="G47" s="96"/>
      <c r="H47" s="96" t="s">
        <v>728</v>
      </c>
      <c r="I47" s="96"/>
      <c r="J47" s="375">
        <v>-3.8839999999999999</v>
      </c>
      <c r="K47" s="375">
        <v>-0.52500000000000002</v>
      </c>
      <c r="L47" s="375">
        <v>-7.8E-2</v>
      </c>
      <c r="M47" s="376">
        <v>70.64</v>
      </c>
      <c r="N47" s="377">
        <v>0</v>
      </c>
      <c r="O47" s="377">
        <v>0</v>
      </c>
      <c r="P47" s="375">
        <v>0</v>
      </c>
    </row>
    <row r="48" spans="6:16" x14ac:dyDescent="0.25">
      <c r="F48" s="2"/>
      <c r="J48" s="62"/>
      <c r="K48" s="62"/>
      <c r="L48" s="62"/>
      <c r="M48" s="378"/>
      <c r="N48" s="378"/>
      <c r="O48" s="378"/>
      <c r="P48" s="62"/>
    </row>
    <row r="49" spans="4:16" x14ac:dyDescent="0.25">
      <c r="D49" s="75"/>
      <c r="E49" s="75" t="s">
        <v>761</v>
      </c>
      <c r="F49" s="2"/>
      <c r="J49" s="62"/>
      <c r="K49" s="62"/>
      <c r="L49" s="62"/>
      <c r="M49" s="378"/>
      <c r="N49" s="378"/>
      <c r="O49" s="378"/>
      <c r="P49" s="62"/>
    </row>
    <row r="50" spans="4:16" x14ac:dyDescent="0.25">
      <c r="F50" s="95" t="s">
        <v>1114</v>
      </c>
      <c r="G50" s="95"/>
      <c r="H50" s="95" t="s">
        <v>403</v>
      </c>
      <c r="I50" s="95"/>
      <c r="J50" s="366">
        <f t="array" ref="J50:P81">TRANSPOSE(Rounding!J159:AO165)</f>
        <v>6.6310000000000002</v>
      </c>
      <c r="K50" s="366">
        <v>1.004</v>
      </c>
      <c r="L50" s="366">
        <v>0.14099999999999999</v>
      </c>
      <c r="M50" s="367">
        <v>10.6</v>
      </c>
      <c r="N50" s="368">
        <v>0</v>
      </c>
      <c r="O50" s="368">
        <v>0</v>
      </c>
      <c r="P50" s="366">
        <v>0</v>
      </c>
    </row>
    <row r="51" spans="4:16" x14ac:dyDescent="0.25">
      <c r="F51" t="s">
        <v>783</v>
      </c>
      <c r="H51" t="s">
        <v>403</v>
      </c>
      <c r="J51" s="369">
        <v>6.6310000000000002</v>
      </c>
      <c r="K51" s="369">
        <v>1.004</v>
      </c>
      <c r="L51" s="369">
        <v>0.14099999999999999</v>
      </c>
      <c r="M51" s="370">
        <v>0</v>
      </c>
      <c r="N51" s="371">
        <v>0</v>
      </c>
      <c r="O51" s="371">
        <v>0</v>
      </c>
      <c r="P51" s="369">
        <v>0</v>
      </c>
    </row>
    <row r="52" spans="4:16" x14ac:dyDescent="0.25">
      <c r="F52" t="s">
        <v>1115</v>
      </c>
      <c r="H52" t="s">
        <v>403</v>
      </c>
      <c r="J52" s="369">
        <v>7.5650000000000004</v>
      </c>
      <c r="K52" s="369">
        <v>1.1459999999999999</v>
      </c>
      <c r="L52" s="369">
        <v>0.161</v>
      </c>
      <c r="M52" s="370">
        <v>8.68</v>
      </c>
      <c r="N52" s="371">
        <v>0</v>
      </c>
      <c r="O52" s="371">
        <v>0</v>
      </c>
      <c r="P52" s="369">
        <v>0</v>
      </c>
    </row>
    <row r="53" spans="4:16" x14ac:dyDescent="0.25">
      <c r="F53" t="s">
        <v>1116</v>
      </c>
      <c r="H53" t="s">
        <v>403</v>
      </c>
      <c r="J53" s="369">
        <v>7.5650000000000004</v>
      </c>
      <c r="K53" s="369">
        <v>1.1459999999999999</v>
      </c>
      <c r="L53" s="369">
        <v>0.161</v>
      </c>
      <c r="M53" s="370">
        <v>9.8699999999999992</v>
      </c>
      <c r="N53" s="371">
        <v>0</v>
      </c>
      <c r="O53" s="371">
        <v>0</v>
      </c>
      <c r="P53" s="369">
        <v>0</v>
      </c>
    </row>
    <row r="54" spans="4:16" x14ac:dyDescent="0.25">
      <c r="F54" t="s">
        <v>1117</v>
      </c>
      <c r="H54" t="s">
        <v>403</v>
      </c>
      <c r="J54" s="369">
        <v>7.5650000000000004</v>
      </c>
      <c r="K54" s="369">
        <v>1.1459999999999999</v>
      </c>
      <c r="L54" s="369">
        <v>0.161</v>
      </c>
      <c r="M54" s="370">
        <v>11.92</v>
      </c>
      <c r="N54" s="371">
        <v>0</v>
      </c>
      <c r="O54" s="371">
        <v>0</v>
      </c>
      <c r="P54" s="369">
        <v>0</v>
      </c>
    </row>
    <row r="55" spans="4:16" x14ac:dyDescent="0.25">
      <c r="F55" t="s">
        <v>1118</v>
      </c>
      <c r="H55" t="s">
        <v>403</v>
      </c>
      <c r="J55" s="369">
        <v>7.5650000000000004</v>
      </c>
      <c r="K55" s="369">
        <v>1.1459999999999999</v>
      </c>
      <c r="L55" s="369">
        <v>0.161</v>
      </c>
      <c r="M55" s="370">
        <v>15.66</v>
      </c>
      <c r="N55" s="371">
        <v>0</v>
      </c>
      <c r="O55" s="371">
        <v>0</v>
      </c>
      <c r="P55" s="369">
        <v>0</v>
      </c>
    </row>
    <row r="56" spans="4:16" x14ac:dyDescent="0.25">
      <c r="F56" t="s">
        <v>1119</v>
      </c>
      <c r="H56" t="s">
        <v>403</v>
      </c>
      <c r="J56" s="369">
        <v>7.5650000000000004</v>
      </c>
      <c r="K56" s="369">
        <v>1.1459999999999999</v>
      </c>
      <c r="L56" s="369">
        <v>0.161</v>
      </c>
      <c r="M56" s="370">
        <v>27.48</v>
      </c>
      <c r="N56" s="371">
        <v>0</v>
      </c>
      <c r="O56" s="371">
        <v>0</v>
      </c>
      <c r="P56" s="369">
        <v>0</v>
      </c>
    </row>
    <row r="57" spans="4:16" x14ac:dyDescent="0.25">
      <c r="F57" t="s">
        <v>784</v>
      </c>
      <c r="H57" t="s">
        <v>403</v>
      </c>
      <c r="J57" s="369">
        <v>7.5650000000000004</v>
      </c>
      <c r="K57" s="369">
        <v>1.1459999999999999</v>
      </c>
      <c r="L57" s="369">
        <v>0.161</v>
      </c>
      <c r="M57" s="370">
        <v>0</v>
      </c>
      <c r="N57" s="371">
        <v>0</v>
      </c>
      <c r="O57" s="371">
        <v>0</v>
      </c>
      <c r="P57" s="369">
        <v>0</v>
      </c>
    </row>
    <row r="58" spans="4:16" x14ac:dyDescent="0.25">
      <c r="F58" t="s">
        <v>860</v>
      </c>
      <c r="H58" t="s">
        <v>403</v>
      </c>
      <c r="J58" s="369">
        <v>5.0279999999999996</v>
      </c>
      <c r="K58" s="369">
        <v>0.74099999999999999</v>
      </c>
      <c r="L58" s="369">
        <v>0.106</v>
      </c>
      <c r="M58" s="370">
        <v>8.99</v>
      </c>
      <c r="N58" s="371">
        <v>3.23</v>
      </c>
      <c r="O58" s="371">
        <v>3.23</v>
      </c>
      <c r="P58" s="369">
        <v>9.6000000000000002E-2</v>
      </c>
    </row>
    <row r="59" spans="4:16" x14ac:dyDescent="0.25">
      <c r="F59" t="s">
        <v>861</v>
      </c>
      <c r="H59" t="s">
        <v>403</v>
      </c>
      <c r="J59" s="369">
        <v>5.0279999999999996</v>
      </c>
      <c r="K59" s="369">
        <v>0.74099999999999999</v>
      </c>
      <c r="L59" s="369">
        <v>0.106</v>
      </c>
      <c r="M59" s="370">
        <v>40.35</v>
      </c>
      <c r="N59" s="371">
        <v>3.23</v>
      </c>
      <c r="O59" s="371">
        <v>3.23</v>
      </c>
      <c r="P59" s="369">
        <v>9.6000000000000002E-2</v>
      </c>
    </row>
    <row r="60" spans="4:16" x14ac:dyDescent="0.25">
      <c r="F60" t="s">
        <v>862</v>
      </c>
      <c r="H60" t="s">
        <v>403</v>
      </c>
      <c r="J60" s="369">
        <v>5.0279999999999996</v>
      </c>
      <c r="K60" s="369">
        <v>0.74099999999999999</v>
      </c>
      <c r="L60" s="369">
        <v>0.106</v>
      </c>
      <c r="M60" s="370">
        <v>76.64</v>
      </c>
      <c r="N60" s="371">
        <v>3.23</v>
      </c>
      <c r="O60" s="371">
        <v>3.23</v>
      </c>
      <c r="P60" s="369">
        <v>9.6000000000000002E-2</v>
      </c>
    </row>
    <row r="61" spans="4:16" x14ac:dyDescent="0.25">
      <c r="F61" t="s">
        <v>863</v>
      </c>
      <c r="H61" t="s">
        <v>403</v>
      </c>
      <c r="J61" s="369">
        <v>5.0279999999999996</v>
      </c>
      <c r="K61" s="369">
        <v>0.74099999999999999</v>
      </c>
      <c r="L61" s="369">
        <v>0.106</v>
      </c>
      <c r="M61" s="370">
        <v>114.9</v>
      </c>
      <c r="N61" s="371">
        <v>3.23</v>
      </c>
      <c r="O61" s="371">
        <v>3.23</v>
      </c>
      <c r="P61" s="369">
        <v>9.6000000000000002E-2</v>
      </c>
    </row>
    <row r="62" spans="4:16" x14ac:dyDescent="0.25">
      <c r="F62" t="s">
        <v>864</v>
      </c>
      <c r="H62" t="s">
        <v>403</v>
      </c>
      <c r="J62" s="369">
        <v>5.0279999999999996</v>
      </c>
      <c r="K62" s="369">
        <v>0.74099999999999999</v>
      </c>
      <c r="L62" s="369">
        <v>0.106</v>
      </c>
      <c r="M62" s="370">
        <v>284.89</v>
      </c>
      <c r="N62" s="371">
        <v>3.23</v>
      </c>
      <c r="O62" s="371">
        <v>3.23</v>
      </c>
      <c r="P62" s="369">
        <v>9.6000000000000002E-2</v>
      </c>
    </row>
    <row r="63" spans="4:16" x14ac:dyDescent="0.25">
      <c r="F63" t="s">
        <v>865</v>
      </c>
      <c r="H63" t="s">
        <v>403</v>
      </c>
      <c r="J63" s="379">
        <v>0</v>
      </c>
      <c r="K63" s="379">
        <v>0</v>
      </c>
      <c r="L63" s="379">
        <v>0</v>
      </c>
      <c r="M63" s="380">
        <v>0</v>
      </c>
      <c r="N63" s="381">
        <v>0</v>
      </c>
      <c r="O63" s="381">
        <v>0</v>
      </c>
      <c r="P63" s="379">
        <v>0</v>
      </c>
    </row>
    <row r="64" spans="4:16" x14ac:dyDescent="0.25">
      <c r="F64" t="s">
        <v>866</v>
      </c>
      <c r="H64" t="s">
        <v>403</v>
      </c>
      <c r="J64" s="379">
        <v>0</v>
      </c>
      <c r="K64" s="379">
        <v>0</v>
      </c>
      <c r="L64" s="379">
        <v>0</v>
      </c>
      <c r="M64" s="380">
        <v>0</v>
      </c>
      <c r="N64" s="381">
        <v>0</v>
      </c>
      <c r="O64" s="381">
        <v>0</v>
      </c>
      <c r="P64" s="379">
        <v>0</v>
      </c>
    </row>
    <row r="65" spans="6:16" x14ac:dyDescent="0.25">
      <c r="F65" t="s">
        <v>867</v>
      </c>
      <c r="H65" t="s">
        <v>403</v>
      </c>
      <c r="J65" s="382">
        <v>0</v>
      </c>
      <c r="K65" s="382">
        <v>0</v>
      </c>
      <c r="L65" s="382">
        <v>0</v>
      </c>
      <c r="M65" s="383">
        <v>0</v>
      </c>
      <c r="N65" s="384">
        <v>0</v>
      </c>
      <c r="O65" s="384">
        <v>0</v>
      </c>
      <c r="P65" s="382">
        <v>0</v>
      </c>
    </row>
    <row r="66" spans="6:16" x14ac:dyDescent="0.25">
      <c r="F66" t="s">
        <v>868</v>
      </c>
      <c r="H66" t="s">
        <v>403</v>
      </c>
      <c r="J66" s="382">
        <v>0</v>
      </c>
      <c r="K66" s="382">
        <v>0</v>
      </c>
      <c r="L66" s="382">
        <v>0</v>
      </c>
      <c r="M66" s="383">
        <v>0</v>
      </c>
      <c r="N66" s="384">
        <v>0</v>
      </c>
      <c r="O66" s="384">
        <v>0</v>
      </c>
      <c r="P66" s="382">
        <v>0</v>
      </c>
    </row>
    <row r="67" spans="6:16" x14ac:dyDescent="0.25">
      <c r="F67" t="s">
        <v>869</v>
      </c>
      <c r="H67" t="s">
        <v>403</v>
      </c>
      <c r="J67" s="382">
        <v>0</v>
      </c>
      <c r="K67" s="382">
        <v>0</v>
      </c>
      <c r="L67" s="382">
        <v>0</v>
      </c>
      <c r="M67" s="383">
        <v>0</v>
      </c>
      <c r="N67" s="384">
        <v>0</v>
      </c>
      <c r="O67" s="384">
        <v>0</v>
      </c>
      <c r="P67" s="382">
        <v>0</v>
      </c>
    </row>
    <row r="68" spans="6:16" x14ac:dyDescent="0.25">
      <c r="F68" t="s">
        <v>870</v>
      </c>
      <c r="H68" t="s">
        <v>403</v>
      </c>
      <c r="J68" s="382">
        <v>0</v>
      </c>
      <c r="K68" s="382">
        <v>0</v>
      </c>
      <c r="L68" s="382">
        <v>0</v>
      </c>
      <c r="M68" s="383">
        <v>0</v>
      </c>
      <c r="N68" s="384">
        <v>0</v>
      </c>
      <c r="O68" s="384">
        <v>0</v>
      </c>
      <c r="P68" s="382">
        <v>0</v>
      </c>
    </row>
    <row r="69" spans="6:16" x14ac:dyDescent="0.25">
      <c r="F69" t="s">
        <v>871</v>
      </c>
      <c r="H69" t="s">
        <v>403</v>
      </c>
      <c r="J69" s="382">
        <v>0</v>
      </c>
      <c r="K69" s="382">
        <v>0</v>
      </c>
      <c r="L69" s="382">
        <v>0</v>
      </c>
      <c r="M69" s="383">
        <v>0</v>
      </c>
      <c r="N69" s="384">
        <v>0</v>
      </c>
      <c r="O69" s="384">
        <v>0</v>
      </c>
      <c r="P69" s="382">
        <v>0</v>
      </c>
    </row>
    <row r="70" spans="6:16" x14ac:dyDescent="0.25">
      <c r="F70" t="s">
        <v>872</v>
      </c>
      <c r="H70" t="s">
        <v>403</v>
      </c>
      <c r="J70" s="382">
        <v>0</v>
      </c>
      <c r="K70" s="382">
        <v>0</v>
      </c>
      <c r="L70" s="382">
        <v>0</v>
      </c>
      <c r="M70" s="383">
        <v>0</v>
      </c>
      <c r="N70" s="384">
        <v>0</v>
      </c>
      <c r="O70" s="384">
        <v>0</v>
      </c>
      <c r="P70" s="382">
        <v>0</v>
      </c>
    </row>
    <row r="71" spans="6:16" x14ac:dyDescent="0.25">
      <c r="F71" t="s">
        <v>873</v>
      </c>
      <c r="H71" t="s">
        <v>403</v>
      </c>
      <c r="J71" s="382">
        <v>0</v>
      </c>
      <c r="K71" s="382">
        <v>0</v>
      </c>
      <c r="L71" s="382">
        <v>0</v>
      </c>
      <c r="M71" s="383">
        <v>0</v>
      </c>
      <c r="N71" s="384">
        <v>0</v>
      </c>
      <c r="O71" s="384">
        <v>0</v>
      </c>
      <c r="P71" s="382">
        <v>0</v>
      </c>
    </row>
    <row r="72" spans="6:16" x14ac:dyDescent="0.25">
      <c r="F72" t="s">
        <v>874</v>
      </c>
      <c r="H72" t="s">
        <v>403</v>
      </c>
      <c r="J72" s="382">
        <v>0</v>
      </c>
      <c r="K72" s="382">
        <v>0</v>
      </c>
      <c r="L72" s="382">
        <v>0</v>
      </c>
      <c r="M72" s="383">
        <v>0</v>
      </c>
      <c r="N72" s="384">
        <v>0</v>
      </c>
      <c r="O72" s="384">
        <v>0</v>
      </c>
      <c r="P72" s="382">
        <v>0</v>
      </c>
    </row>
    <row r="73" spans="6:16" x14ac:dyDescent="0.25">
      <c r="F73" t="s">
        <v>793</v>
      </c>
      <c r="H73" t="s">
        <v>403</v>
      </c>
      <c r="J73" s="372">
        <v>19.754999999999999</v>
      </c>
      <c r="K73" s="372">
        <v>1.07</v>
      </c>
      <c r="L73" s="372">
        <v>0.29399999999999998</v>
      </c>
      <c r="M73" s="373">
        <v>0</v>
      </c>
      <c r="N73" s="374">
        <v>0</v>
      </c>
      <c r="O73" s="374">
        <v>0</v>
      </c>
      <c r="P73" s="372">
        <v>0</v>
      </c>
    </row>
    <row r="74" spans="6:16" x14ac:dyDescent="0.25">
      <c r="F74" t="s">
        <v>785</v>
      </c>
      <c r="H74" t="s">
        <v>403</v>
      </c>
      <c r="J74" s="372">
        <v>-7.7359999999999998</v>
      </c>
      <c r="K74" s="372">
        <v>-1.171</v>
      </c>
      <c r="L74" s="372">
        <v>-0.16500000000000001</v>
      </c>
      <c r="M74" s="373">
        <v>0</v>
      </c>
      <c r="N74" s="374">
        <v>0</v>
      </c>
      <c r="O74" s="374">
        <v>0</v>
      </c>
      <c r="P74" s="372">
        <v>0</v>
      </c>
    </row>
    <row r="75" spans="6:16" x14ac:dyDescent="0.25">
      <c r="F75" t="s">
        <v>786</v>
      </c>
      <c r="H75" t="s">
        <v>403</v>
      </c>
      <c r="J75" s="382">
        <v>0</v>
      </c>
      <c r="K75" s="382">
        <v>0</v>
      </c>
      <c r="L75" s="382">
        <v>0</v>
      </c>
      <c r="M75" s="383">
        <v>0</v>
      </c>
      <c r="N75" s="384">
        <v>0</v>
      </c>
      <c r="O75" s="384">
        <v>0</v>
      </c>
      <c r="P75" s="382">
        <v>0</v>
      </c>
    </row>
    <row r="76" spans="6:16" x14ac:dyDescent="0.25">
      <c r="F76" t="s">
        <v>787</v>
      </c>
      <c r="H76" t="s">
        <v>403</v>
      </c>
      <c r="J76" s="372">
        <v>-7.7359999999999998</v>
      </c>
      <c r="K76" s="372">
        <v>-1.171</v>
      </c>
      <c r="L76" s="372">
        <v>-0.16500000000000001</v>
      </c>
      <c r="M76" s="373">
        <v>0</v>
      </c>
      <c r="N76" s="374">
        <v>0</v>
      </c>
      <c r="O76" s="374">
        <v>0</v>
      </c>
      <c r="P76" s="372">
        <v>0.13</v>
      </c>
    </row>
    <row r="77" spans="6:16" x14ac:dyDescent="0.25">
      <c r="F77" t="s">
        <v>796</v>
      </c>
      <c r="H77" t="s">
        <v>403</v>
      </c>
      <c r="J77" s="382">
        <v>0</v>
      </c>
      <c r="K77" s="382">
        <v>0</v>
      </c>
      <c r="L77" s="382">
        <v>0</v>
      </c>
      <c r="M77" s="383">
        <v>0</v>
      </c>
      <c r="N77" s="384">
        <v>0</v>
      </c>
      <c r="O77" s="384">
        <v>0</v>
      </c>
      <c r="P77" s="382">
        <v>0</v>
      </c>
    </row>
    <row r="78" spans="6:16" x14ac:dyDescent="0.25">
      <c r="F78" t="s">
        <v>788</v>
      </c>
      <c r="H78" t="s">
        <v>403</v>
      </c>
      <c r="J78" s="382">
        <v>0</v>
      </c>
      <c r="K78" s="382">
        <v>0</v>
      </c>
      <c r="L78" s="382">
        <v>0</v>
      </c>
      <c r="M78" s="383">
        <v>0</v>
      </c>
      <c r="N78" s="384">
        <v>0</v>
      </c>
      <c r="O78" s="384">
        <v>0</v>
      </c>
      <c r="P78" s="382">
        <v>0</v>
      </c>
    </row>
    <row r="79" spans="6:16" x14ac:dyDescent="0.25">
      <c r="F79" t="s">
        <v>795</v>
      </c>
      <c r="H79" t="s">
        <v>403</v>
      </c>
      <c r="J79" s="382">
        <v>0</v>
      </c>
      <c r="K79" s="382">
        <v>0</v>
      </c>
      <c r="L79" s="382">
        <v>0</v>
      </c>
      <c r="M79" s="383">
        <v>0</v>
      </c>
      <c r="N79" s="384">
        <v>0</v>
      </c>
      <c r="O79" s="384">
        <v>0</v>
      </c>
      <c r="P79" s="382">
        <v>0</v>
      </c>
    </row>
    <row r="80" spans="6:16" x14ac:dyDescent="0.25">
      <c r="F80" t="s">
        <v>789</v>
      </c>
      <c r="H80" t="s">
        <v>403</v>
      </c>
      <c r="J80" s="382">
        <v>0</v>
      </c>
      <c r="K80" s="382">
        <v>0</v>
      </c>
      <c r="L80" s="382">
        <v>0</v>
      </c>
      <c r="M80" s="383">
        <v>0</v>
      </c>
      <c r="N80" s="384">
        <v>0</v>
      </c>
      <c r="O80" s="384">
        <v>0</v>
      </c>
      <c r="P80" s="382">
        <v>0</v>
      </c>
    </row>
    <row r="81" spans="4:16" x14ac:dyDescent="0.25">
      <c r="F81" s="96" t="s">
        <v>794</v>
      </c>
      <c r="G81" s="96"/>
      <c r="H81" s="96" t="s">
        <v>403</v>
      </c>
      <c r="I81" s="96"/>
      <c r="J81" s="385">
        <v>0</v>
      </c>
      <c r="K81" s="385">
        <v>0</v>
      </c>
      <c r="L81" s="385">
        <v>0</v>
      </c>
      <c r="M81" s="386">
        <v>0</v>
      </c>
      <c r="N81" s="387">
        <v>0</v>
      </c>
      <c r="O81" s="387">
        <v>0</v>
      </c>
      <c r="P81" s="385">
        <v>0</v>
      </c>
    </row>
    <row r="82" spans="4:16" x14ac:dyDescent="0.25">
      <c r="D82"/>
      <c r="E82"/>
      <c r="M82" s="388"/>
      <c r="N82" s="388"/>
      <c r="O82" s="388"/>
    </row>
    <row r="83" spans="4:16" x14ac:dyDescent="0.25">
      <c r="D83" s="75"/>
      <c r="E83" s="75" t="s">
        <v>762</v>
      </c>
      <c r="M83" s="388"/>
      <c r="N83" s="388"/>
      <c r="O83" s="388"/>
    </row>
    <row r="84" spans="4:16" x14ac:dyDescent="0.25">
      <c r="F84" s="95" t="s">
        <v>1114</v>
      </c>
      <c r="G84" s="95"/>
      <c r="H84" s="95" t="s">
        <v>404</v>
      </c>
      <c r="I84" s="95"/>
      <c r="J84" s="366">
        <f t="array" ref="J84:P115">TRANSPOSE(Rounding!J168:AO174)</f>
        <v>4.4530000000000003</v>
      </c>
      <c r="K84" s="366">
        <v>0.67400000000000004</v>
      </c>
      <c r="L84" s="366">
        <v>9.5000000000000001E-2</v>
      </c>
      <c r="M84" s="367">
        <v>7.12</v>
      </c>
      <c r="N84" s="368">
        <v>0</v>
      </c>
      <c r="O84" s="368">
        <v>0</v>
      </c>
      <c r="P84" s="366">
        <v>0</v>
      </c>
    </row>
    <row r="85" spans="4:16" x14ac:dyDescent="0.25">
      <c r="F85" t="s">
        <v>783</v>
      </c>
      <c r="H85" t="s">
        <v>404</v>
      </c>
      <c r="J85" s="369">
        <v>4.4530000000000003</v>
      </c>
      <c r="K85" s="369">
        <v>0.67400000000000004</v>
      </c>
      <c r="L85" s="369">
        <v>9.5000000000000001E-2</v>
      </c>
      <c r="M85" s="370">
        <v>0</v>
      </c>
      <c r="N85" s="371">
        <v>0</v>
      </c>
      <c r="O85" s="371">
        <v>0</v>
      </c>
      <c r="P85" s="369">
        <v>0</v>
      </c>
    </row>
    <row r="86" spans="4:16" x14ac:dyDescent="0.25">
      <c r="F86" t="s">
        <v>1115</v>
      </c>
      <c r="H86" t="s">
        <v>404</v>
      </c>
      <c r="J86" s="369">
        <v>5.0810000000000004</v>
      </c>
      <c r="K86" s="369">
        <v>0.76900000000000002</v>
      </c>
      <c r="L86" s="369">
        <v>0.108</v>
      </c>
      <c r="M86" s="370">
        <v>5.83</v>
      </c>
      <c r="N86" s="371">
        <v>0</v>
      </c>
      <c r="O86" s="371">
        <v>0</v>
      </c>
      <c r="P86" s="369">
        <v>0</v>
      </c>
    </row>
    <row r="87" spans="4:16" x14ac:dyDescent="0.25">
      <c r="F87" t="s">
        <v>1116</v>
      </c>
      <c r="H87" t="s">
        <v>404</v>
      </c>
      <c r="J87" s="369">
        <v>5.0810000000000004</v>
      </c>
      <c r="K87" s="369">
        <v>0.76900000000000002</v>
      </c>
      <c r="L87" s="369">
        <v>0.108</v>
      </c>
      <c r="M87" s="370">
        <v>6.63</v>
      </c>
      <c r="N87" s="371">
        <v>0</v>
      </c>
      <c r="O87" s="371">
        <v>0</v>
      </c>
      <c r="P87" s="369">
        <v>0</v>
      </c>
    </row>
    <row r="88" spans="4:16" x14ac:dyDescent="0.25">
      <c r="F88" t="s">
        <v>1117</v>
      </c>
      <c r="H88" t="s">
        <v>404</v>
      </c>
      <c r="J88" s="369">
        <v>5.0810000000000004</v>
      </c>
      <c r="K88" s="369">
        <v>0.76900000000000002</v>
      </c>
      <c r="L88" s="369">
        <v>0.108</v>
      </c>
      <c r="M88" s="370">
        <v>8.01</v>
      </c>
      <c r="N88" s="371">
        <v>0</v>
      </c>
      <c r="O88" s="371">
        <v>0</v>
      </c>
      <c r="P88" s="369">
        <v>0</v>
      </c>
    </row>
    <row r="89" spans="4:16" x14ac:dyDescent="0.25">
      <c r="F89" t="s">
        <v>1118</v>
      </c>
      <c r="H89" t="s">
        <v>404</v>
      </c>
      <c r="J89" s="369">
        <v>5.0810000000000004</v>
      </c>
      <c r="K89" s="369">
        <v>0.76900000000000002</v>
      </c>
      <c r="L89" s="369">
        <v>0.108</v>
      </c>
      <c r="M89" s="370">
        <v>10.52</v>
      </c>
      <c r="N89" s="371">
        <v>0</v>
      </c>
      <c r="O89" s="371">
        <v>0</v>
      </c>
      <c r="P89" s="369">
        <v>0</v>
      </c>
    </row>
    <row r="90" spans="4:16" x14ac:dyDescent="0.25">
      <c r="F90" t="s">
        <v>1119</v>
      </c>
      <c r="H90" t="s">
        <v>404</v>
      </c>
      <c r="J90" s="369">
        <v>5.0810000000000004</v>
      </c>
      <c r="K90" s="369">
        <v>0.76900000000000002</v>
      </c>
      <c r="L90" s="369">
        <v>0.108</v>
      </c>
      <c r="M90" s="370">
        <v>18.46</v>
      </c>
      <c r="N90" s="371">
        <v>0</v>
      </c>
      <c r="O90" s="371">
        <v>0</v>
      </c>
      <c r="P90" s="369">
        <v>0</v>
      </c>
    </row>
    <row r="91" spans="4:16" x14ac:dyDescent="0.25">
      <c r="F91" t="s">
        <v>784</v>
      </c>
      <c r="H91" t="s">
        <v>404</v>
      </c>
      <c r="J91" s="369">
        <v>5.0810000000000004</v>
      </c>
      <c r="K91" s="369">
        <v>0.76900000000000002</v>
      </c>
      <c r="L91" s="369">
        <v>0.108</v>
      </c>
      <c r="M91" s="370">
        <v>0</v>
      </c>
      <c r="N91" s="371">
        <v>0</v>
      </c>
      <c r="O91" s="371">
        <v>0</v>
      </c>
      <c r="P91" s="369">
        <v>0</v>
      </c>
    </row>
    <row r="92" spans="4:16" x14ac:dyDescent="0.25">
      <c r="F92" t="s">
        <v>860</v>
      </c>
      <c r="H92" t="s">
        <v>404</v>
      </c>
      <c r="J92" s="369">
        <v>3.3769999999999998</v>
      </c>
      <c r="K92" s="369">
        <v>0.497</v>
      </c>
      <c r="L92" s="369">
        <v>7.0999999999999994E-2</v>
      </c>
      <c r="M92" s="370">
        <v>6.04</v>
      </c>
      <c r="N92" s="371">
        <v>2.17</v>
      </c>
      <c r="O92" s="371">
        <v>2.17</v>
      </c>
      <c r="P92" s="369">
        <v>6.4000000000000001E-2</v>
      </c>
    </row>
    <row r="93" spans="4:16" x14ac:dyDescent="0.25">
      <c r="F93" t="s">
        <v>861</v>
      </c>
      <c r="H93" t="s">
        <v>404</v>
      </c>
      <c r="J93" s="369">
        <v>3.3769999999999998</v>
      </c>
      <c r="K93" s="369">
        <v>0.497</v>
      </c>
      <c r="L93" s="369">
        <v>7.0999999999999994E-2</v>
      </c>
      <c r="M93" s="370">
        <v>27.1</v>
      </c>
      <c r="N93" s="371">
        <v>2.17</v>
      </c>
      <c r="O93" s="371">
        <v>2.17</v>
      </c>
      <c r="P93" s="369">
        <v>6.4000000000000001E-2</v>
      </c>
    </row>
    <row r="94" spans="4:16" x14ac:dyDescent="0.25">
      <c r="F94" t="s">
        <v>862</v>
      </c>
      <c r="H94" t="s">
        <v>404</v>
      </c>
      <c r="J94" s="369">
        <v>3.3769999999999998</v>
      </c>
      <c r="K94" s="369">
        <v>0.497</v>
      </c>
      <c r="L94" s="369">
        <v>7.0999999999999994E-2</v>
      </c>
      <c r="M94" s="370">
        <v>51.47</v>
      </c>
      <c r="N94" s="371">
        <v>2.17</v>
      </c>
      <c r="O94" s="371">
        <v>2.17</v>
      </c>
      <c r="P94" s="369">
        <v>6.4000000000000001E-2</v>
      </c>
    </row>
    <row r="95" spans="4:16" x14ac:dyDescent="0.25">
      <c r="F95" t="s">
        <v>863</v>
      </c>
      <c r="H95" t="s">
        <v>404</v>
      </c>
      <c r="J95" s="369">
        <v>3.3769999999999998</v>
      </c>
      <c r="K95" s="369">
        <v>0.497</v>
      </c>
      <c r="L95" s="369">
        <v>7.0999999999999994E-2</v>
      </c>
      <c r="M95" s="370">
        <v>77.16</v>
      </c>
      <c r="N95" s="371">
        <v>2.17</v>
      </c>
      <c r="O95" s="371">
        <v>2.17</v>
      </c>
      <c r="P95" s="369">
        <v>6.4000000000000001E-2</v>
      </c>
    </row>
    <row r="96" spans="4:16" x14ac:dyDescent="0.25">
      <c r="F96" t="s">
        <v>864</v>
      </c>
      <c r="H96" t="s">
        <v>404</v>
      </c>
      <c r="J96" s="369">
        <v>3.3769999999999998</v>
      </c>
      <c r="K96" s="369">
        <v>0.497</v>
      </c>
      <c r="L96" s="369">
        <v>7.0999999999999994E-2</v>
      </c>
      <c r="M96" s="370">
        <v>191.33</v>
      </c>
      <c r="N96" s="371">
        <v>2.17</v>
      </c>
      <c r="O96" s="371">
        <v>2.17</v>
      </c>
      <c r="P96" s="369">
        <v>6.4000000000000001E-2</v>
      </c>
    </row>
    <row r="97" spans="6:16" x14ac:dyDescent="0.25">
      <c r="F97" t="s">
        <v>865</v>
      </c>
      <c r="H97" t="s">
        <v>404</v>
      </c>
      <c r="J97" s="369">
        <v>3.129</v>
      </c>
      <c r="K97" s="369">
        <v>0.42299999999999999</v>
      </c>
      <c r="L97" s="369">
        <v>6.3E-2</v>
      </c>
      <c r="M97" s="370">
        <v>10.3</v>
      </c>
      <c r="N97" s="371">
        <v>3.48</v>
      </c>
      <c r="O97" s="371">
        <v>3.48</v>
      </c>
      <c r="P97" s="369">
        <v>5.8999999999999997E-2</v>
      </c>
    </row>
    <row r="98" spans="6:16" x14ac:dyDescent="0.25">
      <c r="F98" t="s">
        <v>866</v>
      </c>
      <c r="H98" t="s">
        <v>404</v>
      </c>
      <c r="J98" s="369">
        <v>3.129</v>
      </c>
      <c r="K98" s="369">
        <v>0.42299999999999999</v>
      </c>
      <c r="L98" s="369">
        <v>6.3E-2</v>
      </c>
      <c r="M98" s="370">
        <v>46.19</v>
      </c>
      <c r="N98" s="371">
        <v>3.48</v>
      </c>
      <c r="O98" s="371">
        <v>3.48</v>
      </c>
      <c r="P98" s="369">
        <v>5.8999999999999997E-2</v>
      </c>
    </row>
    <row r="99" spans="6:16" x14ac:dyDescent="0.25">
      <c r="F99" t="s">
        <v>867</v>
      </c>
      <c r="H99" t="s">
        <v>404</v>
      </c>
      <c r="J99" s="372">
        <v>3.129</v>
      </c>
      <c r="K99" s="372">
        <v>0.42299999999999999</v>
      </c>
      <c r="L99" s="372">
        <v>6.3E-2</v>
      </c>
      <c r="M99" s="373">
        <v>87.72</v>
      </c>
      <c r="N99" s="374">
        <v>3.48</v>
      </c>
      <c r="O99" s="374">
        <v>3.48</v>
      </c>
      <c r="P99" s="372">
        <v>5.8999999999999997E-2</v>
      </c>
    </row>
    <row r="100" spans="6:16" x14ac:dyDescent="0.25">
      <c r="F100" t="s">
        <v>868</v>
      </c>
      <c r="H100" t="s">
        <v>404</v>
      </c>
      <c r="J100" s="372">
        <v>3.129</v>
      </c>
      <c r="K100" s="372">
        <v>0.42299999999999999</v>
      </c>
      <c r="L100" s="372">
        <v>6.3E-2</v>
      </c>
      <c r="M100" s="373">
        <v>131.51</v>
      </c>
      <c r="N100" s="374">
        <v>3.48</v>
      </c>
      <c r="O100" s="374">
        <v>3.48</v>
      </c>
      <c r="P100" s="372">
        <v>5.8999999999999997E-2</v>
      </c>
    </row>
    <row r="101" spans="6:16" x14ac:dyDescent="0.25">
      <c r="F101" t="s">
        <v>869</v>
      </c>
      <c r="H101" t="s">
        <v>404</v>
      </c>
      <c r="J101" s="372">
        <v>3.129</v>
      </c>
      <c r="K101" s="372">
        <v>0.42299999999999999</v>
      </c>
      <c r="L101" s="372">
        <v>6.3E-2</v>
      </c>
      <c r="M101" s="373">
        <v>326.08</v>
      </c>
      <c r="N101" s="374">
        <v>3.48</v>
      </c>
      <c r="O101" s="374">
        <v>3.48</v>
      </c>
      <c r="P101" s="372">
        <v>5.8999999999999997E-2</v>
      </c>
    </row>
    <row r="102" spans="6:16" x14ac:dyDescent="0.25">
      <c r="F102" t="s">
        <v>870</v>
      </c>
      <c r="H102" t="s">
        <v>404</v>
      </c>
      <c r="J102" s="372">
        <v>2.8260000000000001</v>
      </c>
      <c r="K102" s="372">
        <v>0.35499999999999998</v>
      </c>
      <c r="L102" s="372">
        <v>5.3999999999999999E-2</v>
      </c>
      <c r="M102" s="373">
        <v>262.95</v>
      </c>
      <c r="N102" s="374">
        <v>4.6500000000000004</v>
      </c>
      <c r="O102" s="374">
        <v>4.6500000000000004</v>
      </c>
      <c r="P102" s="372">
        <v>5.1999999999999998E-2</v>
      </c>
    </row>
    <row r="103" spans="6:16" x14ac:dyDescent="0.25">
      <c r="F103" t="s">
        <v>871</v>
      </c>
      <c r="H103" t="s">
        <v>404</v>
      </c>
      <c r="J103" s="372">
        <v>2.8260000000000001</v>
      </c>
      <c r="K103" s="372">
        <v>0.35499999999999998</v>
      </c>
      <c r="L103" s="372">
        <v>5.3999999999999999E-2</v>
      </c>
      <c r="M103" s="373">
        <v>566.07000000000005</v>
      </c>
      <c r="N103" s="374">
        <v>4.6500000000000004</v>
      </c>
      <c r="O103" s="374">
        <v>4.6500000000000004</v>
      </c>
      <c r="P103" s="372">
        <v>5.1999999999999998E-2</v>
      </c>
    </row>
    <row r="104" spans="6:16" x14ac:dyDescent="0.25">
      <c r="F104" t="s">
        <v>872</v>
      </c>
      <c r="H104" t="s">
        <v>404</v>
      </c>
      <c r="J104" s="372">
        <v>2.8260000000000001</v>
      </c>
      <c r="K104" s="372">
        <v>0.35499999999999998</v>
      </c>
      <c r="L104" s="372">
        <v>5.3999999999999999E-2</v>
      </c>
      <c r="M104" s="373">
        <v>1093.1199999999999</v>
      </c>
      <c r="N104" s="374">
        <v>4.6500000000000004</v>
      </c>
      <c r="O104" s="374">
        <v>4.6500000000000004</v>
      </c>
      <c r="P104" s="372">
        <v>5.1999999999999998E-2</v>
      </c>
    </row>
    <row r="105" spans="6:16" x14ac:dyDescent="0.25">
      <c r="F105" t="s">
        <v>873</v>
      </c>
      <c r="H105" t="s">
        <v>404</v>
      </c>
      <c r="J105" s="372">
        <v>2.8260000000000001</v>
      </c>
      <c r="K105" s="372">
        <v>0.35499999999999998</v>
      </c>
      <c r="L105" s="372">
        <v>5.3999999999999999E-2</v>
      </c>
      <c r="M105" s="373">
        <v>1746.65</v>
      </c>
      <c r="N105" s="374">
        <v>4.6500000000000004</v>
      </c>
      <c r="O105" s="374">
        <v>4.6500000000000004</v>
      </c>
      <c r="P105" s="372">
        <v>5.1999999999999998E-2</v>
      </c>
    </row>
    <row r="106" spans="6:16" x14ac:dyDescent="0.25">
      <c r="F106" t="s">
        <v>874</v>
      </c>
      <c r="H106" t="s">
        <v>404</v>
      </c>
      <c r="J106" s="372">
        <v>2.8260000000000001</v>
      </c>
      <c r="K106" s="372">
        <v>0.35499999999999998</v>
      </c>
      <c r="L106" s="372">
        <v>5.3999999999999999E-2</v>
      </c>
      <c r="M106" s="373">
        <v>4303.26</v>
      </c>
      <c r="N106" s="374">
        <v>4.6500000000000004</v>
      </c>
      <c r="O106" s="374">
        <v>4.6500000000000004</v>
      </c>
      <c r="P106" s="372">
        <v>5.1999999999999998E-2</v>
      </c>
    </row>
    <row r="107" spans="6:16" x14ac:dyDescent="0.25">
      <c r="F107" t="s">
        <v>793</v>
      </c>
      <c r="H107" t="s">
        <v>404</v>
      </c>
      <c r="J107" s="372">
        <v>13.266999999999999</v>
      </c>
      <c r="K107" s="372">
        <v>0.71799999999999997</v>
      </c>
      <c r="L107" s="372">
        <v>0.19700000000000001</v>
      </c>
      <c r="M107" s="373">
        <v>0</v>
      </c>
      <c r="N107" s="374">
        <v>0</v>
      </c>
      <c r="O107" s="374">
        <v>0</v>
      </c>
      <c r="P107" s="372">
        <v>0</v>
      </c>
    </row>
    <row r="108" spans="6:16" x14ac:dyDescent="0.25">
      <c r="F108" t="s">
        <v>785</v>
      </c>
      <c r="H108" t="s">
        <v>404</v>
      </c>
      <c r="J108" s="372">
        <v>-7.7359999999999998</v>
      </c>
      <c r="K108" s="372">
        <v>-1.171</v>
      </c>
      <c r="L108" s="372">
        <v>-0.16500000000000001</v>
      </c>
      <c r="M108" s="373">
        <v>0</v>
      </c>
      <c r="N108" s="374">
        <v>0</v>
      </c>
      <c r="O108" s="374">
        <v>0</v>
      </c>
      <c r="P108" s="372">
        <v>0</v>
      </c>
    </row>
    <row r="109" spans="6:16" x14ac:dyDescent="0.25">
      <c r="F109" t="s">
        <v>786</v>
      </c>
      <c r="H109" t="s">
        <v>404</v>
      </c>
      <c r="J109" s="372">
        <v>-6.5179999999999998</v>
      </c>
      <c r="K109" s="372">
        <v>-0.97199999999999998</v>
      </c>
      <c r="L109" s="372">
        <v>-0.13800000000000001</v>
      </c>
      <c r="M109" s="373">
        <v>0</v>
      </c>
      <c r="N109" s="374">
        <v>0</v>
      </c>
      <c r="O109" s="374">
        <v>0</v>
      </c>
      <c r="P109" s="372">
        <v>0</v>
      </c>
    </row>
    <row r="110" spans="6:16" x14ac:dyDescent="0.25">
      <c r="F110" t="s">
        <v>787</v>
      </c>
      <c r="H110" t="s">
        <v>404</v>
      </c>
      <c r="J110" s="372">
        <v>-7.7359999999999998</v>
      </c>
      <c r="K110" s="372">
        <v>-1.171</v>
      </c>
      <c r="L110" s="372">
        <v>-0.16500000000000001</v>
      </c>
      <c r="M110" s="373">
        <v>0</v>
      </c>
      <c r="N110" s="374">
        <v>0</v>
      </c>
      <c r="O110" s="374">
        <v>0</v>
      </c>
      <c r="P110" s="372">
        <v>0.13</v>
      </c>
    </row>
    <row r="111" spans="6:16" x14ac:dyDescent="0.25">
      <c r="F111" t="s">
        <v>796</v>
      </c>
      <c r="H111" t="s">
        <v>404</v>
      </c>
      <c r="J111" s="382">
        <v>0</v>
      </c>
      <c r="K111" s="382">
        <v>0</v>
      </c>
      <c r="L111" s="382">
        <v>0</v>
      </c>
      <c r="M111" s="383">
        <v>0</v>
      </c>
      <c r="N111" s="384">
        <v>0</v>
      </c>
      <c r="O111" s="384">
        <v>0</v>
      </c>
      <c r="P111" s="382">
        <v>0</v>
      </c>
    </row>
    <row r="112" spans="6:16" x14ac:dyDescent="0.25">
      <c r="F112" t="s">
        <v>788</v>
      </c>
      <c r="H112" t="s">
        <v>404</v>
      </c>
      <c r="J112" s="372">
        <v>-6.5179999999999998</v>
      </c>
      <c r="K112" s="372">
        <v>-0.97199999999999998</v>
      </c>
      <c r="L112" s="372">
        <v>-0.13800000000000001</v>
      </c>
      <c r="M112" s="373">
        <v>0</v>
      </c>
      <c r="N112" s="374">
        <v>0</v>
      </c>
      <c r="O112" s="374">
        <v>0</v>
      </c>
      <c r="P112" s="372">
        <v>0.122</v>
      </c>
    </row>
    <row r="113" spans="2:19" x14ac:dyDescent="0.25">
      <c r="F113" t="s">
        <v>795</v>
      </c>
      <c r="H113" t="s">
        <v>404</v>
      </c>
      <c r="J113" s="382">
        <v>0</v>
      </c>
      <c r="K113" s="382">
        <v>0</v>
      </c>
      <c r="L113" s="382">
        <v>0</v>
      </c>
      <c r="M113" s="383">
        <v>0</v>
      </c>
      <c r="N113" s="384">
        <v>0</v>
      </c>
      <c r="O113" s="384">
        <v>0</v>
      </c>
      <c r="P113" s="382">
        <v>0</v>
      </c>
    </row>
    <row r="114" spans="2:19" x14ac:dyDescent="0.25">
      <c r="F114" t="s">
        <v>789</v>
      </c>
      <c r="H114" t="s">
        <v>404</v>
      </c>
      <c r="J114" s="372">
        <v>-3.8839999999999999</v>
      </c>
      <c r="K114" s="372">
        <v>-0.52500000000000002</v>
      </c>
      <c r="L114" s="372">
        <v>-7.8E-2</v>
      </c>
      <c r="M114" s="373">
        <v>0</v>
      </c>
      <c r="N114" s="374">
        <v>0</v>
      </c>
      <c r="O114" s="374">
        <v>0</v>
      </c>
      <c r="P114" s="372">
        <v>0.108</v>
      </c>
    </row>
    <row r="115" spans="2:19" x14ac:dyDescent="0.25">
      <c r="F115" s="96" t="s">
        <v>794</v>
      </c>
      <c r="G115" s="96"/>
      <c r="H115" s="96" t="s">
        <v>404</v>
      </c>
      <c r="I115" s="96"/>
      <c r="J115" s="385">
        <v>0</v>
      </c>
      <c r="K115" s="385">
        <v>0</v>
      </c>
      <c r="L115" s="385">
        <v>0</v>
      </c>
      <c r="M115" s="386">
        <v>0</v>
      </c>
      <c r="N115" s="387">
        <v>0</v>
      </c>
      <c r="O115" s="387">
        <v>0</v>
      </c>
      <c r="P115" s="385">
        <v>0</v>
      </c>
    </row>
    <row r="116" spans="2:19" x14ac:dyDescent="0.25">
      <c r="D116" s="75"/>
      <c r="E116" s="75"/>
      <c r="F116" s="75"/>
      <c r="G116" s="75"/>
      <c r="H116" s="75"/>
      <c r="I116" s="75"/>
      <c r="J116" s="75"/>
      <c r="K116" s="75"/>
      <c r="L116" s="75"/>
      <c r="M116" s="389"/>
      <c r="N116" s="389"/>
      <c r="O116" s="389"/>
      <c r="P116" s="75"/>
      <c r="Q116" s="75"/>
      <c r="R116" s="75"/>
      <c r="S116" s="75"/>
    </row>
    <row r="117" spans="2:19" x14ac:dyDescent="0.25">
      <c r="B117" s="85" t="s">
        <v>229</v>
      </c>
      <c r="C117" s="85"/>
      <c r="D117" s="85"/>
      <c r="E117" s="85"/>
      <c r="F117" s="85"/>
      <c r="G117" s="85"/>
      <c r="H117" s="85"/>
      <c r="I117" s="85"/>
      <c r="J117" s="85"/>
      <c r="K117" s="85"/>
      <c r="L117" s="159"/>
      <c r="M117" s="390"/>
      <c r="N117" s="390"/>
      <c r="O117" s="390"/>
      <c r="P117" s="159"/>
      <c r="Q117" s="159"/>
      <c r="R117" s="159"/>
    </row>
    <row r="118" spans="2:19" x14ac:dyDescent="0.25">
      <c r="M118" s="388"/>
      <c r="N118" s="388"/>
      <c r="O118" s="388"/>
    </row>
    <row r="119" spans="2:19" x14ac:dyDescent="0.25">
      <c r="D119"/>
      <c r="E119" t="s">
        <v>230</v>
      </c>
      <c r="G119" s="6" t="s">
        <v>54</v>
      </c>
      <c r="H119" s="113">
        <f t="array" ref="H119">SUM(IF(ISERROR(J16:P99), 1))</f>
        <v>0</v>
      </c>
      <c r="M119" s="388"/>
      <c r="N119" s="388"/>
      <c r="O119" s="388"/>
    </row>
    <row r="120" spans="2:19" x14ac:dyDescent="0.25">
      <c r="M120" s="388"/>
      <c r="N120" s="388"/>
      <c r="O120" s="388"/>
    </row>
    <row r="121" spans="2:19" x14ac:dyDescent="0.25">
      <c r="B121" s="85" t="s">
        <v>105</v>
      </c>
      <c r="C121" s="85"/>
      <c r="D121" s="85"/>
      <c r="E121" s="85"/>
      <c r="F121" s="85"/>
      <c r="G121" s="85"/>
      <c r="H121" s="85"/>
      <c r="I121" s="85"/>
      <c r="J121" s="85"/>
      <c r="K121" s="85"/>
      <c r="L121" s="159"/>
      <c r="M121" s="390"/>
      <c r="N121" s="390"/>
      <c r="O121" s="390"/>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Northern Powergrid (Northeast) - v0.1</v>
      </c>
    </row>
    <row r="3" spans="1:40" s="5" customFormat="1" x14ac:dyDescent="0.25">
      <c r="A3" s="5" t="str">
        <f>Cover!D2&amp;" - "&amp;Cover!D8&amp;" v"&amp;Cover!D10&amp;" - "&amp;Cover!D19</f>
        <v>CDCM charging model - Release for charge setting v11 - 2026/27</v>
      </c>
    </row>
    <row r="4" spans="1:40" x14ac:dyDescent="0.25">
      <c r="A4" s="60" t="str">
        <f>H84 &amp; IF(H84 = 1, " issue", " issues") &amp;" identified in checks on this sheet"</f>
        <v>0 issues identified in checks on this sheet</v>
      </c>
      <c r="B4" s="61"/>
      <c r="C4" s="61"/>
      <c r="D4" s="61"/>
      <c r="E4" s="61"/>
      <c r="F4" s="61"/>
      <c r="G4" s="61"/>
      <c r="H4" s="62"/>
      <c r="I4" s="62"/>
      <c r="J4" s="61"/>
    </row>
    <row r="5" spans="1:40" x14ac:dyDescent="0.25">
      <c r="B5" s="89" t="s">
        <v>140</v>
      </c>
      <c r="C5" s="90"/>
      <c r="D5" s="90"/>
      <c r="E5" s="90"/>
      <c r="F5" s="90"/>
      <c r="G5" s="91" t="s">
        <v>141</v>
      </c>
      <c r="H5" s="138" t="s">
        <v>142</v>
      </c>
      <c r="AN5" s="91" t="s">
        <v>143</v>
      </c>
    </row>
    <row r="7" spans="1:40" x14ac:dyDescent="0.25">
      <c r="B7" s="85" t="s">
        <v>9</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25">
      <c r="C9" s="86" t="s">
        <v>763</v>
      </c>
      <c r="E9"/>
    </row>
    <row r="10" spans="1:40" x14ac:dyDescent="0.25">
      <c r="C10" s="86" t="s">
        <v>764</v>
      </c>
      <c r="E10"/>
    </row>
    <row r="12" spans="1:40" x14ac:dyDescent="0.25">
      <c r="B12" s="85" t="s">
        <v>765</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2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25">
      <c r="D16" s="86" t="s">
        <v>766</v>
      </c>
      <c r="E16"/>
    </row>
    <row r="17" spans="2:40" x14ac:dyDescent="0.25">
      <c r="D17" s="86"/>
      <c r="E17"/>
    </row>
    <row r="18" spans="2:40" x14ac:dyDescent="0.25">
      <c r="E18" s="75" t="s">
        <v>767</v>
      </c>
    </row>
    <row r="19" spans="2:40" x14ac:dyDescent="0.25">
      <c r="F19" s="98" t="s">
        <v>190</v>
      </c>
      <c r="G19" s="95" t="s">
        <v>275</v>
      </c>
      <c r="H19" s="391">
        <f t="array" ref="H19:H23">TRANSPOSE('Unit costs'!L108:P108)</f>
        <v>280155650.70301205</v>
      </c>
    </row>
    <row r="20" spans="2:40" x14ac:dyDescent="0.25">
      <c r="E20"/>
      <c r="F20" s="94" t="s">
        <v>191</v>
      </c>
      <c r="G20" t="s">
        <v>275</v>
      </c>
      <c r="H20" s="392">
        <v>173532648.25991571</v>
      </c>
    </row>
    <row r="21" spans="2:40" x14ac:dyDescent="0.25">
      <c r="E21"/>
      <c r="F21" s="94" t="s">
        <v>192</v>
      </c>
      <c r="G21" t="s">
        <v>275</v>
      </c>
      <c r="H21" s="392">
        <v>567017320.51664102</v>
      </c>
    </row>
    <row r="22" spans="2:40" x14ac:dyDescent="0.25">
      <c r="E22"/>
      <c r="F22" s="94" t="s">
        <v>193</v>
      </c>
      <c r="G22" t="s">
        <v>275</v>
      </c>
      <c r="H22" s="392">
        <v>241322285.19931966</v>
      </c>
    </row>
    <row r="23" spans="2:40" x14ac:dyDescent="0.25">
      <c r="E23"/>
      <c r="F23" s="101" t="s">
        <v>194</v>
      </c>
      <c r="G23" s="96" t="s">
        <v>275</v>
      </c>
      <c r="H23" s="393">
        <v>0</v>
      </c>
    </row>
    <row r="25" spans="2:40" x14ac:dyDescent="0.2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25">
      <c r="D27" s="86" t="s">
        <v>1107</v>
      </c>
      <c r="E27"/>
    </row>
    <row r="28" spans="2:40" x14ac:dyDescent="0.25">
      <c r="D28" s="86"/>
      <c r="E28"/>
    </row>
    <row r="29" spans="2:40" x14ac:dyDescent="0.25">
      <c r="D29" s="86"/>
      <c r="E29" t="s">
        <v>308</v>
      </c>
      <c r="G29" t="s">
        <v>275</v>
      </c>
      <c r="H29" s="394">
        <f>'General inputs'!H92</f>
        <v>2001103.2102585058</v>
      </c>
    </row>
    <row r="30" spans="2:40" x14ac:dyDescent="0.25">
      <c r="D30" s="86"/>
      <c r="E30"/>
    </row>
    <row r="31" spans="2:40" x14ac:dyDescent="0.25">
      <c r="B31" s="85" t="s">
        <v>768</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2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25">
      <c r="D35" s="86" t="s">
        <v>849</v>
      </c>
      <c r="E35"/>
    </row>
    <row r="37" spans="3:40" ht="45" x14ac:dyDescent="0.25">
      <c r="C37" s="123"/>
      <c r="E37" s="75" t="s">
        <v>769</v>
      </c>
      <c r="J37" s="308" t="s">
        <v>1114</v>
      </c>
      <c r="K37" s="308" t="s">
        <v>783</v>
      </c>
      <c r="L37" s="308" t="s">
        <v>1115</v>
      </c>
      <c r="M37" s="308" t="s">
        <v>1116</v>
      </c>
      <c r="N37" s="308" t="s">
        <v>1117</v>
      </c>
      <c r="O37" s="308" t="s">
        <v>1118</v>
      </c>
      <c r="P37" s="308" t="s">
        <v>1119</v>
      </c>
      <c r="Q37" s="308" t="s">
        <v>784</v>
      </c>
      <c r="R37" s="308" t="s">
        <v>860</v>
      </c>
      <c r="S37" s="308" t="s">
        <v>861</v>
      </c>
      <c r="T37" s="308" t="s">
        <v>862</v>
      </c>
      <c r="U37" s="308" t="s">
        <v>863</v>
      </c>
      <c r="V37" s="308" t="s">
        <v>864</v>
      </c>
      <c r="W37" s="308" t="s">
        <v>865</v>
      </c>
      <c r="X37" s="308" t="s">
        <v>866</v>
      </c>
      <c r="Y37" s="308" t="s">
        <v>867</v>
      </c>
      <c r="Z37" s="308" t="s">
        <v>868</v>
      </c>
      <c r="AA37" s="308" t="s">
        <v>869</v>
      </c>
      <c r="AB37" s="308" t="s">
        <v>870</v>
      </c>
      <c r="AC37" s="308" t="s">
        <v>871</v>
      </c>
      <c r="AD37" s="308" t="s">
        <v>872</v>
      </c>
      <c r="AE37" s="308" t="s">
        <v>873</v>
      </c>
      <c r="AF37" s="308" t="s">
        <v>874</v>
      </c>
      <c r="AG37" s="308" t="s">
        <v>793</v>
      </c>
      <c r="AH37" s="308" t="s">
        <v>785</v>
      </c>
      <c r="AI37" s="308" t="s">
        <v>786</v>
      </c>
      <c r="AJ37" s="308" t="s">
        <v>787</v>
      </c>
      <c r="AK37" s="308" t="s">
        <v>788</v>
      </c>
      <c r="AL37" s="308" t="s">
        <v>789</v>
      </c>
    </row>
    <row r="38" spans="3:40" x14ac:dyDescent="0.25">
      <c r="C38" s="123"/>
      <c r="D38"/>
      <c r="F38" s="395" t="s">
        <v>154</v>
      </c>
      <c r="G38" s="395" t="s">
        <v>267</v>
      </c>
      <c r="H38" s="265" t="s">
        <v>728</v>
      </c>
      <c r="I38" s="265"/>
      <c r="J38" s="396">
        <f>Rounding!J110</f>
        <v>11.239126343152897</v>
      </c>
      <c r="K38" s="396">
        <f>Rounding!K110</f>
        <v>11.239126343152897</v>
      </c>
      <c r="L38" s="396">
        <f>Rounding!L110</f>
        <v>12.822603869331022</v>
      </c>
      <c r="M38" s="396">
        <f>Rounding!M110</f>
        <v>12.822603869331022</v>
      </c>
      <c r="N38" s="396">
        <f>Rounding!N110</f>
        <v>12.822603869331022</v>
      </c>
      <c r="O38" s="396">
        <f>Rounding!O110</f>
        <v>12.822603869331022</v>
      </c>
      <c r="P38" s="396">
        <f>Rounding!P110</f>
        <v>12.822603869331022</v>
      </c>
      <c r="Q38" s="396">
        <f>Rounding!Q110</f>
        <v>12.822603869331022</v>
      </c>
      <c r="R38" s="396">
        <f>Rounding!R110</f>
        <v>8.5220918944034256</v>
      </c>
      <c r="S38" s="396">
        <f>Rounding!S110</f>
        <v>8.5220918944034256</v>
      </c>
      <c r="T38" s="396">
        <f>Rounding!T110</f>
        <v>8.5220918944034256</v>
      </c>
      <c r="U38" s="396">
        <f>Rounding!U110</f>
        <v>8.5220918944034256</v>
      </c>
      <c r="V38" s="396">
        <f>Rounding!V110</f>
        <v>8.5220918944034256</v>
      </c>
      <c r="W38" s="396">
        <f>Rounding!W110</f>
        <v>4.63380659366329</v>
      </c>
      <c r="X38" s="396">
        <f>Rounding!X110</f>
        <v>4.63380659366329</v>
      </c>
      <c r="Y38" s="396">
        <f>Rounding!Y110</f>
        <v>4.63380659366329</v>
      </c>
      <c r="Z38" s="396">
        <f>Rounding!Z110</f>
        <v>4.63380659366329</v>
      </c>
      <c r="AA38" s="396">
        <f>Rounding!AA110</f>
        <v>4.63380659366329</v>
      </c>
      <c r="AB38" s="396">
        <f>Rounding!AB110</f>
        <v>3.403264536607697</v>
      </c>
      <c r="AC38" s="396">
        <f>Rounding!AC110</f>
        <v>3.403264536607697</v>
      </c>
      <c r="AD38" s="396">
        <f>Rounding!AD110</f>
        <v>3.403264536607697</v>
      </c>
      <c r="AE38" s="396">
        <f>Rounding!AE110</f>
        <v>3.403264536607697</v>
      </c>
      <c r="AF38" s="396">
        <f>Rounding!AF110</f>
        <v>3.403264536607697</v>
      </c>
      <c r="AG38" s="396">
        <f>Rounding!AG110</f>
        <v>33.483533246708348</v>
      </c>
      <c r="AH38" s="396">
        <f>Rounding!AH110</f>
        <v>-7.7355062211753616</v>
      </c>
      <c r="AI38" s="396">
        <f>Rounding!AI110</f>
        <v>-6.5177917537082717</v>
      </c>
      <c r="AJ38" s="396">
        <f>Rounding!AJ110</f>
        <v>-7.7355062211753616</v>
      </c>
      <c r="AK38" s="396">
        <f>Rounding!AL110</f>
        <v>-6.5177917537082717</v>
      </c>
      <c r="AL38" s="396">
        <f>Rounding!AN110</f>
        <v>-3.8842640314732568</v>
      </c>
    </row>
    <row r="39" spans="3:40" x14ac:dyDescent="0.25">
      <c r="C39" s="123"/>
      <c r="D39"/>
      <c r="F39" s="397" t="s">
        <v>155</v>
      </c>
      <c r="G39" s="397" t="s">
        <v>267</v>
      </c>
      <c r="H39" s="267" t="s">
        <v>728</v>
      </c>
      <c r="I39" s="267"/>
      <c r="J39" s="398">
        <f>Rounding!J111</f>
        <v>1.7019365165233478</v>
      </c>
      <c r="K39" s="398">
        <f>Rounding!K111</f>
        <v>1.7019365165233478</v>
      </c>
      <c r="L39" s="398">
        <f>Rounding!L111</f>
        <v>1.9417219004236221</v>
      </c>
      <c r="M39" s="398">
        <f>Rounding!M111</f>
        <v>1.9417219004236221</v>
      </c>
      <c r="N39" s="398">
        <f>Rounding!N111</f>
        <v>1.9417219004236221</v>
      </c>
      <c r="O39" s="398">
        <f>Rounding!O111</f>
        <v>1.9417219004236221</v>
      </c>
      <c r="P39" s="398">
        <f>Rounding!P111</f>
        <v>1.9417219004236221</v>
      </c>
      <c r="Q39" s="398">
        <f>Rounding!Q111</f>
        <v>1.9417219004236221</v>
      </c>
      <c r="R39" s="398">
        <f>Rounding!R111</f>
        <v>1.2552732468687873</v>
      </c>
      <c r="S39" s="398">
        <f>Rounding!S111</f>
        <v>1.2552732468687873</v>
      </c>
      <c r="T39" s="398">
        <f>Rounding!T111</f>
        <v>1.2552732468687873</v>
      </c>
      <c r="U39" s="398">
        <f>Rounding!U111</f>
        <v>1.2552732468687873</v>
      </c>
      <c r="V39" s="398">
        <f>Rounding!V111</f>
        <v>1.2552732468687873</v>
      </c>
      <c r="W39" s="398">
        <f>Rounding!W111</f>
        <v>0.62630044190997236</v>
      </c>
      <c r="X39" s="398">
        <f>Rounding!X111</f>
        <v>0.62630044190997236</v>
      </c>
      <c r="Y39" s="398">
        <f>Rounding!Y111</f>
        <v>0.62630044190997236</v>
      </c>
      <c r="Z39" s="398">
        <f>Rounding!Z111</f>
        <v>0.62630044190997236</v>
      </c>
      <c r="AA39" s="398">
        <f>Rounding!AA111</f>
        <v>0.62630044190997236</v>
      </c>
      <c r="AB39" s="398">
        <f>Rounding!AB111</f>
        <v>0.426988795557245</v>
      </c>
      <c r="AC39" s="398">
        <f>Rounding!AC111</f>
        <v>0.426988795557245</v>
      </c>
      <c r="AD39" s="398">
        <f>Rounding!AD111</f>
        <v>0.426988795557245</v>
      </c>
      <c r="AE39" s="398">
        <f>Rounding!AE111</f>
        <v>0.426988795557245</v>
      </c>
      <c r="AF39" s="398">
        <f>Rounding!AF111</f>
        <v>0.426988795557245</v>
      </c>
      <c r="AG39" s="398">
        <f>Rounding!AG111</f>
        <v>1.8130050103056501</v>
      </c>
      <c r="AH39" s="398">
        <f>Rounding!AH111</f>
        <v>-1.1713846886001484</v>
      </c>
      <c r="AI39" s="398">
        <f>Rounding!AI111</f>
        <v>-0.97201750043234769</v>
      </c>
      <c r="AJ39" s="398">
        <f>Rounding!AJ111</f>
        <v>-1.1713846886001484</v>
      </c>
      <c r="AK39" s="398">
        <f>Rounding!AL111</f>
        <v>-0.97201750043234769</v>
      </c>
      <c r="AL39" s="398">
        <f>Rounding!AN111</f>
        <v>-0.5249930548964733</v>
      </c>
    </row>
    <row r="40" spans="3:40" x14ac:dyDescent="0.25">
      <c r="C40" s="123"/>
      <c r="D40"/>
      <c r="F40" s="397" t="s">
        <v>156</v>
      </c>
      <c r="G40" s="397" t="s">
        <v>267</v>
      </c>
      <c r="H40" s="267" t="s">
        <v>728</v>
      </c>
      <c r="I40" s="267"/>
      <c r="J40" s="398">
        <f>Rounding!J112</f>
        <v>0.23964140375829796</v>
      </c>
      <c r="K40" s="398">
        <f>Rounding!K112</f>
        <v>0.23964140375829796</v>
      </c>
      <c r="L40" s="398">
        <f>Rounding!L112</f>
        <v>0.27340441750217515</v>
      </c>
      <c r="M40" s="398">
        <f>Rounding!M112</f>
        <v>0.27340441750217515</v>
      </c>
      <c r="N40" s="398">
        <f>Rounding!N112</f>
        <v>0.27340441750217515</v>
      </c>
      <c r="O40" s="398">
        <f>Rounding!O112</f>
        <v>0.27340441750217515</v>
      </c>
      <c r="P40" s="398">
        <f>Rounding!P112</f>
        <v>0.27340441750217515</v>
      </c>
      <c r="Q40" s="398">
        <f>Rounding!Q112</f>
        <v>0.27340441750217515</v>
      </c>
      <c r="R40" s="398">
        <f>Rounding!R112</f>
        <v>0.17893320502249527</v>
      </c>
      <c r="S40" s="398">
        <f>Rounding!S112</f>
        <v>0.17893320502249527</v>
      </c>
      <c r="T40" s="398">
        <f>Rounding!T112</f>
        <v>0.17893320502249527</v>
      </c>
      <c r="U40" s="398">
        <f>Rounding!U112</f>
        <v>0.17893320502249527</v>
      </c>
      <c r="V40" s="398">
        <f>Rounding!V112</f>
        <v>0.17893320502249527</v>
      </c>
      <c r="W40" s="398">
        <f>Rounding!W112</f>
        <v>9.2861688090222647E-2</v>
      </c>
      <c r="X40" s="398">
        <f>Rounding!X112</f>
        <v>9.2861688090222647E-2</v>
      </c>
      <c r="Y40" s="398">
        <f>Rounding!Y112</f>
        <v>9.2861688090222647E-2</v>
      </c>
      <c r="Z40" s="398">
        <f>Rounding!Z112</f>
        <v>9.2861688090222647E-2</v>
      </c>
      <c r="AA40" s="398">
        <f>Rounding!AA112</f>
        <v>9.2861688090222647E-2</v>
      </c>
      <c r="AB40" s="398">
        <f>Rounding!AB112</f>
        <v>6.5601945657101715E-2</v>
      </c>
      <c r="AC40" s="398">
        <f>Rounding!AC112</f>
        <v>6.5601945657101715E-2</v>
      </c>
      <c r="AD40" s="398">
        <f>Rounding!AD112</f>
        <v>6.5601945657101715E-2</v>
      </c>
      <c r="AE40" s="398">
        <f>Rounding!AE112</f>
        <v>6.5601945657101715E-2</v>
      </c>
      <c r="AF40" s="398">
        <f>Rounding!AF112</f>
        <v>6.5601945657101715E-2</v>
      </c>
      <c r="AG40" s="398">
        <f>Rounding!AG112</f>
        <v>0.49790752695526319</v>
      </c>
      <c r="AH40" s="398">
        <f>Rounding!AH112</f>
        <v>-0.16493698113402308</v>
      </c>
      <c r="AI40" s="398">
        <f>Rounding!AI112</f>
        <v>-0.13779331844062356</v>
      </c>
      <c r="AJ40" s="398">
        <f>Rounding!AJ112</f>
        <v>-0.16493698113402308</v>
      </c>
      <c r="AK40" s="398">
        <f>Rounding!AL112</f>
        <v>-0.13779331844062356</v>
      </c>
      <c r="AL40" s="398">
        <f>Rounding!AN112</f>
        <v>-7.784082215343105E-2</v>
      </c>
    </row>
    <row r="41" spans="3:40" x14ac:dyDescent="0.25">
      <c r="C41" s="123"/>
      <c r="D41"/>
      <c r="F41" s="397" t="s">
        <v>157</v>
      </c>
      <c r="G41" s="397" t="s">
        <v>268</v>
      </c>
      <c r="H41" t="s">
        <v>728</v>
      </c>
      <c r="J41" s="394">
        <f>Rounding!J113</f>
        <v>17.966478477253119</v>
      </c>
      <c r="K41" s="394">
        <f>Rounding!K113</f>
        <v>0</v>
      </c>
      <c r="L41" s="394">
        <f>Rounding!L113</f>
        <v>14.711610424126482</v>
      </c>
      <c r="M41" s="394">
        <f>Rounding!M113</f>
        <v>16.734138258487437</v>
      </c>
      <c r="N41" s="394">
        <f>Rounding!N113</f>
        <v>20.211395753618291</v>
      </c>
      <c r="O41" s="394">
        <f>Rounding!O113</f>
        <v>26.541547327929923</v>
      </c>
      <c r="P41" s="394">
        <f>Rounding!P113</f>
        <v>46.581441831962444</v>
      </c>
      <c r="Q41" s="394">
        <f>Rounding!Q113</f>
        <v>0</v>
      </c>
      <c r="R41" s="394">
        <f>Rounding!R113</f>
        <v>15.245335464261153</v>
      </c>
      <c r="S41" s="394">
        <f>Rounding!S113</f>
        <v>68.393748223980637</v>
      </c>
      <c r="T41" s="394">
        <f>Rounding!T113</f>
        <v>129.89281701526201</v>
      </c>
      <c r="U41" s="394">
        <f>Rounding!U113</f>
        <v>194.73667444040714</v>
      </c>
      <c r="V41" s="394">
        <f>Rounding!V113</f>
        <v>482.85844095283056</v>
      </c>
      <c r="W41" s="394">
        <f>Rounding!W113</f>
        <v>15.245335464261153</v>
      </c>
      <c r="X41" s="394">
        <f>Rounding!X113</f>
        <v>68.393748223980637</v>
      </c>
      <c r="Y41" s="394">
        <f>Rounding!Y113</f>
        <v>129.89281701526201</v>
      </c>
      <c r="Z41" s="394">
        <f>Rounding!Z113</f>
        <v>194.7366744404072</v>
      </c>
      <c r="AA41" s="394">
        <f>Rounding!AA113</f>
        <v>482.85844095283039</v>
      </c>
      <c r="AB41" s="394">
        <f>Rounding!AB113</f>
        <v>316.6556440359268</v>
      </c>
      <c r="AC41" s="394">
        <f>Rounding!AC113</f>
        <v>681.68943545039178</v>
      </c>
      <c r="AD41" s="394">
        <f>Rounding!AD113</f>
        <v>1316.399114933623</v>
      </c>
      <c r="AE41" s="394">
        <f>Rounding!AE113</f>
        <v>2103.4187130979058</v>
      </c>
      <c r="AF41" s="394">
        <f>Rounding!AF113</f>
        <v>5182.2207958523741</v>
      </c>
      <c r="AG41" s="394">
        <f>Rounding!AG113</f>
        <v>0</v>
      </c>
      <c r="AH41" s="394">
        <f>Rounding!AH113</f>
        <v>0</v>
      </c>
      <c r="AI41" s="394">
        <f>Rounding!AI113</f>
        <v>0</v>
      </c>
      <c r="AJ41" s="394">
        <f>Rounding!AJ113</f>
        <v>0</v>
      </c>
      <c r="AK41" s="394">
        <f>Rounding!AL113</f>
        <v>0</v>
      </c>
      <c r="AL41" s="394">
        <f>Rounding!AN113</f>
        <v>70.642345390577461</v>
      </c>
    </row>
    <row r="42" spans="3:40" x14ac:dyDescent="0.25">
      <c r="C42" s="123"/>
      <c r="D42"/>
      <c r="F42" s="397" t="s">
        <v>158</v>
      </c>
      <c r="G42" s="397" t="s">
        <v>269</v>
      </c>
      <c r="H42" t="s">
        <v>728</v>
      </c>
      <c r="J42" s="394">
        <f>Rounding!J114</f>
        <v>0</v>
      </c>
      <c r="K42" s="394">
        <f>Rounding!K114</f>
        <v>0</v>
      </c>
      <c r="L42" s="394">
        <f>Rounding!L114</f>
        <v>0</v>
      </c>
      <c r="M42" s="394">
        <f>Rounding!M114</f>
        <v>0</v>
      </c>
      <c r="N42" s="394">
        <f>Rounding!N114</f>
        <v>0</v>
      </c>
      <c r="O42" s="394">
        <f>Rounding!O114</f>
        <v>0</v>
      </c>
      <c r="P42" s="394">
        <f>Rounding!P114</f>
        <v>0</v>
      </c>
      <c r="Q42" s="394">
        <f>Rounding!Q114</f>
        <v>0</v>
      </c>
      <c r="R42" s="394">
        <f>Rounding!R114</f>
        <v>5.4829568334079246</v>
      </c>
      <c r="S42" s="394">
        <f>Rounding!S114</f>
        <v>5.4829568334079246</v>
      </c>
      <c r="T42" s="394">
        <f>Rounding!T114</f>
        <v>5.4829568334079246</v>
      </c>
      <c r="U42" s="394">
        <f>Rounding!U114</f>
        <v>5.4829568334079246</v>
      </c>
      <c r="V42" s="394">
        <f>Rounding!V114</f>
        <v>5.4829568334079246</v>
      </c>
      <c r="W42" s="394">
        <f>Rounding!W114</f>
        <v>5.1462397254002887</v>
      </c>
      <c r="X42" s="394">
        <f>Rounding!X114</f>
        <v>5.1462397254002887</v>
      </c>
      <c r="Y42" s="394">
        <f>Rounding!Y114</f>
        <v>5.1462397254002887</v>
      </c>
      <c r="Z42" s="394">
        <f>Rounding!Z114</f>
        <v>5.1462397254002887</v>
      </c>
      <c r="AA42" s="394">
        <f>Rounding!AA114</f>
        <v>5.1462397254002887</v>
      </c>
      <c r="AB42" s="394">
        <f>Rounding!AB114</f>
        <v>5.6015504360226798</v>
      </c>
      <c r="AC42" s="394">
        <f>Rounding!AC114</f>
        <v>5.6015504360226798</v>
      </c>
      <c r="AD42" s="394">
        <f>Rounding!AD114</f>
        <v>5.6015504360226798</v>
      </c>
      <c r="AE42" s="394">
        <f>Rounding!AE114</f>
        <v>5.6015504360226798</v>
      </c>
      <c r="AF42" s="394">
        <f>Rounding!AF114</f>
        <v>5.6015504360226798</v>
      </c>
      <c r="AG42" s="394">
        <f>Rounding!AG114</f>
        <v>0</v>
      </c>
      <c r="AH42" s="394">
        <f>Rounding!AH114</f>
        <v>0</v>
      </c>
      <c r="AI42" s="394">
        <f>Rounding!AI114</f>
        <v>0</v>
      </c>
      <c r="AJ42" s="394">
        <f>Rounding!AJ114</f>
        <v>0</v>
      </c>
      <c r="AK42" s="394">
        <f>Rounding!AL114</f>
        <v>0</v>
      </c>
      <c r="AL42" s="394">
        <f>Rounding!AN114</f>
        <v>0</v>
      </c>
    </row>
    <row r="43" spans="3:40" x14ac:dyDescent="0.25">
      <c r="C43" s="123"/>
      <c r="D43"/>
      <c r="F43" s="397" t="s">
        <v>159</v>
      </c>
      <c r="G43" s="397" t="s">
        <v>269</v>
      </c>
      <c r="H43" t="s">
        <v>728</v>
      </c>
      <c r="J43" s="394">
        <f>Rounding!J115</f>
        <v>0</v>
      </c>
      <c r="K43" s="394">
        <f>Rounding!K115</f>
        <v>0</v>
      </c>
      <c r="L43" s="394">
        <f>Rounding!L115</f>
        <v>0</v>
      </c>
      <c r="M43" s="394">
        <f>Rounding!M115</f>
        <v>0</v>
      </c>
      <c r="N43" s="394">
        <f>Rounding!N115</f>
        <v>0</v>
      </c>
      <c r="O43" s="394">
        <f>Rounding!O115</f>
        <v>0</v>
      </c>
      <c r="P43" s="394">
        <f>Rounding!P115</f>
        <v>0</v>
      </c>
      <c r="Q43" s="394">
        <f>Rounding!Q115</f>
        <v>0</v>
      </c>
      <c r="R43" s="394">
        <f>Rounding!R115</f>
        <v>5.4829568334079246</v>
      </c>
      <c r="S43" s="394">
        <f>Rounding!S115</f>
        <v>5.4829568334079246</v>
      </c>
      <c r="T43" s="394">
        <f>Rounding!T115</f>
        <v>5.4829568334079246</v>
      </c>
      <c r="U43" s="394">
        <f>Rounding!U115</f>
        <v>5.4829568334079246</v>
      </c>
      <c r="V43" s="394">
        <f>Rounding!V115</f>
        <v>5.4829568334079246</v>
      </c>
      <c r="W43" s="394">
        <f>Rounding!W115</f>
        <v>5.1462397254002887</v>
      </c>
      <c r="X43" s="394">
        <f>Rounding!X115</f>
        <v>5.1462397254002887</v>
      </c>
      <c r="Y43" s="394">
        <f>Rounding!Y115</f>
        <v>5.1462397254002887</v>
      </c>
      <c r="Z43" s="394">
        <f>Rounding!Z115</f>
        <v>5.1462397254002887</v>
      </c>
      <c r="AA43" s="394">
        <f>Rounding!AA115</f>
        <v>5.1462397254002887</v>
      </c>
      <c r="AB43" s="394">
        <f>Rounding!AB115</f>
        <v>5.6015504360226798</v>
      </c>
      <c r="AC43" s="394">
        <f>Rounding!AC115</f>
        <v>5.6015504360226798</v>
      </c>
      <c r="AD43" s="394">
        <f>Rounding!AD115</f>
        <v>5.6015504360226798</v>
      </c>
      <c r="AE43" s="394">
        <f>Rounding!AE115</f>
        <v>5.6015504360226798</v>
      </c>
      <c r="AF43" s="394">
        <f>Rounding!AF115</f>
        <v>5.6015504360226798</v>
      </c>
      <c r="AG43" s="394">
        <f>Rounding!AG115</f>
        <v>0</v>
      </c>
      <c r="AH43" s="394">
        <f>Rounding!AH115</f>
        <v>0</v>
      </c>
      <c r="AI43" s="394">
        <f>Rounding!AI115</f>
        <v>0</v>
      </c>
      <c r="AJ43" s="394">
        <f>Rounding!AJ115</f>
        <v>0</v>
      </c>
      <c r="AK43" s="394">
        <f>Rounding!AL115</f>
        <v>0</v>
      </c>
      <c r="AL43" s="394">
        <f>Rounding!AN115</f>
        <v>0</v>
      </c>
    </row>
    <row r="44" spans="3:40" x14ac:dyDescent="0.25">
      <c r="C44" s="123"/>
      <c r="D44"/>
      <c r="F44" s="399" t="s">
        <v>160</v>
      </c>
      <c r="G44" s="399" t="s">
        <v>270</v>
      </c>
      <c r="H44" s="269" t="s">
        <v>728</v>
      </c>
      <c r="I44" s="269"/>
      <c r="J44" s="400">
        <f>Rounding!J116</f>
        <v>0</v>
      </c>
      <c r="K44" s="400">
        <f>Rounding!K116</f>
        <v>0</v>
      </c>
      <c r="L44" s="400">
        <f>Rounding!L116</f>
        <v>0</v>
      </c>
      <c r="M44" s="400">
        <f>Rounding!M116</f>
        <v>0</v>
      </c>
      <c r="N44" s="400">
        <f>Rounding!N116</f>
        <v>0</v>
      </c>
      <c r="O44" s="400">
        <f>Rounding!O116</f>
        <v>0</v>
      </c>
      <c r="P44" s="400">
        <f>Rounding!P116</f>
        <v>0</v>
      </c>
      <c r="Q44" s="400">
        <f>Rounding!Q116</f>
        <v>0</v>
      </c>
      <c r="R44" s="400">
        <f>Rounding!R116</f>
        <v>0.16262775407449134</v>
      </c>
      <c r="S44" s="400">
        <f>Rounding!S116</f>
        <v>0.16262775407449134</v>
      </c>
      <c r="T44" s="400">
        <f>Rounding!T116</f>
        <v>0.16262775407449134</v>
      </c>
      <c r="U44" s="400">
        <f>Rounding!U116</f>
        <v>0.16262775407449134</v>
      </c>
      <c r="V44" s="400">
        <f>Rounding!V116</f>
        <v>0.16262775407449134</v>
      </c>
      <c r="W44" s="400">
        <f>Rounding!W116</f>
        <v>8.7332745999980935E-2</v>
      </c>
      <c r="X44" s="400">
        <f>Rounding!X116</f>
        <v>8.7332745999980935E-2</v>
      </c>
      <c r="Y44" s="400">
        <f>Rounding!Y116</f>
        <v>8.7332745999980935E-2</v>
      </c>
      <c r="Z44" s="400">
        <f>Rounding!Z116</f>
        <v>8.7332745999980935E-2</v>
      </c>
      <c r="AA44" s="400">
        <f>Rounding!AA116</f>
        <v>8.7332745999980935E-2</v>
      </c>
      <c r="AB44" s="400">
        <f>Rounding!AB116</f>
        <v>6.3104669794093876E-2</v>
      </c>
      <c r="AC44" s="400">
        <f>Rounding!AC116</f>
        <v>6.3104669794093876E-2</v>
      </c>
      <c r="AD44" s="400">
        <f>Rounding!AD116</f>
        <v>6.3104669794093876E-2</v>
      </c>
      <c r="AE44" s="400">
        <f>Rounding!AE116</f>
        <v>6.3104669794093876E-2</v>
      </c>
      <c r="AF44" s="400">
        <f>Rounding!AF116</f>
        <v>6.3104669794093876E-2</v>
      </c>
      <c r="AG44" s="400">
        <f>Rounding!AG116</f>
        <v>0</v>
      </c>
      <c r="AH44" s="400">
        <f>Rounding!AH116</f>
        <v>0</v>
      </c>
      <c r="AI44" s="400">
        <f>Rounding!AI116</f>
        <v>0</v>
      </c>
      <c r="AJ44" s="400">
        <f>Rounding!AJ116</f>
        <v>0.1295170343436588</v>
      </c>
      <c r="AK44" s="400">
        <f>Rounding!AL116</f>
        <v>0.12223023204846202</v>
      </c>
      <c r="AL44" s="400">
        <f>Rounding!AN116</f>
        <v>0.10789719559042603</v>
      </c>
    </row>
    <row r="45" spans="3:40" x14ac:dyDescent="0.25">
      <c r="D45"/>
      <c r="E45"/>
      <c r="F45" s="401"/>
    </row>
    <row r="46" spans="3:40" x14ac:dyDescent="0.25">
      <c r="D46" s="86" t="s">
        <v>848</v>
      </c>
      <c r="E46"/>
    </row>
    <row r="48" spans="3:40" ht="60" customHeight="1" x14ac:dyDescent="0.25">
      <c r="D48"/>
      <c r="E48"/>
      <c r="F48" s="401"/>
      <c r="J48" s="308" t="s">
        <v>1114</v>
      </c>
      <c r="K48" s="308" t="s">
        <v>783</v>
      </c>
      <c r="L48" s="308" t="s">
        <v>1115</v>
      </c>
      <c r="M48" s="308" t="s">
        <v>1116</v>
      </c>
      <c r="N48" s="308" t="s">
        <v>1117</v>
      </c>
      <c r="O48" s="308" t="s">
        <v>1118</v>
      </c>
      <c r="P48" s="308" t="s">
        <v>1119</v>
      </c>
      <c r="Q48" s="308" t="s">
        <v>784</v>
      </c>
      <c r="R48" s="308" t="s">
        <v>860</v>
      </c>
      <c r="S48" s="308" t="s">
        <v>861</v>
      </c>
      <c r="T48" s="308" t="s">
        <v>862</v>
      </c>
      <c r="U48" s="308" t="s">
        <v>863</v>
      </c>
      <c r="V48" s="308" t="s">
        <v>864</v>
      </c>
      <c r="W48" s="308" t="s">
        <v>865</v>
      </c>
      <c r="X48" s="308" t="s">
        <v>866</v>
      </c>
      <c r="Y48" s="308" t="s">
        <v>867</v>
      </c>
      <c r="Z48" s="308" t="s">
        <v>868</v>
      </c>
      <c r="AA48" s="308" t="s">
        <v>869</v>
      </c>
      <c r="AB48" s="308" t="s">
        <v>870</v>
      </c>
      <c r="AC48" s="308" t="s">
        <v>871</v>
      </c>
      <c r="AD48" s="308" t="s">
        <v>872</v>
      </c>
      <c r="AE48" s="308" t="s">
        <v>873</v>
      </c>
      <c r="AF48" s="308" t="s">
        <v>874</v>
      </c>
      <c r="AG48" s="308" t="s">
        <v>793</v>
      </c>
      <c r="AH48" s="308" t="s">
        <v>785</v>
      </c>
      <c r="AI48" s="308" t="s">
        <v>786</v>
      </c>
      <c r="AJ48" s="308" t="s">
        <v>787</v>
      </c>
      <c r="AK48" s="308" t="s">
        <v>788</v>
      </c>
      <c r="AL48" s="308" t="s">
        <v>789</v>
      </c>
    </row>
    <row r="49" spans="2:40" x14ac:dyDescent="0.25">
      <c r="D49"/>
      <c r="E49" t="s">
        <v>845</v>
      </c>
      <c r="F49" s="401"/>
      <c r="G49" t="s">
        <v>268</v>
      </c>
      <c r="J49" s="392">
        <f>Rounding!J47</f>
        <v>0</v>
      </c>
      <c r="K49" s="392">
        <f>Rounding!K47</f>
        <v>0</v>
      </c>
      <c r="L49" s="392">
        <f>Rounding!L47</f>
        <v>0</v>
      </c>
      <c r="M49" s="392">
        <f>Rounding!M47</f>
        <v>0</v>
      </c>
      <c r="N49" s="392">
        <f>Rounding!N47</f>
        <v>0</v>
      </c>
      <c r="O49" s="392">
        <f>Rounding!O47</f>
        <v>0</v>
      </c>
      <c r="P49" s="392">
        <f>Rounding!P47</f>
        <v>0</v>
      </c>
      <c r="Q49" s="392">
        <f>Rounding!Q47</f>
        <v>0</v>
      </c>
      <c r="R49" s="392">
        <f>Rounding!R47</f>
        <v>0</v>
      </c>
      <c r="S49" s="392">
        <f>Rounding!S47</f>
        <v>0</v>
      </c>
      <c r="T49" s="392">
        <f>Rounding!T47</f>
        <v>0</v>
      </c>
      <c r="U49" s="392">
        <f>Rounding!U47</f>
        <v>0</v>
      </c>
      <c r="V49" s="392">
        <f>Rounding!V47</f>
        <v>0</v>
      </c>
      <c r="W49" s="392">
        <f>Rounding!W47</f>
        <v>0</v>
      </c>
      <c r="X49" s="392">
        <f>Rounding!X47</f>
        <v>0</v>
      </c>
      <c r="Y49" s="392">
        <f>Rounding!Y47</f>
        <v>0</v>
      </c>
      <c r="Z49" s="392">
        <f>Rounding!Z47</f>
        <v>0</v>
      </c>
      <c r="AA49" s="392">
        <f>Rounding!AA47</f>
        <v>0</v>
      </c>
      <c r="AB49" s="392">
        <f>Rounding!AB47</f>
        <v>0</v>
      </c>
      <c r="AC49" s="392">
        <f>Rounding!AC47</f>
        <v>0</v>
      </c>
      <c r="AD49" s="392">
        <f>Rounding!AD47</f>
        <v>0</v>
      </c>
      <c r="AE49" s="392">
        <f>Rounding!AE47</f>
        <v>0</v>
      </c>
      <c r="AF49" s="392">
        <f>Rounding!AF47</f>
        <v>0</v>
      </c>
      <c r="AG49" s="392">
        <f>Rounding!AG47</f>
        <v>0</v>
      </c>
      <c r="AH49" s="392">
        <f>Rounding!AH47</f>
        <v>0</v>
      </c>
      <c r="AI49" s="392">
        <f>Rounding!AI47</f>
        <v>0</v>
      </c>
      <c r="AJ49" s="392">
        <f>Rounding!AJ47</f>
        <v>0</v>
      </c>
      <c r="AK49" s="392">
        <f>Rounding!AL47</f>
        <v>0</v>
      </c>
      <c r="AL49" s="392">
        <f>Rounding!AN47</f>
        <v>0</v>
      </c>
    </row>
    <row r="50" spans="2:40" x14ac:dyDescent="0.25">
      <c r="D50"/>
      <c r="E50"/>
      <c r="F50" s="401"/>
    </row>
    <row r="51" spans="2:40" x14ac:dyDescent="0.2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25">
      <c r="C52" s="2"/>
      <c r="D52"/>
    </row>
    <row r="53" spans="2:40" x14ac:dyDescent="0.25">
      <c r="D53" s="86" t="s">
        <v>770</v>
      </c>
      <c r="E53"/>
    </row>
    <row r="55" spans="2:40" x14ac:dyDescent="0.25">
      <c r="D55"/>
      <c r="F55" s="2"/>
      <c r="G55" s="2"/>
      <c r="H55" s="2"/>
      <c r="I55" s="2"/>
      <c r="J55" s="107" t="s">
        <v>189</v>
      </c>
      <c r="K55" s="107" t="s">
        <v>190</v>
      </c>
      <c r="L55" s="107" t="s">
        <v>191</v>
      </c>
      <c r="M55" s="107" t="s">
        <v>192</v>
      </c>
      <c r="N55" s="107" t="s">
        <v>193</v>
      </c>
      <c r="O55" s="107" t="s">
        <v>194</v>
      </c>
      <c r="P55" s="107" t="s">
        <v>195</v>
      </c>
      <c r="Q55" s="107" t="s">
        <v>196</v>
      </c>
      <c r="R55" s="107" t="s">
        <v>197</v>
      </c>
      <c r="S55" s="107" t="s">
        <v>332</v>
      </c>
      <c r="T55" s="107" t="s">
        <v>333</v>
      </c>
    </row>
    <row r="56" spans="2:40" x14ac:dyDescent="0.25">
      <c r="D56"/>
      <c r="E56" s="402" t="s">
        <v>781</v>
      </c>
      <c r="F56" s="402"/>
      <c r="G56" s="101" t="s">
        <v>165</v>
      </c>
      <c r="H56" s="96"/>
      <c r="I56" s="96"/>
      <c r="J56" s="403"/>
      <c r="K56" s="404">
        <f t="array" ref="K56:O56">TRANSPOSE('System peak demand'!H227:H231)</f>
        <v>0.5539573104686546</v>
      </c>
      <c r="L56" s="404">
        <v>0.5539573104686546</v>
      </c>
      <c r="M56" s="404">
        <v>0.89642198676926244</v>
      </c>
      <c r="N56" s="404">
        <v>0.89642198676926244</v>
      </c>
      <c r="O56" s="404">
        <v>0.5539573104686546</v>
      </c>
      <c r="P56" s="403"/>
      <c r="Q56" s="403"/>
      <c r="R56" s="403"/>
      <c r="S56" s="403"/>
      <c r="T56" s="403"/>
    </row>
    <row r="57" spans="2:40" x14ac:dyDescent="0.25">
      <c r="D57"/>
      <c r="E57" s="405" t="s">
        <v>782</v>
      </c>
      <c r="F57" s="405"/>
      <c r="G57" s="145" t="s">
        <v>475</v>
      </c>
      <c r="H57" s="145"/>
      <c r="I57" s="145"/>
      <c r="J57" s="406">
        <f t="array" ref="J57:O57">TRANSPOSE('System peak demand'!H154:H159)</f>
        <v>2018819.0300083822</v>
      </c>
      <c r="K57" s="406">
        <v>1972194.6404299547</v>
      </c>
      <c r="L57" s="406">
        <v>1966325.0135239123</v>
      </c>
      <c r="M57" s="406">
        <v>1962432.89211682</v>
      </c>
      <c r="N57" s="406">
        <v>1952765.735012796</v>
      </c>
      <c r="O57" s="406">
        <v>0</v>
      </c>
      <c r="P57" s="237"/>
      <c r="Q57" s="237"/>
      <c r="R57" s="237"/>
      <c r="S57" s="237"/>
      <c r="T57" s="237"/>
    </row>
    <row r="58" spans="2:40" x14ac:dyDescent="0.25">
      <c r="D58"/>
      <c r="E58" s="405" t="s">
        <v>771</v>
      </c>
      <c r="F58" s="405"/>
      <c r="G58" s="145" t="s">
        <v>275</v>
      </c>
      <c r="H58" s="145"/>
      <c r="I58" s="145"/>
      <c r="J58" s="237"/>
      <c r="K58" s="406">
        <f>'Unit costs'!L108</f>
        <v>280155650.70301205</v>
      </c>
      <c r="L58" s="406">
        <f>'Unit costs'!M108</f>
        <v>173532648.25991571</v>
      </c>
      <c r="M58" s="406">
        <f>'Unit costs'!N108</f>
        <v>567017320.51664102</v>
      </c>
      <c r="N58" s="406">
        <f>'Unit costs'!O108</f>
        <v>241322285.19931966</v>
      </c>
      <c r="O58" s="406">
        <f>'Unit costs'!P108</f>
        <v>0</v>
      </c>
      <c r="P58" s="406">
        <f>'Unit costs'!Q108</f>
        <v>1129068541.9739776</v>
      </c>
      <c r="Q58" s="406">
        <f>'Unit costs'!R108</f>
        <v>293741229.00437677</v>
      </c>
      <c r="R58" s="406">
        <f>'Unit costs'!S108</f>
        <v>469659275.59595072</v>
      </c>
      <c r="S58" s="406">
        <f>'Unit costs'!T108</f>
        <v>4121883166.4777832</v>
      </c>
      <c r="T58" s="406">
        <f>'Unit costs'!U108</f>
        <v>59884569.555971965</v>
      </c>
    </row>
    <row r="59" spans="2:40" x14ac:dyDescent="0.25">
      <c r="D59"/>
      <c r="E59" s="407" t="s">
        <v>348</v>
      </c>
      <c r="F59" s="407"/>
      <c r="G59" s="95" t="s">
        <v>281</v>
      </c>
      <c r="H59" s="95"/>
      <c r="I59" s="95"/>
      <c r="J59" s="391">
        <f>'Load &amp; loss characteristics'!K29</f>
        <v>1</v>
      </c>
      <c r="K59" s="391">
        <f>'Load &amp; loss characteristics'!L29</f>
        <v>1.0049999999999999</v>
      </c>
      <c r="L59" s="391">
        <f>'Load &amp; loss characteristics'!M29</f>
        <v>1.008</v>
      </c>
      <c r="M59" s="391">
        <f>'Load &amp; loss characteristics'!N29</f>
        <v>1.01</v>
      </c>
      <c r="N59" s="391">
        <f>'Load &amp; loss characteristics'!O29</f>
        <v>1.0149999999999999</v>
      </c>
      <c r="O59" s="391">
        <f>'Load &amp; loss characteristics'!P29</f>
        <v>1.0149999999999999</v>
      </c>
      <c r="P59" s="117"/>
      <c r="Q59" s="117"/>
      <c r="R59" s="117"/>
      <c r="S59" s="117"/>
      <c r="T59" s="117"/>
    </row>
    <row r="60" spans="2:40" x14ac:dyDescent="0.25">
      <c r="D60"/>
      <c r="E60"/>
      <c r="F60" s="401"/>
    </row>
    <row r="61" spans="2:40" x14ac:dyDescent="0.25">
      <c r="B61" s="85" t="s">
        <v>772</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2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25">
      <c r="D65" s="86" t="s">
        <v>773</v>
      </c>
      <c r="E65"/>
    </row>
    <row r="67" spans="3:40" ht="45" x14ac:dyDescent="0.25">
      <c r="F67" s="2"/>
      <c r="G67" s="2"/>
      <c r="H67" s="2"/>
      <c r="I67" s="2"/>
      <c r="J67" s="308" t="s">
        <v>1114</v>
      </c>
      <c r="K67" s="308" t="s">
        <v>783</v>
      </c>
      <c r="L67" s="308" t="s">
        <v>1115</v>
      </c>
      <c r="M67" s="308" t="s">
        <v>1116</v>
      </c>
      <c r="N67" s="308" t="s">
        <v>1117</v>
      </c>
      <c r="O67" s="308" t="s">
        <v>1118</v>
      </c>
      <c r="P67" s="308" t="s">
        <v>1119</v>
      </c>
      <c r="Q67" s="308" t="s">
        <v>784</v>
      </c>
      <c r="R67" s="308" t="s">
        <v>860</v>
      </c>
      <c r="S67" s="308" t="s">
        <v>861</v>
      </c>
      <c r="T67" s="308" t="s">
        <v>862</v>
      </c>
      <c r="U67" s="308" t="s">
        <v>863</v>
      </c>
      <c r="V67" s="308" t="s">
        <v>864</v>
      </c>
      <c r="W67" s="308" t="s">
        <v>865</v>
      </c>
      <c r="X67" s="308" t="s">
        <v>866</v>
      </c>
      <c r="Y67" s="308" t="s">
        <v>867</v>
      </c>
      <c r="Z67" s="308" t="s">
        <v>868</v>
      </c>
      <c r="AA67" s="308" t="s">
        <v>869</v>
      </c>
      <c r="AB67" s="308" t="s">
        <v>870</v>
      </c>
      <c r="AC67" s="308" t="s">
        <v>871</v>
      </c>
      <c r="AD67" s="308" t="s">
        <v>872</v>
      </c>
      <c r="AE67" s="308" t="s">
        <v>873</v>
      </c>
      <c r="AF67" s="308" t="s">
        <v>874</v>
      </c>
      <c r="AG67" s="308" t="s">
        <v>793</v>
      </c>
      <c r="AH67" s="308" t="s">
        <v>785</v>
      </c>
      <c r="AI67" s="308" t="s">
        <v>786</v>
      </c>
      <c r="AJ67" s="308" t="s">
        <v>787</v>
      </c>
      <c r="AK67" s="308" t="s">
        <v>788</v>
      </c>
      <c r="AL67" s="308" t="s">
        <v>789</v>
      </c>
    </row>
    <row r="68" spans="3:40" x14ac:dyDescent="0.25">
      <c r="C68" s="123"/>
      <c r="D68"/>
      <c r="E68" s="96" t="s">
        <v>726</v>
      </c>
      <c r="F68" s="96"/>
      <c r="G68" s="144" t="s">
        <v>275</v>
      </c>
      <c r="H68" s="96" t="s">
        <v>728</v>
      </c>
      <c r="I68" s="96"/>
      <c r="J68" s="393">
        <f>'Net revenue summary'!J140</f>
        <v>128.9665257903178</v>
      </c>
      <c r="K68" s="393">
        <f>'Net revenue summary'!K140</f>
        <v>25.375827886816964</v>
      </c>
      <c r="L68" s="393">
        <f>'Net revenue summary'!L140</f>
        <v>213.12646298406642</v>
      </c>
      <c r="M68" s="393">
        <f>'Net revenue summary'!M140</f>
        <v>130.62001125462859</v>
      </c>
      <c r="N68" s="393">
        <f>'Net revenue summary'!N140</f>
        <v>267.37019289039534</v>
      </c>
      <c r="O68" s="393">
        <f>'Net revenue summary'!O140</f>
        <v>508.41581496647882</v>
      </c>
      <c r="P68" s="393">
        <f>'Net revenue summary'!P140</f>
        <v>1281.082755891292</v>
      </c>
      <c r="Q68" s="393">
        <f>'Net revenue summary'!Q140</f>
        <v>79.155786308419209</v>
      </c>
      <c r="R68" s="393">
        <f>'Net revenue summary'!R140</f>
        <v>1509.5719243546498</v>
      </c>
      <c r="S68" s="393">
        <f>'Net revenue summary'!S140</f>
        <v>2411.4882918087233</v>
      </c>
      <c r="T68" s="393">
        <f>'Net revenue summary'!T140</f>
        <v>5462.4370141650652</v>
      </c>
      <c r="U68" s="393">
        <f>'Net revenue summary'!U140</f>
        <v>8396.3628887228697</v>
      </c>
      <c r="V68" s="393">
        <f>'Net revenue summary'!V140</f>
        <v>17673.551986337236</v>
      </c>
      <c r="W68" s="393">
        <f>'Net revenue summary'!W140</f>
        <v>896.66072592406078</v>
      </c>
      <c r="X68" s="393">
        <f>'Net revenue summary'!X140</f>
        <v>2726.1315110465434</v>
      </c>
      <c r="Y68" s="393">
        <f>'Net revenue summary'!Y140</f>
        <v>5612.315085313151</v>
      </c>
      <c r="Z68" s="393">
        <f>'Net revenue summary'!Z140</f>
        <v>8430.4894916229332</v>
      </c>
      <c r="AA68" s="393">
        <f>'Net revenue summary'!AA140</f>
        <v>19005.596273769035</v>
      </c>
      <c r="AB68" s="393">
        <f>'Net revenue summary'!AB140</f>
        <v>6574.6600545293459</v>
      </c>
      <c r="AC68" s="393">
        <f>'Net revenue summary'!AC140</f>
        <v>11234.937801090853</v>
      </c>
      <c r="AD68" s="393">
        <f>'Net revenue summary'!AD140</f>
        <v>27690.099616456046</v>
      </c>
      <c r="AE68" s="393">
        <f>'Net revenue summary'!AE140</f>
        <v>51724.513033047086</v>
      </c>
      <c r="AF68" s="393">
        <f>'Net revenue summary'!AF140</f>
        <v>135824.27958552344</v>
      </c>
      <c r="AG68" s="393">
        <f>'Net revenue summary'!AG140</f>
        <v>3060.1094983168332</v>
      </c>
      <c r="AH68" s="393">
        <f>'Net revenue summary'!AH140</f>
        <v>-36.361750181871805</v>
      </c>
      <c r="AI68" s="393">
        <f>'Net revenue summary'!AI140</f>
        <v>0</v>
      </c>
      <c r="AJ68" s="393">
        <f>'Net revenue summary'!AJ140</f>
        <v>-1422.6829843306448</v>
      </c>
      <c r="AK68" s="393">
        <f>'Net revenue summary'!AL140</f>
        <v>-715.24886711111105</v>
      </c>
      <c r="AL68" s="393">
        <f>'Net revenue summary'!AN140</f>
        <v>-35576.353628198856</v>
      </c>
    </row>
    <row r="69" spans="3:40" x14ac:dyDescent="0.25">
      <c r="C69" s="123"/>
      <c r="D69"/>
      <c r="E69" s="145" t="s">
        <v>731</v>
      </c>
      <c r="F69" s="145"/>
      <c r="G69" s="355" t="s">
        <v>267</v>
      </c>
      <c r="H69" s="408" t="s">
        <v>728</v>
      </c>
      <c r="I69" s="408"/>
      <c r="J69" s="409">
        <f>'Net revenue summary'!J146</f>
        <v>4.6364471502379399</v>
      </c>
      <c r="K69" s="409">
        <f>'Net revenue summary'!K146</f>
        <v>0.85532139711898536</v>
      </c>
      <c r="L69" s="409">
        <f>'Net revenue summary'!L146</f>
        <v>2.9096604173691643</v>
      </c>
      <c r="M69" s="409">
        <f>'Net revenue summary'!M146</f>
        <v>4.6204406214637412</v>
      </c>
      <c r="N69" s="409">
        <f>'Net revenue summary'!N146</f>
        <v>3.3946662956353011</v>
      </c>
      <c r="O69" s="409">
        <f>'Net revenue summary'!O146</f>
        <v>2.9953263160519557</v>
      </c>
      <c r="P69" s="409">
        <f>'Net revenue summary'!P146</f>
        <v>2.7973808785820502</v>
      </c>
      <c r="Q69" s="409">
        <f>'Net revenue summary'!Q146</f>
        <v>1.1533970570432936</v>
      </c>
      <c r="R69" s="409">
        <f>'Net revenue summary'!R146</f>
        <v>17.24743726584564</v>
      </c>
      <c r="S69" s="409">
        <f>'Net revenue summary'!S146</f>
        <v>3.1589196004975348</v>
      </c>
      <c r="T69" s="409">
        <f>'Net revenue summary'!T146</f>
        <v>3.3101939804722496</v>
      </c>
      <c r="U69" s="409">
        <f>'Net revenue summary'!U146</f>
        <v>3.3821463106672205</v>
      </c>
      <c r="V69" s="409">
        <f>'Net revenue summary'!V146</f>
        <v>3.396822926565271</v>
      </c>
      <c r="W69" s="409">
        <f>'Net revenue summary'!W146</f>
        <v>4.0644475392086843</v>
      </c>
      <c r="X69" s="409">
        <f>'Net revenue summary'!X146</f>
        <v>1.5204868708275678</v>
      </c>
      <c r="Y69" s="409">
        <f>'Net revenue summary'!Y146</f>
        <v>1.772731746836639</v>
      </c>
      <c r="Z69" s="409">
        <f>'Net revenue summary'!Z146</f>
        <v>1.6097304646491015</v>
      </c>
      <c r="AA69" s="409">
        <f>'Net revenue summary'!AA146</f>
        <v>1.9668785571581602</v>
      </c>
      <c r="AB69" s="409">
        <f>'Net revenue summary'!AB146</f>
        <v>14.415497967390957</v>
      </c>
      <c r="AC69" s="409">
        <f>'Net revenue summary'!AC146</f>
        <v>2.0879055461962097</v>
      </c>
      <c r="AD69" s="409">
        <f>'Net revenue summary'!AD146</f>
        <v>1.9148580570493987</v>
      </c>
      <c r="AE69" s="409">
        <f>'Net revenue summary'!AE146</f>
        <v>1.9877726596033698</v>
      </c>
      <c r="AF69" s="409">
        <f>'Net revenue summary'!AF146</f>
        <v>1.9304453283799339</v>
      </c>
      <c r="AG69" s="409">
        <f>'Net revenue summary'!AG146</f>
        <v>2.6818263453906077</v>
      </c>
      <c r="AH69" s="409">
        <f>'Net revenue summary'!AH146</f>
        <v>-1.6710094175008112</v>
      </c>
      <c r="AI69" s="409">
        <f>'Net revenue summary'!AI146</f>
        <v>0</v>
      </c>
      <c r="AJ69" s="409">
        <f>'Net revenue summary'!AJ146</f>
        <v>-1.3019382204125727</v>
      </c>
      <c r="AK69" s="409">
        <f>'Net revenue summary'!AL146</f>
        <v>-1.0513573169812012</v>
      </c>
      <c r="AL69" s="409">
        <f>'Net revenue summary'!AN146</f>
        <v>-0.71483875186440482</v>
      </c>
    </row>
    <row r="70" spans="3:40" x14ac:dyDescent="0.25">
      <c r="C70" s="123"/>
      <c r="D70"/>
      <c r="E70" s="145" t="s">
        <v>740</v>
      </c>
      <c r="F70" s="145"/>
      <c r="G70" s="145" t="s">
        <v>165</v>
      </c>
      <c r="H70" s="145" t="s">
        <v>728</v>
      </c>
      <c r="I70" s="145"/>
      <c r="J70" s="410">
        <f>'Net revenue summary'!J172</f>
        <v>4.8167451940142603E-2</v>
      </c>
      <c r="K70" s="410">
        <f>'Net revenue summary'!K172</f>
        <v>-0.22897570963229061</v>
      </c>
      <c r="L70" s="410">
        <f>'Net revenue summary'!L172</f>
        <v>0.33241563135029117</v>
      </c>
      <c r="M70" s="410">
        <f>'Net revenue summary'!M172</f>
        <v>4.5183636863652267E-2</v>
      </c>
      <c r="N70" s="410">
        <f>'Net revenue summary'!N172</f>
        <v>2.9035146625516414E-2</v>
      </c>
      <c r="O70" s="410">
        <f>'Net revenue summary'!O172</f>
        <v>6.4556450910134372E-2</v>
      </c>
      <c r="P70" s="410">
        <f>'Net revenue summary'!P172</f>
        <v>6.6213584107604903E-2</v>
      </c>
      <c r="Q70" s="410">
        <f>'Net revenue summary'!Q172</f>
        <v>-6.3666980583267141E-2</v>
      </c>
      <c r="R70" s="410">
        <f>'Net revenue summary'!R172</f>
        <v>0.11406297663216296</v>
      </c>
      <c r="S70" s="410">
        <f>'Net revenue summary'!S172</f>
        <v>8.9027239696962468E-2</v>
      </c>
      <c r="T70" s="410">
        <f>'Net revenue summary'!T172</f>
        <v>9.9097903483468391E-2</v>
      </c>
      <c r="U70" s="410">
        <f>'Net revenue summary'!U172</f>
        <v>0.110849457131105</v>
      </c>
      <c r="V70" s="410">
        <f>'Net revenue summary'!V172</f>
        <v>6.3745638154019527E-2</v>
      </c>
      <c r="W70" s="410">
        <f>'Net revenue summary'!W172</f>
        <v>0.25212253460270984</v>
      </c>
      <c r="X70" s="410">
        <f>'Net revenue summary'!X172</f>
        <v>-0.50886156694513829</v>
      </c>
      <c r="Y70" s="410">
        <f>'Net revenue summary'!Y172</f>
        <v>0.13169776032326311</v>
      </c>
      <c r="Z70" s="410">
        <f>'Net revenue summary'!Z172</f>
        <v>0.11280775657510278</v>
      </c>
      <c r="AA70" s="410">
        <f>'Net revenue summary'!AA172</f>
        <v>0.11717487638595749</v>
      </c>
      <c r="AB70" s="410">
        <f>'Net revenue summary'!AB172</f>
        <v>8.7493973764518104E-2</v>
      </c>
      <c r="AC70" s="410">
        <f>'Net revenue summary'!AC172</f>
        <v>0.10089611222155603</v>
      </c>
      <c r="AD70" s="410">
        <f>'Net revenue summary'!AD172</f>
        <v>0.123734946078455</v>
      </c>
      <c r="AE70" s="410">
        <f>'Net revenue summary'!AE172</f>
        <v>0.11997097769276102</v>
      </c>
      <c r="AF70" s="410">
        <f>'Net revenue summary'!AF172</f>
        <v>9.8582042288826097E-2</v>
      </c>
      <c r="AG70" s="410">
        <f>'Net revenue summary'!AG172</f>
        <v>0.11344935536177393</v>
      </c>
      <c r="AH70" s="410">
        <f>'Net revenue summary'!AH172</f>
        <v>-0.58065939935791044</v>
      </c>
      <c r="AI70" s="410" t="str">
        <f>'Net revenue summary'!AI172</f>
        <v>-</v>
      </c>
      <c r="AJ70" s="410">
        <f>'Net revenue summary'!AJ172</f>
        <v>0.22834471107121199</v>
      </c>
      <c r="AK70" s="410">
        <f>'Net revenue summary'!AL172</f>
        <v>0.98098218622254796</v>
      </c>
      <c r="AL70" s="410">
        <f>'Net revenue summary'!AN172</f>
        <v>0.17315209160184419</v>
      </c>
    </row>
    <row r="71" spans="3:40" x14ac:dyDescent="0.25">
      <c r="C71" s="123"/>
      <c r="D71"/>
      <c r="E71" s="95" t="s">
        <v>741</v>
      </c>
      <c r="F71" s="95"/>
      <c r="G71" s="95" t="s">
        <v>267</v>
      </c>
      <c r="H71" s="265" t="s">
        <v>728</v>
      </c>
      <c r="I71" s="265"/>
      <c r="J71" s="411">
        <f>'Net revenue summary'!J174</f>
        <v>0.2130631368763877</v>
      </c>
      <c r="K71" s="411">
        <f>'Net revenue summary'!K174</f>
        <v>-0.25400992720423904</v>
      </c>
      <c r="L71" s="411">
        <f>'Net revenue summary'!L174</f>
        <v>0.72591208170871568</v>
      </c>
      <c r="M71" s="411">
        <f>'Net revenue summary'!M174</f>
        <v>0.19974318753855497</v>
      </c>
      <c r="N71" s="411">
        <f>'Net revenue summary'!N174</f>
        <v>9.5783544382997604E-2</v>
      </c>
      <c r="O71" s="411">
        <f>'Net revenue summary'!O174</f>
        <v>0.18164150535814566</v>
      </c>
      <c r="P71" s="411">
        <f>'Net revenue summary'!P174</f>
        <v>0.17372186665585096</v>
      </c>
      <c r="Q71" s="411">
        <f>'Net revenue summary'!Q174</f>
        <v>-7.8426485569542806E-2</v>
      </c>
      <c r="R71" s="411">
        <f>'Net revenue summary'!R174</f>
        <v>1.7658732720532744</v>
      </c>
      <c r="S71" s="411">
        <f>'Net revenue summary'!S174</f>
        <v>0.25823953910940117</v>
      </c>
      <c r="T71" s="411">
        <f>'Net revenue summary'!T174</f>
        <v>0.29845683678290358</v>
      </c>
      <c r="U71" s="411">
        <f>'Net revenue summary'!U174</f>
        <v>0.3374976510711688</v>
      </c>
      <c r="V71" s="411">
        <f>'Net revenue summary'!V174</f>
        <v>0.20355678781054207</v>
      </c>
      <c r="W71" s="411">
        <f>'Net revenue summary'!W174</f>
        <v>0.81840138407075569</v>
      </c>
      <c r="X71" s="411">
        <f>'Net revenue summary'!X174</f>
        <v>-1.5753548888372164</v>
      </c>
      <c r="Y71" s="411">
        <f>'Net revenue summary'!Y174</f>
        <v>0.20629607029145602</v>
      </c>
      <c r="Z71" s="411">
        <f>'Net revenue summary'!Z174</f>
        <v>0.16318189852175741</v>
      </c>
      <c r="AA71" s="411">
        <f>'Net revenue summary'!AA174</f>
        <v>0.20629603893954412</v>
      </c>
      <c r="AB71" s="411">
        <f>'Net revenue summary'!AB174</f>
        <v>1.1597941978430484</v>
      </c>
      <c r="AC71" s="411">
        <f>'Net revenue summary'!AC174</f>
        <v>0.19135461553399169</v>
      </c>
      <c r="AD71" s="411">
        <f>'Net revenue summary'!AD174</f>
        <v>0.21084585761415001</v>
      </c>
      <c r="AE71" s="411">
        <f>'Net revenue summary'!AE174</f>
        <v>0.21292965099402467</v>
      </c>
      <c r="AF71" s="411">
        <f>'Net revenue summary'!AF174</f>
        <v>0.17322988695693983</v>
      </c>
      <c r="AG71" s="411">
        <f>'Net revenue summary'!AG174</f>
        <v>0.27325128764202428</v>
      </c>
      <c r="AH71" s="411">
        <f>'Net revenue summary'!AH174</f>
        <v>2.3138406421933388</v>
      </c>
      <c r="AI71" s="411" t="str">
        <f>'Net revenue summary'!AI174</f>
        <v>-</v>
      </c>
      <c r="AJ71" s="411">
        <f>'Net revenue summary'!AJ174</f>
        <v>-0.24202547061355131</v>
      </c>
      <c r="AK71" s="411">
        <f>'Net revenue summary'!AL174</f>
        <v>-0.52063204126027696</v>
      </c>
      <c r="AL71" s="411">
        <f>'Net revenue summary'!AN174</f>
        <v>-0.10550705737937827</v>
      </c>
    </row>
    <row r="72" spans="3:40" x14ac:dyDescent="0.25">
      <c r="C72" s="123"/>
    </row>
    <row r="73" spans="3:40" x14ac:dyDescent="0.2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25">
      <c r="D75" s="86" t="s">
        <v>774</v>
      </c>
      <c r="E75"/>
    </row>
    <row r="76" spans="3:40" x14ac:dyDescent="0.25">
      <c r="D76" s="86" t="s">
        <v>775</v>
      </c>
      <c r="E76"/>
    </row>
    <row r="78" spans="3:40" ht="45" x14ac:dyDescent="0.25">
      <c r="E78"/>
      <c r="J78" s="308" t="s">
        <v>1114</v>
      </c>
      <c r="K78" s="308" t="s">
        <v>783</v>
      </c>
      <c r="L78" s="308" t="s">
        <v>1115</v>
      </c>
      <c r="M78" s="308" t="s">
        <v>1116</v>
      </c>
      <c r="N78" s="308" t="s">
        <v>1117</v>
      </c>
      <c r="O78" s="308" t="s">
        <v>1118</v>
      </c>
      <c r="P78" s="308" t="s">
        <v>1119</v>
      </c>
      <c r="Q78" s="308" t="s">
        <v>784</v>
      </c>
      <c r="R78" s="308" t="s">
        <v>860</v>
      </c>
      <c r="S78" s="308" t="s">
        <v>861</v>
      </c>
      <c r="T78" s="308" t="s">
        <v>862</v>
      </c>
      <c r="U78" s="308" t="s">
        <v>863</v>
      </c>
      <c r="V78" s="308" t="s">
        <v>864</v>
      </c>
      <c r="W78" s="308" t="s">
        <v>865</v>
      </c>
      <c r="X78" s="308" t="s">
        <v>866</v>
      </c>
      <c r="Y78" s="308" t="s">
        <v>867</v>
      </c>
      <c r="Z78" s="308" t="s">
        <v>868</v>
      </c>
      <c r="AA78" s="308" t="s">
        <v>869</v>
      </c>
      <c r="AB78" s="308" t="s">
        <v>870</v>
      </c>
      <c r="AC78" s="308" t="s">
        <v>871</v>
      </c>
      <c r="AD78" s="308" t="s">
        <v>872</v>
      </c>
      <c r="AE78" s="308" t="s">
        <v>873</v>
      </c>
      <c r="AF78" s="308" t="s">
        <v>874</v>
      </c>
      <c r="AG78" s="308" t="s">
        <v>793</v>
      </c>
      <c r="AH78" s="308" t="s">
        <v>785</v>
      </c>
      <c r="AI78" s="308" t="s">
        <v>786</v>
      </c>
      <c r="AJ78" s="308" t="s">
        <v>787</v>
      </c>
      <c r="AK78" s="308" t="s">
        <v>788</v>
      </c>
      <c r="AL78" s="308" t="s">
        <v>789</v>
      </c>
    </row>
    <row r="79" spans="3:40" x14ac:dyDescent="0.25">
      <c r="C79" s="123"/>
      <c r="D79"/>
      <c r="E79" s="95" t="s">
        <v>749</v>
      </c>
      <c r="F79" s="95"/>
      <c r="G79" s="98" t="s">
        <v>165</v>
      </c>
      <c r="H79" s="95" t="s">
        <v>403</v>
      </c>
      <c r="I79" s="95"/>
      <c r="J79" s="412">
        <f>'Net revenue summary'!J206</f>
        <v>0.41014555397981378</v>
      </c>
      <c r="K79" s="412">
        <f>'Net revenue summary'!K206</f>
        <v>0.4105903909936679</v>
      </c>
      <c r="L79" s="412">
        <f>'Net revenue summary'!L206</f>
        <v>0.4099887405105021</v>
      </c>
      <c r="M79" s="412">
        <f>'Net revenue summary'!M206</f>
        <v>0.41002013510833218</v>
      </c>
      <c r="N79" s="412">
        <f>'Net revenue summary'!N206</f>
        <v>0.41005390391061974</v>
      </c>
      <c r="O79" s="412">
        <f>'Net revenue summary'!O206</f>
        <v>0.40999134475195131</v>
      </c>
      <c r="P79" s="412">
        <f>'Net revenue summary'!P206</f>
        <v>0.41000935836749858</v>
      </c>
      <c r="Q79" s="412">
        <f>'Net revenue summary'!Q206</f>
        <v>0.41004173269305999</v>
      </c>
      <c r="R79" s="412">
        <f>'Net revenue summary'!R206</f>
        <v>0.41051163979491589</v>
      </c>
      <c r="S79" s="412">
        <f>'Net revenue summary'!S206</f>
        <v>0.41009779842830862</v>
      </c>
      <c r="T79" s="412">
        <f>'Net revenue summary'!T206</f>
        <v>0.41012068015717346</v>
      </c>
      <c r="U79" s="412">
        <f>'Net revenue summary'!U206</f>
        <v>0.41013714414334651</v>
      </c>
      <c r="V79" s="412">
        <f>'Net revenue summary'!V206</f>
        <v>0.41013384471212999</v>
      </c>
      <c r="W79" s="413"/>
      <c r="X79" s="413"/>
      <c r="Y79" s="413"/>
      <c r="Z79" s="413"/>
      <c r="AA79" s="413"/>
      <c r="AB79" s="413"/>
      <c r="AC79" s="413"/>
      <c r="AD79" s="413"/>
      <c r="AE79" s="413"/>
      <c r="AF79" s="413"/>
      <c r="AG79" s="412">
        <f>'Net revenue summary'!AG206</f>
        <v>0.40993544383556174</v>
      </c>
      <c r="AH79" s="412">
        <f>'Net revenue summary'!AH206</f>
        <v>0</v>
      </c>
      <c r="AI79" s="413"/>
      <c r="AJ79" s="412">
        <f>'Net revenue summary'!AJ206</f>
        <v>-1.5982033801452165E-16</v>
      </c>
      <c r="AK79" s="413"/>
      <c r="AL79" s="413"/>
    </row>
    <row r="80" spans="3:40" x14ac:dyDescent="0.25">
      <c r="C80" s="123"/>
      <c r="D80"/>
      <c r="E80" s="96" t="s">
        <v>750</v>
      </c>
      <c r="F80" s="96"/>
      <c r="G80" s="101" t="s">
        <v>165</v>
      </c>
      <c r="H80" s="96" t="s">
        <v>404</v>
      </c>
      <c r="I80" s="96"/>
      <c r="J80" s="414">
        <f>'Net revenue summary'!J207</f>
        <v>0.60382312977520425</v>
      </c>
      <c r="K80" s="414">
        <f>'Net revenue summary'!K207</f>
        <v>0.60394747000315885</v>
      </c>
      <c r="L80" s="414">
        <f>'Net revenue summary'!L207</f>
        <v>0.60382912408672529</v>
      </c>
      <c r="M80" s="414">
        <f>'Net revenue summary'!M207</f>
        <v>0.60379796618287596</v>
      </c>
      <c r="N80" s="414">
        <f>'Net revenue summary'!N207</f>
        <v>0.60381902750717054</v>
      </c>
      <c r="O80" s="414">
        <f>'Net revenue summary'!O207</f>
        <v>0.60382956661371745</v>
      </c>
      <c r="P80" s="414">
        <f>'Net revenue summary'!P207</f>
        <v>0.60385312624917675</v>
      </c>
      <c r="Q80" s="414">
        <f>'Net revenue summary'!Q207</f>
        <v>0.60394741640983718</v>
      </c>
      <c r="R80" s="414">
        <f>'Net revenue summary'!R207</f>
        <v>0.60401275094831675</v>
      </c>
      <c r="S80" s="414">
        <f>'Net revenue summary'!S207</f>
        <v>0.60388620141864979</v>
      </c>
      <c r="T80" s="414">
        <f>'Net revenue summary'!T207</f>
        <v>0.60389322513982391</v>
      </c>
      <c r="U80" s="414">
        <f>'Net revenue summary'!U207</f>
        <v>0.6039007732525663</v>
      </c>
      <c r="V80" s="414">
        <f>'Net revenue summary'!V207</f>
        <v>0.6039005818215355</v>
      </c>
      <c r="W80" s="414">
        <f>'Net revenue summary'!W207</f>
        <v>0.32433321881157645</v>
      </c>
      <c r="X80" s="414">
        <f>'Net revenue summary'!X207</f>
        <v>0.32441049197654059</v>
      </c>
      <c r="Y80" s="414">
        <f>'Net revenue summary'!Y207</f>
        <v>0.32440152260129501</v>
      </c>
      <c r="Z80" s="414">
        <f>'Net revenue summary'!Z207</f>
        <v>0.32441211452737234</v>
      </c>
      <c r="AA80" s="414">
        <f>'Net revenue summary'!AA207</f>
        <v>0.32439747431055649</v>
      </c>
      <c r="AB80" s="414">
        <f>'Net revenue summary'!AB207</f>
        <v>0.16967716281728271</v>
      </c>
      <c r="AC80" s="414">
        <f>'Net revenue summary'!AC207</f>
        <v>0.1697473571897147</v>
      </c>
      <c r="AD80" s="414">
        <f>'Net revenue summary'!AD207</f>
        <v>0.16976231355414664</v>
      </c>
      <c r="AE80" s="414">
        <f>'Net revenue summary'!AE207</f>
        <v>0.16975181437318013</v>
      </c>
      <c r="AF80" s="414">
        <f>'Net revenue summary'!AF207</f>
        <v>0.16978068672160163</v>
      </c>
      <c r="AG80" s="414">
        <f>'Net revenue summary'!AG207</f>
        <v>0.60389488987826678</v>
      </c>
      <c r="AH80" s="414">
        <f>'Net revenue summary'!AH207</f>
        <v>0</v>
      </c>
      <c r="AI80" s="414">
        <f>'Net revenue summary'!AI207</f>
        <v>0</v>
      </c>
      <c r="AJ80" s="414">
        <f>'Net revenue summary'!AJ207</f>
        <v>-1.5982033801452165E-16</v>
      </c>
      <c r="AK80" s="414">
        <f>'Net revenue summary'!AL207</f>
        <v>0</v>
      </c>
      <c r="AL80" s="414">
        <f>'Net revenue summary'!AN207</f>
        <v>-7.2473981649326374E-3</v>
      </c>
    </row>
    <row r="82" spans="2:40" x14ac:dyDescent="0.25">
      <c r="B82" s="85" t="s">
        <v>229</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25">
      <c r="E84" t="s">
        <v>230</v>
      </c>
      <c r="G84" s="6" t="s">
        <v>54</v>
      </c>
      <c r="H84" s="113">
        <f t="array" ref="H84">SUM(IF(ISERROR(H19:AL81), 1))</f>
        <v>0</v>
      </c>
    </row>
    <row r="86" spans="2:40" x14ac:dyDescent="0.25">
      <c r="B86" s="85" t="s">
        <v>105</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8" ma:contentTypeDescription="Create a new document." ma:contentTypeScope="" ma:versionID="e1d8423f53ac4c8d2986e8061fdb5b45">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57702440390c1dc59e45f9fc1173653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df11e38d-df47-44a9-bb81-9cb5331e96c9"/>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dcbf8a88-e063-4a69-82e9-42d02808f636"/>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1455B763-4CC9-417E-8D0F-8F1E56B67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Burke, Kara (Northern Powergrid)</cp:lastModifiedBy>
  <cp:revision/>
  <dcterms:created xsi:type="dcterms:W3CDTF">2017-07-12T09:37:31Z</dcterms:created>
  <dcterms:modified xsi:type="dcterms:W3CDTF">2024-12-23T12:03:22Z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