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4_{E0ACDC5F-8F56-4985-B3B5-E5A5BA001CFE}" xr6:coauthVersionLast="47" xr6:coauthVersionMax="47" xr10:uidLastSave="{00000000-0000-0000-0000-000000000000}"/>
  <bookViews>
    <workbookView xWindow="57480" yWindow="-120" windowWidth="29040" windowHeight="158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'R1 - RoRE'!$D$67:$H$67</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Data!$C$13:$N$13</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'R1 - RoRE'!$D$84:$H$84</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'R1 - RoRE'!$D$91:$H$91</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Data!$C$8</definedName>
    <definedName name="NPV_neutral_equity_element_of_RAV">'R1 - RoRE'!$D$90:$H$90</definedName>
    <definedName name="odd" hidden="1">{"staff",#N/A,FALSE,"Current Month"}</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5">'R2 - Rec to Revenue and Profit'!$A:$I</definedName>
    <definedName name="_xlnm.Print_Area" localSheetId="6">'R3 - Totex - Reconciliation'!$A:$J</definedName>
    <definedName name="_xlnm.Print_Area" localSheetId="0">'RFPR cover'!$A$2:$I$82</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Data!$F$35:$L$35</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1" l="1"/>
  <c r="D35" i="11" l="1"/>
  <c r="F35" i="11"/>
  <c r="G35" i="11"/>
  <c r="D135" i="2" l="1"/>
  <c r="D50" i="5" l="1"/>
  <c r="E43" i="5" l="1"/>
  <c r="D43" i="5"/>
  <c r="G43" i="5"/>
  <c r="F43" i="5"/>
  <c r="H43" i="5"/>
  <c r="E73" i="1" l="1"/>
  <c r="F73" i="1"/>
  <c r="G73" i="1"/>
  <c r="H73" i="1"/>
  <c r="D73" i="1"/>
  <c r="F19" i="4"/>
  <c r="G19" i="4"/>
  <c r="H19" i="4"/>
  <c r="I19" i="4"/>
  <c r="C9" i="28" l="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C6" i="13" l="1" a="1"/>
  <c r="C6" i="13" s="1"/>
  <c r="J19" i="5"/>
  <c r="J20" i="5"/>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D150" i="2"/>
  <c r="E69" i="4" l="1"/>
  <c r="F69" i="4"/>
  <c r="E68" i="4"/>
  <c r="D129" i="2" l="1"/>
  <c r="E78" i="4" s="1"/>
  <c r="E82" i="4" s="1"/>
  <c r="E150" i="2"/>
  <c r="F150" i="2"/>
  <c r="G150" i="2"/>
  <c r="H150" i="2"/>
  <c r="J25" i="2" l="1"/>
  <c r="J26" i="2"/>
  <c r="J27" i="2"/>
  <c r="J28" i="2"/>
  <c r="E194" i="2" l="1"/>
  <c r="F194" i="2"/>
  <c r="G194" i="2"/>
  <c r="H194" i="2"/>
  <c r="D194" i="2"/>
  <c r="D58" i="5" l="1"/>
  <c r="E6" i="29" l="1"/>
  <c r="E5" i="29" s="1"/>
  <c r="E7" i="29"/>
  <c r="F203" i="28"/>
  <c r="F202" i="28"/>
  <c r="F87" i="28"/>
  <c r="H64" i="2"/>
  <c r="G64" i="2"/>
  <c r="F64" i="2"/>
  <c r="E64" i="2"/>
  <c r="D64" i="2"/>
  <c r="J63" i="2"/>
  <c r="J62" i="2"/>
  <c r="H35" i="2"/>
  <c r="G35" i="2"/>
  <c r="F35" i="2"/>
  <c r="E35" i="2"/>
  <c r="D35" i="2"/>
  <c r="J34" i="2"/>
  <c r="J33" i="2"/>
  <c r="D59" i="5"/>
  <c r="F102" i="4"/>
  <c r="G102" i="4"/>
  <c r="H102" i="4"/>
  <c r="I102" i="4"/>
  <c r="E102" i="4"/>
  <c r="D7" i="2"/>
  <c r="J64" i="2" l="1"/>
  <c r="J35" i="2"/>
  <c r="E59" i="11" l="1"/>
  <c r="F59" i="11"/>
  <c r="G59" i="11"/>
  <c r="H59" i="11"/>
  <c r="D59" i="11"/>
  <c r="F33" i="28" l="1"/>
  <c r="E59" i="5"/>
  <c r="F59" i="5"/>
  <c r="G59" i="5"/>
  <c r="H59" i="5"/>
  <c r="D52" i="5"/>
  <c r="E45" i="5"/>
  <c r="F45" i="5"/>
  <c r="G45" i="5"/>
  <c r="H45" i="5"/>
  <c r="D45" i="5"/>
  <c r="J45" i="5" l="1"/>
  <c r="J59" i="5"/>
  <c r="E32" i="28"/>
  <c r="B76" i="1" l="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E159" i="2" l="1"/>
  <c r="E160" i="2" s="1"/>
  <c r="F159" i="2"/>
  <c r="F160" i="2" s="1"/>
  <c r="G159" i="2"/>
  <c r="G160" i="2" s="1"/>
  <c r="H159" i="2"/>
  <c r="H160" i="2" s="1"/>
  <c r="F75" i="4"/>
  <c r="G75" i="4"/>
  <c r="D159" i="2"/>
  <c r="D160" i="2" s="1"/>
  <c r="I75" i="4" l="1"/>
  <c r="H75" i="4"/>
  <c r="F96" i="4" l="1"/>
  <c r="G96" i="4"/>
  <c r="H96" i="4"/>
  <c r="I96" i="4"/>
  <c r="F89" i="4"/>
  <c r="F91" i="4" s="1"/>
  <c r="G89" i="4"/>
  <c r="G91" i="4" s="1"/>
  <c r="H89" i="4"/>
  <c r="H91" i="4" s="1"/>
  <c r="I89" i="4"/>
  <c r="I91" i="4" s="1"/>
  <c r="C43" i="19" l="1"/>
  <c r="C42" i="19"/>
  <c r="C40" i="19"/>
  <c r="C39" i="19"/>
  <c r="C37" i="19"/>
  <c r="C36" i="19"/>
  <c r="C34" i="19"/>
  <c r="C33" i="19"/>
  <c r="C14" i="4" l="1"/>
  <c r="C16" i="4"/>
  <c r="C17" i="4"/>
  <c r="C19" i="4"/>
  <c r="H88" i="2" l="1"/>
  <c r="G88" i="2"/>
  <c r="F88" i="2"/>
  <c r="E88" i="2"/>
  <c r="D88" i="2"/>
  <c r="J87" i="2"/>
  <c r="J86" i="2"/>
  <c r="J88" i="2" l="1"/>
  <c r="J29" i="2" l="1"/>
  <c r="B3" i="1" l="1"/>
  <c r="G69" i="4" l="1"/>
  <c r="H69" i="4"/>
  <c r="I69" i="4"/>
  <c r="E89" i="4"/>
  <c r="E91" i="4" s="1"/>
  <c r="D63" i="11" l="1"/>
  <c r="F68" i="4" l="1"/>
  <c r="G68" i="4"/>
  <c r="H68" i="4"/>
  <c r="I68" i="4"/>
  <c r="B3" i="17" l="1"/>
  <c r="B3" i="27" l="1"/>
  <c r="C8" i="28"/>
  <c r="H36" i="10" s="1"/>
  <c r="E17" i="2"/>
  <c r="E51" i="2"/>
  <c r="E80" i="2"/>
  <c r="D6" i="5"/>
  <c r="C8" i="13"/>
  <c r="E34" i="28" s="1"/>
  <c r="F17" i="2"/>
  <c r="F51" i="2"/>
  <c r="F80" i="2"/>
  <c r="G17" i="2"/>
  <c r="G51" i="2"/>
  <c r="G80" i="2"/>
  <c r="H17" i="2"/>
  <c r="H51" i="2"/>
  <c r="H80" i="2"/>
  <c r="D17" i="2"/>
  <c r="D51" i="2"/>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3" i="11"/>
  <c r="F63" i="11"/>
  <c r="G63" i="11"/>
  <c r="H63" i="11"/>
  <c r="A3" i="21"/>
  <c r="A3" i="1"/>
  <c r="A3" i="14"/>
  <c r="A3" i="2"/>
  <c r="A3" i="5"/>
  <c r="A3" i="17"/>
  <c r="A3" i="27"/>
  <c r="A3" i="10"/>
  <c r="A3" i="11"/>
  <c r="A3" i="19"/>
  <c r="A3" i="28"/>
  <c r="D51" i="5"/>
  <c r="D44" i="5"/>
  <c r="D97" i="28"/>
  <c r="E97" i="28" s="1"/>
  <c r="F97" i="28" s="1"/>
  <c r="G97" i="28" s="1"/>
  <c r="H97" i="28" s="1"/>
  <c r="I97" i="28" s="1"/>
  <c r="I62" i="28"/>
  <c r="A2" i="14"/>
  <c r="A2" i="1"/>
  <c r="A2" i="4"/>
  <c r="A2" i="2"/>
  <c r="A2" i="5"/>
  <c r="A2" i="17"/>
  <c r="A2" i="27"/>
  <c r="A2" i="10"/>
  <c r="A2" i="29"/>
  <c r="A2" i="11"/>
  <c r="A2" i="19"/>
  <c r="A2" i="21"/>
  <c r="A2" i="28"/>
  <c r="F72" i="4"/>
  <c r="G72" i="4"/>
  <c r="H72" i="4"/>
  <c r="I72" i="4"/>
  <c r="E72" i="4"/>
  <c r="E81" i="4" s="1"/>
  <c r="E93" i="4" s="1"/>
  <c r="F196" i="28"/>
  <c r="F195" i="28"/>
  <c r="A3" i="13"/>
  <c r="D60" i="19"/>
  <c r="E60" i="19"/>
  <c r="F60" i="19"/>
  <c r="F62" i="19"/>
  <c r="G60" i="19"/>
  <c r="G62" i="19"/>
  <c r="H60" i="19"/>
  <c r="H62" i="19"/>
  <c r="D62" i="19"/>
  <c r="E62" i="19"/>
  <c r="E67" i="19"/>
  <c r="F67" i="19"/>
  <c r="G67" i="19"/>
  <c r="H67" i="19"/>
  <c r="E48" i="11"/>
  <c r="F48" i="11"/>
  <c r="G48" i="11"/>
  <c r="H48" i="11"/>
  <c r="H67" i="11" s="1"/>
  <c r="D48" i="11"/>
  <c r="H35" i="11"/>
  <c r="E44" i="11"/>
  <c r="F44" i="11"/>
  <c r="G44" i="11"/>
  <c r="H44" i="11"/>
  <c r="D44" i="11"/>
  <c r="E44" i="5"/>
  <c r="F44" i="5"/>
  <c r="G44" i="5"/>
  <c r="H44" i="5"/>
  <c r="D122" i="2"/>
  <c r="D131" i="2" s="1"/>
  <c r="E122" i="2"/>
  <c r="E131" i="2" s="1"/>
  <c r="F122" i="2"/>
  <c r="F131" i="2" s="1"/>
  <c r="G122" i="2"/>
  <c r="G131" i="2" s="1"/>
  <c r="H122" i="2"/>
  <c r="H131" i="2" s="1"/>
  <c r="H78" i="2"/>
  <c r="G78" i="2"/>
  <c r="F78" i="2"/>
  <c r="E78" i="2"/>
  <c r="D78" i="2"/>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D15" i="2"/>
  <c r="B30" i="1"/>
  <c r="J48" i="17"/>
  <c r="D40" i="19"/>
  <c r="D39" i="19"/>
  <c r="H16" i="11"/>
  <c r="G16" i="11"/>
  <c r="F16" i="11"/>
  <c r="E16" i="11"/>
  <c r="D16" i="11"/>
  <c r="I20" i="29"/>
  <c r="H20" i="29"/>
  <c r="G20" i="29"/>
  <c r="F20" i="29"/>
  <c r="E20" i="29"/>
  <c r="F17" i="10"/>
  <c r="E21" i="27"/>
  <c r="E40" i="27" s="1"/>
  <c r="H21" i="27"/>
  <c r="H40" i="27" s="1"/>
  <c r="G21" i="27"/>
  <c r="G40" i="27" s="1"/>
  <c r="F21" i="27"/>
  <c r="F40" i="27" s="1"/>
  <c r="H9" i="27"/>
  <c r="G9" i="27"/>
  <c r="H63" i="27"/>
  <c r="G63" i="27"/>
  <c r="F63" i="27"/>
  <c r="E63" i="27"/>
  <c r="D63" i="27"/>
  <c r="E9" i="27"/>
  <c r="J54" i="17"/>
  <c r="J53" i="17"/>
  <c r="J52" i="17"/>
  <c r="J51" i="17"/>
  <c r="J50" i="17"/>
  <c r="J49" i="17"/>
  <c r="F56" i="17"/>
  <c r="I6" i="17"/>
  <c r="I5" i="17" s="1"/>
  <c r="I6" i="5"/>
  <c r="I5" i="5" s="1"/>
  <c r="H49" i="2"/>
  <c r="G49" i="2"/>
  <c r="F49" i="2"/>
  <c r="E49" i="2"/>
  <c r="D49" i="2"/>
  <c r="J48" i="2"/>
  <c r="J47" i="2"/>
  <c r="H15" i="2"/>
  <c r="G15" i="2"/>
  <c r="F15" i="2"/>
  <c r="E15" i="2"/>
  <c r="J14" i="2"/>
  <c r="J13" i="2"/>
  <c r="I6" i="2"/>
  <c r="I56" i="4"/>
  <c r="H56" i="4"/>
  <c r="G56" i="4"/>
  <c r="F56" i="4"/>
  <c r="E56" i="4"/>
  <c r="I37" i="4"/>
  <c r="H37" i="4"/>
  <c r="G37" i="4"/>
  <c r="F37" i="4"/>
  <c r="E37" i="4"/>
  <c r="B59" i="1"/>
  <c r="B56" i="1"/>
  <c r="B55" i="1"/>
  <c r="B40" i="1"/>
  <c r="B39" i="1"/>
  <c r="B32" i="1"/>
  <c r="B31" i="1"/>
  <c r="B29" i="1"/>
  <c r="B28" i="1"/>
  <c r="B13" i="1"/>
  <c r="B12" i="1"/>
  <c r="J6" i="1"/>
  <c r="G135" i="28"/>
  <c r="G133" i="28"/>
  <c r="G132" i="28"/>
  <c r="G131" i="28"/>
  <c r="F9" i="27"/>
  <c r="H56" i="17"/>
  <c r="G56" i="17"/>
  <c r="J47" i="17"/>
  <c r="D21" i="27"/>
  <c r="D6" i="17"/>
  <c r="D5" i="17" s="1"/>
  <c r="D6" i="19"/>
  <c r="D5" i="19" s="1"/>
  <c r="D6" i="2"/>
  <c r="D6" i="11"/>
  <c r="D5" i="11" s="1"/>
  <c r="D6" i="27"/>
  <c r="D5" i="27" s="1"/>
  <c r="F6" i="10"/>
  <c r="F5" i="10" s="1"/>
  <c r="B21" i="1"/>
  <c r="F21" i="4"/>
  <c r="G21" i="4"/>
  <c r="H21" i="4"/>
  <c r="I21" i="4"/>
  <c r="F67" i="11" l="1"/>
  <c r="E67" i="11"/>
  <c r="G67" i="11"/>
  <c r="D67" i="11"/>
  <c r="F34" i="28"/>
  <c r="D165" i="2" s="1"/>
  <c r="D166" i="2" s="1"/>
  <c r="G34" i="28"/>
  <c r="H34" i="28"/>
  <c r="I34" i="28"/>
  <c r="J34" i="28"/>
  <c r="K34" i="28"/>
  <c r="L34" i="28"/>
  <c r="F30" i="10"/>
  <c r="E134" i="28"/>
  <c r="F134" i="28" s="1"/>
  <c r="C15" i="4"/>
  <c r="E58" i="4"/>
  <c r="B15" i="4"/>
  <c r="C13" i="4"/>
  <c r="F36" i="28"/>
  <c r="F35" i="28"/>
  <c r="E35" i="28"/>
  <c r="E36" i="28"/>
  <c r="H87" i="28"/>
  <c r="H89" i="28"/>
  <c r="D12" i="5"/>
  <c r="E6" i="27"/>
  <c r="F6" i="27" s="1"/>
  <c r="F5" i="27" s="1"/>
  <c r="J22" i="5"/>
  <c r="J71" i="5"/>
  <c r="E131" i="28"/>
  <c r="F131" i="28" s="1"/>
  <c r="D19" i="2"/>
  <c r="J44" i="5"/>
  <c r="L20" i="28"/>
  <c r="B45" i="2"/>
  <c r="B11" i="2"/>
  <c r="E6" i="19"/>
  <c r="E5" i="19" s="1"/>
  <c r="D51" i="19"/>
  <c r="D5" i="1"/>
  <c r="D40" i="27"/>
  <c r="F42" i="27"/>
  <c r="E42" i="27"/>
  <c r="G42" i="27"/>
  <c r="H42" i="27"/>
  <c r="D5" i="2"/>
  <c r="E79" i="4"/>
  <c r="E203" i="28"/>
  <c r="J62" i="28"/>
  <c r="J81" i="28" s="1"/>
  <c r="I87" i="28"/>
  <c r="Q62" i="28"/>
  <c r="Q76" i="28" s="1"/>
  <c r="P87" i="28"/>
  <c r="E19" i="2"/>
  <c r="C163" i="2"/>
  <c r="H78" i="4"/>
  <c r="H79" i="4" s="1"/>
  <c r="I81" i="4"/>
  <c r="I93" i="4" s="1"/>
  <c r="I78" i="4"/>
  <c r="I79" i="4" s="1"/>
  <c r="G81" i="4"/>
  <c r="G93" i="4" s="1"/>
  <c r="G78" i="4"/>
  <c r="G79" i="4" s="1"/>
  <c r="F78" i="4"/>
  <c r="F79" i="4" s="1"/>
  <c r="E6" i="5"/>
  <c r="E12" i="5" s="1"/>
  <c r="E67" i="1" s="1"/>
  <c r="D5" i="5"/>
  <c r="D90" i="2"/>
  <c r="D91" i="2"/>
  <c r="G90" i="2"/>
  <c r="G91" i="2"/>
  <c r="E91" i="2"/>
  <c r="E90" i="2"/>
  <c r="H91" i="2"/>
  <c r="H90" i="2"/>
  <c r="F90" i="2"/>
  <c r="F91" i="2"/>
  <c r="F6" i="4"/>
  <c r="F66" i="4" s="1"/>
  <c r="H162" i="2"/>
  <c r="H196" i="2" s="1"/>
  <c r="F82" i="2"/>
  <c r="D56" i="17"/>
  <c r="E56" i="17"/>
  <c r="F29" i="17"/>
  <c r="H29" i="17"/>
  <c r="E29" i="17"/>
  <c r="F97" i="4" s="1"/>
  <c r="E96" i="4"/>
  <c r="D29" i="17"/>
  <c r="G29" i="17"/>
  <c r="H97" i="4" s="1"/>
  <c r="G47" i="11"/>
  <c r="D47" i="11"/>
  <c r="F47" i="11"/>
  <c r="E47" i="11"/>
  <c r="H47" i="11"/>
  <c r="H66" i="11" s="1"/>
  <c r="B20" i="1"/>
  <c r="H20" i="2"/>
  <c r="J49" i="2"/>
  <c r="F19" i="2"/>
  <c r="H83" i="2"/>
  <c r="G83" i="2"/>
  <c r="E83" i="2"/>
  <c r="J15" i="2"/>
  <c r="J78" i="2"/>
  <c r="D162" i="2"/>
  <c r="G20" i="2"/>
  <c r="E20" i="2"/>
  <c r="F83" i="2"/>
  <c r="H54" i="2"/>
  <c r="F54" i="2"/>
  <c r="F6" i="29"/>
  <c r="F5" i="29" s="1"/>
  <c r="D54" i="2"/>
  <c r="D53" i="2"/>
  <c r="D82" i="2"/>
  <c r="G6" i="10"/>
  <c r="G5" i="10" s="1"/>
  <c r="E6" i="17"/>
  <c r="E5" i="17" s="1"/>
  <c r="E6" i="2"/>
  <c r="E165" i="2" s="1"/>
  <c r="E166" i="2" s="1"/>
  <c r="E6" i="11"/>
  <c r="E51" i="19"/>
  <c r="F32" i="28"/>
  <c r="E66" i="4"/>
  <c r="E5" i="4"/>
  <c r="G52" i="19"/>
  <c r="G33" i="28"/>
  <c r="G36" i="28" s="1"/>
  <c r="E109" i="2"/>
  <c r="E108" i="2" s="1"/>
  <c r="H45" i="29"/>
  <c r="G82" i="2"/>
  <c r="D69" i="27"/>
  <c r="F69" i="27"/>
  <c r="F45" i="29"/>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63" i="17"/>
  <c r="H58" i="4"/>
  <c r="H60" i="4" s="1"/>
  <c r="F58" i="4"/>
  <c r="F60" i="4" s="1"/>
  <c r="I58" i="4"/>
  <c r="I60" i="4" s="1"/>
  <c r="G58" i="4"/>
  <c r="G60" i="4" s="1"/>
  <c r="E60" i="4"/>
  <c r="B48" i="1"/>
  <c r="G19" i="2"/>
  <c r="H82" i="2"/>
  <c r="E136" i="28"/>
  <c r="F136" i="28" s="1"/>
  <c r="D20" i="2"/>
  <c r="H19" i="2"/>
  <c r="E82" i="2"/>
  <c r="D83" i="2"/>
  <c r="H53" i="2"/>
  <c r="D63" i="17"/>
  <c r="G63" i="17"/>
  <c r="J36" i="10"/>
  <c r="I36" i="10"/>
  <c r="F53" i="2"/>
  <c r="E135" i="28"/>
  <c r="F135" i="28" s="1"/>
  <c r="E202" i="28"/>
  <c r="E199" i="28"/>
  <c r="E63" i="17"/>
  <c r="G36" i="10"/>
  <c r="F20" i="2"/>
  <c r="G54" i="2"/>
  <c r="G53" i="2"/>
  <c r="E196" i="28"/>
  <c r="B128" i="28"/>
  <c r="E195" i="28"/>
  <c r="E201" i="28"/>
  <c r="E138" i="28"/>
  <c r="F138" i="28" s="1"/>
  <c r="E137" i="28"/>
  <c r="F137" i="28" s="1"/>
  <c r="E198" i="28"/>
  <c r="E200" i="28"/>
  <c r="E132" i="28"/>
  <c r="F132" i="28" s="1"/>
  <c r="E133" i="28"/>
  <c r="F133" i="28" s="1"/>
  <c r="E197" i="28"/>
  <c r="E54" i="2"/>
  <c r="E53" i="2"/>
  <c r="G45" i="29"/>
  <c r="D76" i="27"/>
  <c r="F36" i="10"/>
  <c r="G69" i="27"/>
  <c r="E69" i="27"/>
  <c r="G76" i="27"/>
  <c r="E76" i="27"/>
  <c r="F76" i="27"/>
  <c r="H69" i="27"/>
  <c r="I45" i="29"/>
  <c r="H76" i="27"/>
  <c r="E45" i="29"/>
  <c r="F63" i="17"/>
  <c r="D66" i="11" l="1"/>
  <c r="G66" i="11"/>
  <c r="E66" i="11"/>
  <c r="F66" i="11"/>
  <c r="D196" i="2"/>
  <c r="B135" i="28"/>
  <c r="B136" i="28"/>
  <c r="B137" i="28"/>
  <c r="B19" i="5" s="1"/>
  <c r="B73" i="1" s="1"/>
  <c r="B134" i="28"/>
  <c r="B16" i="5" s="1"/>
  <c r="B70" i="1" s="1"/>
  <c r="B138" i="28"/>
  <c r="B20" i="5" s="1"/>
  <c r="B139" i="28"/>
  <c r="B21" i="5" s="1"/>
  <c r="B132" i="28"/>
  <c r="B14" i="5" s="1"/>
  <c r="B68" i="1" s="1"/>
  <c r="B133" i="28"/>
  <c r="B15" i="5" s="1"/>
  <c r="B69" i="1" s="1"/>
  <c r="E5" i="27"/>
  <c r="G6" i="27"/>
  <c r="G35" i="28"/>
  <c r="F6" i="19"/>
  <c r="F5" i="19" s="1"/>
  <c r="D67" i="1"/>
  <c r="C19" i="5"/>
  <c r="C20" i="5"/>
  <c r="F6" i="5"/>
  <c r="I15" i="5" s="1"/>
  <c r="J77" i="28"/>
  <c r="E26" i="10"/>
  <c r="C38" i="2"/>
  <c r="C67" i="2"/>
  <c r="C66" i="2"/>
  <c r="C24" i="2"/>
  <c r="C25" i="2"/>
  <c r="C26" i="2"/>
  <c r="C27" i="2"/>
  <c r="C28" i="2"/>
  <c r="C37" i="2"/>
  <c r="F46" i="27"/>
  <c r="G45" i="27" s="1"/>
  <c r="F59" i="27"/>
  <c r="H46" i="27"/>
  <c r="H59" i="27"/>
  <c r="G46" i="27"/>
  <c r="H45" i="27" s="1"/>
  <c r="G59" i="27"/>
  <c r="E46" i="27"/>
  <c r="F45" i="27" s="1"/>
  <c r="E59" i="27"/>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M20" i="28"/>
  <c r="N20" i="28"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Q90" i="28"/>
  <c r="Q72" i="28"/>
  <c r="Q70" i="28"/>
  <c r="Q68" i="28"/>
  <c r="Q88" i="28"/>
  <c r="Q82" i="28"/>
  <c r="Q80" i="28"/>
  <c r="H6" i="10"/>
  <c r="H5" i="10" s="1"/>
  <c r="G27" i="10"/>
  <c r="J73" i="1"/>
  <c r="Q78" i="28"/>
  <c r="Q75" i="28"/>
  <c r="Q64" i="28"/>
  <c r="Q81" i="28"/>
  <c r="Q67" i="28"/>
  <c r="Q77" i="28"/>
  <c r="Q79" i="28"/>
  <c r="Q73" i="28"/>
  <c r="Q83" i="28"/>
  <c r="Q66" i="28"/>
  <c r="Q74" i="28"/>
  <c r="Q63" i="28"/>
  <c r="Q71" i="28"/>
  <c r="Q65" i="28"/>
  <c r="Q86" i="28"/>
  <c r="Q91" i="28"/>
  <c r="Q69" i="28"/>
  <c r="Q85" i="28"/>
  <c r="Q84" i="28"/>
  <c r="Q89" i="28"/>
  <c r="J69" i="28"/>
  <c r="J63" i="28"/>
  <c r="J85" i="28"/>
  <c r="E94" i="4"/>
  <c r="C35" i="2"/>
  <c r="D42" i="27"/>
  <c r="D59" i="27" s="1"/>
  <c r="H31" i="17"/>
  <c r="I97" i="4"/>
  <c r="I98" i="4" s="1"/>
  <c r="G97" i="4"/>
  <c r="G98" i="4" s="1"/>
  <c r="J79" i="28"/>
  <c r="J82" i="28"/>
  <c r="J74" i="28"/>
  <c r="J90" i="28"/>
  <c r="J84" i="28"/>
  <c r="J86" i="28"/>
  <c r="J89" i="28"/>
  <c r="H82" i="4"/>
  <c r="F82" i="4"/>
  <c r="G82" i="4"/>
  <c r="I82" i="4"/>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C72" i="27"/>
  <c r="D67" i="29"/>
  <c r="D69" i="29"/>
  <c r="C23" i="19"/>
  <c r="C71" i="17"/>
  <c r="C94" i="2"/>
  <c r="C66" i="5"/>
  <c r="C12" i="5"/>
  <c r="C15" i="2"/>
  <c r="E20" i="10"/>
  <c r="C103" i="2"/>
  <c r="C44" i="17"/>
  <c r="C19" i="2"/>
  <c r="C22" i="5"/>
  <c r="C82" i="2"/>
  <c r="C87" i="17"/>
  <c r="C14" i="5"/>
  <c r="C96" i="2"/>
  <c r="C87" i="1"/>
  <c r="C83" i="17"/>
  <c r="E43" i="10"/>
  <c r="C48" i="2"/>
  <c r="C16" i="5"/>
  <c r="C71" i="5"/>
  <c r="C72" i="2"/>
  <c r="C73" i="27"/>
  <c r="D64" i="29"/>
  <c r="E12" i="10"/>
  <c r="D70" i="29"/>
  <c r="C68" i="5"/>
  <c r="C80" i="1"/>
  <c r="C70" i="17"/>
  <c r="C82" i="1"/>
  <c r="C14" i="2"/>
  <c r="C85" i="1"/>
  <c r="E19" i="10"/>
  <c r="C43" i="2"/>
  <c r="E40" i="10"/>
  <c r="E41" i="10"/>
  <c r="D62" i="29"/>
  <c r="E39" i="10"/>
  <c r="E44" i="10"/>
  <c r="C56" i="5"/>
  <c r="C70" i="1"/>
  <c r="D40" i="29"/>
  <c r="C79" i="1"/>
  <c r="C75" i="1"/>
  <c r="C54" i="2"/>
  <c r="C78" i="2"/>
  <c r="C66" i="1"/>
  <c r="C21" i="19"/>
  <c r="E21" i="10"/>
  <c r="C84" i="1"/>
  <c r="C88" i="2"/>
  <c r="C49" i="2"/>
  <c r="C69" i="5"/>
  <c r="E45" i="10"/>
  <c r="C76" i="2"/>
  <c r="E18" i="10"/>
  <c r="C77" i="2"/>
  <c r="C74" i="27"/>
  <c r="C91" i="1"/>
  <c r="C20" i="2"/>
  <c r="C18" i="19"/>
  <c r="E23" i="10"/>
  <c r="C85" i="17"/>
  <c r="C57" i="2"/>
  <c r="C15" i="5"/>
  <c r="C70" i="5"/>
  <c r="C77" i="1"/>
  <c r="C69" i="1"/>
  <c r="C90" i="1"/>
  <c r="C59" i="2"/>
  <c r="C17" i="5"/>
  <c r="C77" i="17"/>
  <c r="C74" i="1"/>
  <c r="C57" i="17"/>
  <c r="C45" i="5"/>
  <c r="D60" i="29"/>
  <c r="C67" i="1"/>
  <c r="E22" i="10"/>
  <c r="C88" i="1"/>
  <c r="E24" i="10"/>
  <c r="C68" i="1"/>
  <c r="C83" i="2"/>
  <c r="C53" i="2"/>
  <c r="C47" i="2"/>
  <c r="C87" i="2"/>
  <c r="B63" i="1"/>
  <c r="C73" i="1"/>
  <c r="C65" i="1"/>
  <c r="C18" i="5"/>
  <c r="E17" i="10"/>
  <c r="E15" i="10"/>
  <c r="D56" i="29"/>
  <c r="C86" i="1"/>
  <c r="D52"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81" i="4"/>
  <c r="H93" i="4" s="1"/>
  <c r="F81" i="4"/>
  <c r="F93" i="4" s="1"/>
  <c r="F106" i="4" s="1"/>
  <c r="J56" i="17"/>
  <c r="E95" i="2"/>
  <c r="F5" i="4"/>
  <c r="G6" i="4"/>
  <c r="F95" i="2"/>
  <c r="G95" i="2"/>
  <c r="E76" i="1"/>
  <c r="D76" i="1"/>
  <c r="G6" i="1"/>
  <c r="G5" i="1" s="1"/>
  <c r="E5" i="1"/>
  <c r="E5" i="5"/>
  <c r="E74" i="1"/>
  <c r="D95" i="2"/>
  <c r="D94" i="2"/>
  <c r="E94" i="2"/>
  <c r="F94" i="2"/>
  <c r="G94" i="2"/>
  <c r="H94" i="2"/>
  <c r="J91" i="2"/>
  <c r="J90" i="2"/>
  <c r="G106" i="4"/>
  <c r="G162" i="2"/>
  <c r="G196" i="2" s="1"/>
  <c r="F162" i="2"/>
  <c r="F196" i="2" s="1"/>
  <c r="E162" i="2"/>
  <c r="E196" i="2" s="1"/>
  <c r="E198" i="2" s="1"/>
  <c r="F31" i="17"/>
  <c r="H98" i="4"/>
  <c r="G31" i="17"/>
  <c r="F98" i="4"/>
  <c r="E31" i="17"/>
  <c r="E97" i="4"/>
  <c r="E98" i="4" s="1"/>
  <c r="D31" i="17"/>
  <c r="G6" i="29"/>
  <c r="G5" i="29" s="1"/>
  <c r="E5" i="2"/>
  <c r="F6" i="2"/>
  <c r="F6" i="17"/>
  <c r="G5" i="27"/>
  <c r="H6" i="27"/>
  <c r="H5" i="27" s="1"/>
  <c r="E5" i="11"/>
  <c r="F6" i="11"/>
  <c r="F109" i="2"/>
  <c r="G32" i="28"/>
  <c r="H33" i="28"/>
  <c r="H52" i="19"/>
  <c r="H51" i="19" s="1"/>
  <c r="G51" i="19"/>
  <c r="J82" i="2"/>
  <c r="J19" i="2"/>
  <c r="I54" i="28"/>
  <c r="B18" i="5"/>
  <c r="B72" i="1" s="1"/>
  <c r="B17" i="5"/>
  <c r="B71" i="1" s="1"/>
  <c r="J83" i="2"/>
  <c r="J20" i="2"/>
  <c r="H15" i="4"/>
  <c r="D75" i="1"/>
  <c r="D74" i="1"/>
  <c r="E15" i="4"/>
  <c r="E19" i="4" s="1"/>
  <c r="E21" i="4" s="1"/>
  <c r="J54" i="2"/>
  <c r="G15" i="4"/>
  <c r="F15" i="4"/>
  <c r="J53" i="2"/>
  <c r="I15" i="4"/>
  <c r="H34" i="17" l="1"/>
  <c r="E34" i="17"/>
  <c r="G34" i="17"/>
  <c r="F34" i="17"/>
  <c r="D34" i="17"/>
  <c r="I62" i="2"/>
  <c r="F165" i="2"/>
  <c r="F166" i="2" s="1"/>
  <c r="G6" i="19"/>
  <c r="G5" i="19" s="1"/>
  <c r="H36" i="28"/>
  <c r="H35" i="28"/>
  <c r="D198" i="2"/>
  <c r="D197" i="2"/>
  <c r="I68" i="5"/>
  <c r="I69" i="5"/>
  <c r="I42" i="5"/>
  <c r="F12" i="5"/>
  <c r="I12" i="5" s="1"/>
  <c r="I59" i="5"/>
  <c r="I18" i="5"/>
  <c r="C6" i="28"/>
  <c r="I16" i="5"/>
  <c r="I57" i="5"/>
  <c r="I56" i="5"/>
  <c r="F5" i="5"/>
  <c r="I58" i="5"/>
  <c r="I71" i="5"/>
  <c r="G6" i="5"/>
  <c r="I44" i="5"/>
  <c r="I66" i="5"/>
  <c r="I67" i="5"/>
  <c r="I21" i="5"/>
  <c r="I45" i="5"/>
  <c r="I43" i="5"/>
  <c r="I17" i="5"/>
  <c r="I35" i="2"/>
  <c r="I26" i="2"/>
  <c r="I34" i="2"/>
  <c r="I86" i="2"/>
  <c r="I27" i="2"/>
  <c r="I88" i="2"/>
  <c r="I87" i="2"/>
  <c r="I63" i="2"/>
  <c r="I64" i="2"/>
  <c r="I28" i="2"/>
  <c r="I25" i="2"/>
  <c r="I14" i="5"/>
  <c r="I19" i="5"/>
  <c r="I90" i="2"/>
  <c r="I29" i="2"/>
  <c r="I33" i="2"/>
  <c r="I55" i="5"/>
  <c r="I20" i="5"/>
  <c r="I70" i="5"/>
  <c r="I41" i="5"/>
  <c r="I22" i="5"/>
  <c r="F34" i="10"/>
  <c r="F35" i="10"/>
  <c r="H6" i="1"/>
  <c r="H5" i="1" s="1"/>
  <c r="G65" i="27"/>
  <c r="I95" i="2"/>
  <c r="F65" i="27"/>
  <c r="H65" i="27"/>
  <c r="I6" i="10"/>
  <c r="I5" i="10" s="1"/>
  <c r="J75" i="1"/>
  <c r="K75" i="1"/>
  <c r="D46" i="27"/>
  <c r="I94" i="2"/>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96" i="2"/>
  <c r="F96" i="2"/>
  <c r="G96" i="2"/>
  <c r="B67" i="5"/>
  <c r="B78" i="1" s="1"/>
  <c r="B66" i="5"/>
  <c r="B77" i="1" s="1"/>
  <c r="B81" i="1"/>
  <c r="B69" i="5"/>
  <c r="B80" i="1" s="1"/>
  <c r="B68" i="5"/>
  <c r="B79" i="1" s="1"/>
  <c r="J95" i="2"/>
  <c r="D96" i="2"/>
  <c r="F76" i="1"/>
  <c r="J76" i="1" s="1"/>
  <c r="B19" i="1"/>
  <c r="B46" i="1"/>
  <c r="H106" i="4"/>
  <c r="F94" i="4"/>
  <c r="I106" i="4"/>
  <c r="E106" i="4"/>
  <c r="J94" i="2"/>
  <c r="H6" i="29"/>
  <c r="H5" i="29" s="1"/>
  <c r="F5" i="2"/>
  <c r="G6" i="2"/>
  <c r="G165" i="2" s="1"/>
  <c r="G166" i="2" s="1"/>
  <c r="F5" i="17"/>
  <c r="G6" i="17"/>
  <c r="J71" i="1"/>
  <c r="F5" i="11"/>
  <c r="G6" i="11"/>
  <c r="J72" i="1"/>
  <c r="G109" i="2"/>
  <c r="F108" i="2"/>
  <c r="F74" i="1"/>
  <c r="J74" i="1" s="1"/>
  <c r="H32" i="28"/>
  <c r="I33" i="28"/>
  <c r="B42" i="1"/>
  <c r="B16" i="1"/>
  <c r="H6" i="19" l="1"/>
  <c r="H5" i="19" s="1"/>
  <c r="H27" i="10"/>
  <c r="I36" i="28"/>
  <c r="I35" i="28"/>
  <c r="F38" i="29"/>
  <c r="F23" i="29" s="1"/>
  <c r="F33" i="29" s="1"/>
  <c r="E18" i="19"/>
  <c r="E42" i="17"/>
  <c r="E57" i="17" s="1"/>
  <c r="E54" i="19"/>
  <c r="E82" i="1" s="1"/>
  <c r="E197" i="2"/>
  <c r="F37" i="10"/>
  <c r="H6" i="5"/>
  <c r="H12" i="5" s="1"/>
  <c r="H67" i="1" s="1"/>
  <c r="G12" i="5"/>
  <c r="G67" i="1" s="1"/>
  <c r="F67" i="1"/>
  <c r="G5" i="5"/>
  <c r="G35" i="10"/>
  <c r="H66" i="4"/>
  <c r="I6" i="4"/>
  <c r="I5" i="4" s="1"/>
  <c r="G34" i="10"/>
  <c r="I27" i="10"/>
  <c r="J6" i="10"/>
  <c r="J5" i="10" s="1"/>
  <c r="D65" i="27"/>
  <c r="E45" i="27"/>
  <c r="I96" i="2"/>
  <c r="F198"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B26" i="1"/>
  <c r="B53" i="1"/>
  <c r="B23" i="1"/>
  <c r="B50" i="1"/>
  <c r="B24" i="1"/>
  <c r="B51" i="1"/>
  <c r="B27" i="1"/>
  <c r="B54" i="1"/>
  <c r="B52" i="1"/>
  <c r="B25" i="1"/>
  <c r="J96" i="2"/>
  <c r="G76" i="1"/>
  <c r="G94" i="4"/>
  <c r="I6" i="29"/>
  <c r="I5" i="29" s="1"/>
  <c r="H6" i="17"/>
  <c r="G5" i="17"/>
  <c r="I54" i="17"/>
  <c r="G74" i="1"/>
  <c r="G5" i="2"/>
  <c r="H6" i="2"/>
  <c r="H6" i="11"/>
  <c r="H5" i="11" s="1"/>
  <c r="G5" i="11"/>
  <c r="I56" i="17"/>
  <c r="G108" i="2"/>
  <c r="H109" i="2"/>
  <c r="J33" i="28"/>
  <c r="I32" i="28"/>
  <c r="B43" i="1"/>
  <c r="B15" i="1"/>
  <c r="J69" i="1"/>
  <c r="J81" i="1"/>
  <c r="J78" i="1"/>
  <c r="B44" i="1"/>
  <c r="B17" i="1"/>
  <c r="B45" i="1"/>
  <c r="B18" i="1"/>
  <c r="B41" i="1"/>
  <c r="B14" i="1"/>
  <c r="J70" i="1"/>
  <c r="I77" i="2" l="1"/>
  <c r="H165" i="2"/>
  <c r="H166" i="2" s="1"/>
  <c r="H5" i="5"/>
  <c r="J27" i="10"/>
  <c r="J36" i="28"/>
  <c r="J35" i="28"/>
  <c r="F197" i="2"/>
  <c r="F54" i="19"/>
  <c r="F82" i="1" s="1"/>
  <c r="F18" i="19"/>
  <c r="F42" i="17"/>
  <c r="F57" i="17" s="1"/>
  <c r="G38" i="29"/>
  <c r="G23" i="29" s="1"/>
  <c r="I66" i="4"/>
  <c r="J12" i="5"/>
  <c r="G37" i="10"/>
  <c r="H34" i="10"/>
  <c r="H35" i="10"/>
  <c r="D40" i="17"/>
  <c r="E65" i="27"/>
  <c r="G198"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H76" i="1"/>
  <c r="K76" i="1" s="1"/>
  <c r="H94" i="4"/>
  <c r="K78" i="1"/>
  <c r="I54" i="2"/>
  <c r="H5" i="2"/>
  <c r="I48" i="2"/>
  <c r="I82" i="2"/>
  <c r="I14" i="2"/>
  <c r="I20" i="2"/>
  <c r="I13" i="2"/>
  <c r="I47" i="2"/>
  <c r="I76" i="2"/>
  <c r="I19" i="2"/>
  <c r="H5" i="17"/>
  <c r="I50" i="17"/>
  <c r="I48" i="17"/>
  <c r="I49" i="17"/>
  <c r="I47" i="17"/>
  <c r="I51" i="17"/>
  <c r="I52" i="17"/>
  <c r="I53" i="17"/>
  <c r="I53" i="2"/>
  <c r="I83" i="2"/>
  <c r="H108" i="2"/>
  <c r="J32" i="28"/>
  <c r="K33" i="28"/>
  <c r="H74" i="1"/>
  <c r="K74" i="1" s="1"/>
  <c r="J79" i="1"/>
  <c r="J80" i="1"/>
  <c r="I78" i="2" l="1"/>
  <c r="G197" i="2"/>
  <c r="K36" i="28"/>
  <c r="K35" i="28"/>
  <c r="H38" i="29"/>
  <c r="H23" i="29" s="1"/>
  <c r="H33" i="29" s="1"/>
  <c r="G54" i="19"/>
  <c r="G82" i="1" s="1"/>
  <c r="G42" i="17"/>
  <c r="G57" i="17" s="1"/>
  <c r="G18" i="19"/>
  <c r="F40" i="17"/>
  <c r="H37" i="10"/>
  <c r="I34" i="10"/>
  <c r="I35" i="10"/>
  <c r="E40" i="17"/>
  <c r="H198"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I94" i="4"/>
  <c r="I15" i="2"/>
  <c r="I49" i="2"/>
  <c r="K32" i="28"/>
  <c r="L33" i="28"/>
  <c r="G33" i="29"/>
  <c r="J77" i="1"/>
  <c r="J67" i="1"/>
  <c r="J68" i="1"/>
  <c r="K69" i="1"/>
  <c r="L35" i="28" l="1"/>
  <c r="L36" i="28"/>
  <c r="H54" i="19"/>
  <c r="H82" i="1" s="1"/>
  <c r="H18" i="19"/>
  <c r="H197" i="2"/>
  <c r="H42" i="17"/>
  <c r="H57" i="17" s="1"/>
  <c r="I38" i="29"/>
  <c r="I23" i="29" s="1"/>
  <c r="I33" i="29" s="1"/>
  <c r="F66" i="17"/>
  <c r="F44" i="17"/>
  <c r="I37" i="10"/>
  <c r="J34" i="10"/>
  <c r="J35" i="10"/>
  <c r="E66" i="17"/>
  <c r="E44" i="17"/>
  <c r="D42" i="17"/>
  <c r="D44" i="17" s="1"/>
  <c r="D18" i="19"/>
  <c r="E38" i="29"/>
  <c r="E23" i="29" s="1"/>
  <c r="K81" i="1"/>
  <c r="L32" i="28"/>
  <c r="K80" i="1"/>
  <c r="K79" i="1"/>
  <c r="K72" i="1"/>
  <c r="K70" i="1"/>
  <c r="K71" i="1"/>
  <c r="J37" i="10" l="1"/>
  <c r="E33" i="29"/>
  <c r="D57" i="17"/>
  <c r="G40" i="17"/>
  <c r="H40" i="17"/>
  <c r="D66" i="17"/>
  <c r="K67" i="1"/>
  <c r="K77" i="1"/>
  <c r="K68" i="1"/>
  <c r="I57" i="17" l="1"/>
  <c r="J57" i="17"/>
  <c r="H66" i="17"/>
  <c r="H44" i="17"/>
  <c r="G66" i="17"/>
  <c r="G44" i="17"/>
  <c r="I44" i="17"/>
  <c r="J44" i="17" l="1"/>
  <c r="J58" i="2" l="1"/>
  <c r="I58" i="2"/>
  <c r="I24" i="2" l="1"/>
  <c r="E59" i="2" l="1"/>
  <c r="G59" i="2"/>
  <c r="F59" i="2"/>
  <c r="H59" i="2"/>
  <c r="F67" i="2" l="1"/>
  <c r="F71" i="2" s="1"/>
  <c r="F66" i="2"/>
  <c r="F70" i="2" s="1"/>
  <c r="F72" i="2" s="1"/>
  <c r="E66" i="2"/>
  <c r="E70" i="2" s="1"/>
  <c r="E67" i="2"/>
  <c r="E71" i="2" s="1"/>
  <c r="G67" i="2"/>
  <c r="G71" i="2" s="1"/>
  <c r="G66" i="2"/>
  <c r="G70" i="2" s="1"/>
  <c r="D59" i="2"/>
  <c r="J57" i="2"/>
  <c r="I57" i="2"/>
  <c r="H67" i="2"/>
  <c r="H71" i="2" s="1"/>
  <c r="H66" i="2"/>
  <c r="H70" i="2" s="1"/>
  <c r="G72" i="2" l="1"/>
  <c r="H72" i="2"/>
  <c r="E72" i="2"/>
  <c r="J59" i="2"/>
  <c r="D66" i="2"/>
  <c r="D67" i="2"/>
  <c r="I59" i="2"/>
  <c r="D71" i="2" l="1"/>
  <c r="J67" i="2"/>
  <c r="I67" i="2"/>
  <c r="D70" i="2"/>
  <c r="J66" i="2"/>
  <c r="I66" i="2"/>
  <c r="I70" i="2" l="1"/>
  <c r="J70" i="2"/>
  <c r="D72" i="2"/>
  <c r="J71" i="2"/>
  <c r="I71" i="2"/>
  <c r="J72" i="2" l="1"/>
  <c r="I72" i="2"/>
  <c r="D30" i="2" l="1"/>
  <c r="J23" i="2"/>
  <c r="I23" i="2"/>
  <c r="D38" i="2" l="1"/>
  <c r="D37" i="2"/>
  <c r="I30" i="2"/>
  <c r="D41" i="2" l="1"/>
  <c r="I37" i="2"/>
  <c r="D42" i="2"/>
  <c r="I38" i="2"/>
  <c r="D43" i="2" l="1"/>
  <c r="I41" i="2"/>
  <c r="D101" i="2"/>
  <c r="I42" i="2"/>
  <c r="D102" i="2"/>
  <c r="D66" i="1" l="1"/>
  <c r="I102" i="2"/>
  <c r="I101" i="2"/>
  <c r="D103" i="2"/>
  <c r="I43" i="2"/>
  <c r="I103" i="2" l="1"/>
  <c r="J66" i="1"/>
  <c r="F23" i="10" l="1"/>
  <c r="I20" i="10" l="1"/>
  <c r="H20" i="10"/>
  <c r="G20" i="10"/>
  <c r="J20" i="10"/>
  <c r="F26" i="10" l="1"/>
  <c r="F20" i="10"/>
  <c r="F24" i="10" s="1"/>
  <c r="H23" i="10" l="1"/>
  <c r="H26" i="10"/>
  <c r="I23" i="10"/>
  <c r="I26" i="10"/>
  <c r="G15" i="10"/>
  <c r="G17" i="10" s="1"/>
  <c r="G24" i="10" s="1"/>
  <c r="F27" i="10"/>
  <c r="F32" i="10"/>
  <c r="F41" i="10"/>
  <c r="G23" i="10"/>
  <c r="G26" i="10"/>
  <c r="J23" i="10" l="1"/>
  <c r="J26" i="10"/>
  <c r="D67" i="27"/>
  <c r="H15" i="10"/>
  <c r="H17" i="10" s="1"/>
  <c r="H24" i="10" s="1"/>
  <c r="G32" i="10"/>
  <c r="E67" i="27" s="1"/>
  <c r="G41" i="10"/>
  <c r="D74" i="27"/>
  <c r="F40" i="10"/>
  <c r="F39" i="10"/>
  <c r="F43" i="10" s="1"/>
  <c r="E66" i="27" l="1"/>
  <c r="E68" i="27"/>
  <c r="I15" i="10"/>
  <c r="I17" i="10" s="1"/>
  <c r="I24" i="10" s="1"/>
  <c r="H32" i="10"/>
  <c r="H41" i="10"/>
  <c r="D77" i="17"/>
  <c r="F45" i="10"/>
  <c r="D90" i="1"/>
  <c r="F44" i="10"/>
  <c r="D65" i="1" s="1"/>
  <c r="D66" i="27"/>
  <c r="D68" i="27"/>
  <c r="E74" i="27"/>
  <c r="G39" i="10"/>
  <c r="G43" i="10" s="1"/>
  <c r="G40" i="10"/>
  <c r="D83" i="17" l="1"/>
  <c r="E46" i="29"/>
  <c r="D70" i="27"/>
  <c r="J15" i="10"/>
  <c r="J17" i="10" s="1"/>
  <c r="J24" i="10" s="1"/>
  <c r="I32" i="10"/>
  <c r="G67" i="27" s="1"/>
  <c r="I41" i="10"/>
  <c r="H40" i="10"/>
  <c r="F74" i="27"/>
  <c r="H39" i="10"/>
  <c r="H43" i="10" s="1"/>
  <c r="G44" i="10"/>
  <c r="E65" i="1" s="1"/>
  <c r="E90" i="1"/>
  <c r="D11" i="1"/>
  <c r="J11" i="1"/>
  <c r="F46" i="29"/>
  <c r="E70" i="27"/>
  <c r="D73" i="27"/>
  <c r="D91" i="1" s="1"/>
  <c r="D38" i="1" s="1"/>
  <c r="D72" i="27"/>
  <c r="D75" i="27" s="1"/>
  <c r="F67" i="27"/>
  <c r="E77" i="17"/>
  <c r="E73" i="27"/>
  <c r="E91" i="1" s="1"/>
  <c r="E72" i="27"/>
  <c r="E75" i="27" s="1"/>
  <c r="D14" i="1"/>
  <c r="D27" i="1"/>
  <c r="D15" i="1"/>
  <c r="D13" i="1"/>
  <c r="D19" i="1"/>
  <c r="D20" i="1"/>
  <c r="D22" i="1"/>
  <c r="D21" i="1"/>
  <c r="D23" i="1"/>
  <c r="D18" i="1"/>
  <c r="D25" i="1"/>
  <c r="D16" i="1"/>
  <c r="D24" i="1"/>
  <c r="D17" i="1"/>
  <c r="D26" i="1"/>
  <c r="J21" i="1"/>
  <c r="J18" i="1"/>
  <c r="J24" i="1"/>
  <c r="J20" i="1"/>
  <c r="J13" i="1"/>
  <c r="J25" i="1"/>
  <c r="J17" i="1"/>
  <c r="J22" i="1"/>
  <c r="J16" i="1"/>
  <c r="J23" i="1"/>
  <c r="J14" i="1"/>
  <c r="J27" i="1"/>
  <c r="J15" i="1"/>
  <c r="J26" i="1"/>
  <c r="J19" i="1"/>
  <c r="D12" i="1"/>
  <c r="J12" i="1"/>
  <c r="G45" i="10" l="1"/>
  <c r="E83" i="17"/>
  <c r="J38" i="1"/>
  <c r="G66" i="27"/>
  <c r="G68" i="27"/>
  <c r="F66" i="27"/>
  <c r="F68" i="27"/>
  <c r="F77" i="17"/>
  <c r="D77" i="27"/>
  <c r="D64" i="17"/>
  <c r="D39" i="1"/>
  <c r="D54" i="1"/>
  <c r="D52" i="1"/>
  <c r="D41" i="1"/>
  <c r="D43" i="1"/>
  <c r="D49" i="1"/>
  <c r="D46" i="1"/>
  <c r="D47" i="1"/>
  <c r="D48" i="1"/>
  <c r="D40" i="1"/>
  <c r="D50" i="1"/>
  <c r="D44" i="1"/>
  <c r="D51" i="1"/>
  <c r="D42" i="1"/>
  <c r="D45" i="1"/>
  <c r="D53" i="1"/>
  <c r="J46" i="1"/>
  <c r="J47" i="1"/>
  <c r="J49" i="1"/>
  <c r="J42" i="1"/>
  <c r="J44" i="1"/>
  <c r="J50" i="1"/>
  <c r="J52" i="1"/>
  <c r="J40" i="1"/>
  <c r="J48" i="1"/>
  <c r="J43" i="1"/>
  <c r="J53" i="1"/>
  <c r="J41" i="1"/>
  <c r="J45" i="1"/>
  <c r="J51" i="1"/>
  <c r="J54" i="1"/>
  <c r="J39" i="1"/>
  <c r="H44" i="10"/>
  <c r="F65" i="1" s="1"/>
  <c r="F90" i="1"/>
  <c r="G74" i="27"/>
  <c r="I40" i="10"/>
  <c r="I39" i="10"/>
  <c r="I43" i="10" s="1"/>
  <c r="E77" i="27"/>
  <c r="E64" i="17"/>
  <c r="E23" i="1"/>
  <c r="E21" i="1"/>
  <c r="E27" i="1"/>
  <c r="E14" i="1"/>
  <c r="E20" i="1"/>
  <c r="E22" i="1"/>
  <c r="E26" i="1"/>
  <c r="E13" i="1"/>
  <c r="E24" i="1"/>
  <c r="E28" i="1"/>
  <c r="E16" i="1"/>
  <c r="E17" i="1"/>
  <c r="E19" i="1"/>
  <c r="E25" i="1"/>
  <c r="E15" i="1"/>
  <c r="E18" i="1"/>
  <c r="E47" i="1"/>
  <c r="E40" i="1"/>
  <c r="E44" i="1"/>
  <c r="E49" i="1"/>
  <c r="E55" i="1"/>
  <c r="E51" i="1"/>
  <c r="E54" i="1"/>
  <c r="E53" i="1"/>
  <c r="E52" i="1"/>
  <c r="E48" i="1"/>
  <c r="E45" i="1"/>
  <c r="E43" i="1"/>
  <c r="E46" i="1"/>
  <c r="E50" i="1"/>
  <c r="E42" i="1"/>
  <c r="E41" i="1"/>
  <c r="E11" i="1"/>
  <c r="E38" i="1"/>
  <c r="J32" i="10"/>
  <c r="J41" i="10"/>
  <c r="E66" i="29"/>
  <c r="I83" i="17"/>
  <c r="F72" i="27" l="1"/>
  <c r="F75" i="27" s="1"/>
  <c r="F77" i="27" s="1"/>
  <c r="H67" i="27"/>
  <c r="H68" i="27" s="1"/>
  <c r="G90" i="1"/>
  <c r="I44" i="10"/>
  <c r="G65" i="1" s="1"/>
  <c r="F70" i="27"/>
  <c r="G46" i="29"/>
  <c r="E67" i="29"/>
  <c r="G73" i="27"/>
  <c r="G91" i="1" s="1"/>
  <c r="G72" i="27"/>
  <c r="G75" i="27" s="1"/>
  <c r="F73" i="27"/>
  <c r="F91" i="1" s="1"/>
  <c r="F38" i="1" s="1"/>
  <c r="H46" i="29"/>
  <c r="G70" i="27"/>
  <c r="H74" i="27"/>
  <c r="J40" i="10"/>
  <c r="J39" i="10"/>
  <c r="J43" i="10" s="1"/>
  <c r="D71" i="17"/>
  <c r="I71" i="17" s="1"/>
  <c r="D67" i="17"/>
  <c r="D68" i="17" s="1"/>
  <c r="D70" i="17" s="1"/>
  <c r="F25" i="1"/>
  <c r="F20" i="1"/>
  <c r="F27" i="1"/>
  <c r="F28" i="1"/>
  <c r="F19" i="1"/>
  <c r="F14" i="1"/>
  <c r="F22" i="1"/>
  <c r="F16" i="1"/>
  <c r="F15" i="1"/>
  <c r="F13" i="1"/>
  <c r="F18" i="1"/>
  <c r="F17" i="1"/>
  <c r="F26" i="1"/>
  <c r="F23" i="1"/>
  <c r="F21" i="1"/>
  <c r="F24" i="1"/>
  <c r="J65" i="1"/>
  <c r="F11" i="1"/>
  <c r="E71" i="17"/>
  <c r="E67" i="17"/>
  <c r="E68" i="17" s="1"/>
  <c r="E70" i="17" s="1"/>
  <c r="H45" i="10"/>
  <c r="F83" i="17"/>
  <c r="F66" i="29"/>
  <c r="G77" i="17"/>
  <c r="F64" i="17" l="1"/>
  <c r="F71" i="17" s="1"/>
  <c r="H66" i="27"/>
  <c r="I45" i="10"/>
  <c r="E85" i="17"/>
  <c r="E87" i="17" s="1"/>
  <c r="E85" i="1" s="1"/>
  <c r="H73" i="27"/>
  <c r="H91" i="1" s="1"/>
  <c r="H72" i="27"/>
  <c r="H75" i="27" s="1"/>
  <c r="F67" i="29"/>
  <c r="I46" i="29"/>
  <c r="H70" i="27"/>
  <c r="G66" i="29"/>
  <c r="I70" i="17"/>
  <c r="D85" i="17"/>
  <c r="F41" i="1"/>
  <c r="F40" i="1"/>
  <c r="F54" i="1"/>
  <c r="F43" i="1"/>
  <c r="F42" i="1"/>
  <c r="F44" i="1"/>
  <c r="F50" i="1"/>
  <c r="F48" i="1"/>
  <c r="F49" i="1"/>
  <c r="F51" i="1"/>
  <c r="F52" i="1"/>
  <c r="F45" i="1"/>
  <c r="F53" i="1"/>
  <c r="F46" i="1"/>
  <c r="F47" i="1"/>
  <c r="F55" i="1"/>
  <c r="G64" i="17"/>
  <c r="G77" i="27"/>
  <c r="H77" i="17"/>
  <c r="G54" i="1"/>
  <c r="G47" i="1"/>
  <c r="G40" i="1"/>
  <c r="G53" i="1"/>
  <c r="G51" i="1"/>
  <c r="G43" i="1"/>
  <c r="G55" i="1"/>
  <c r="G48" i="1"/>
  <c r="G44" i="1"/>
  <c r="G50" i="1"/>
  <c r="G49" i="1"/>
  <c r="G46" i="1"/>
  <c r="G41" i="1"/>
  <c r="G52" i="1"/>
  <c r="G45" i="1"/>
  <c r="G42" i="1"/>
  <c r="G11" i="1"/>
  <c r="G38" i="1"/>
  <c r="G83" i="17"/>
  <c r="J44" i="10"/>
  <c r="H65" i="1" s="1"/>
  <c r="H90" i="1"/>
  <c r="G21" i="1"/>
  <c r="G26" i="1"/>
  <c r="G20" i="1"/>
  <c r="G23" i="1"/>
  <c r="G16" i="1"/>
  <c r="G28" i="1"/>
  <c r="G25" i="1"/>
  <c r="G14" i="1"/>
  <c r="G19" i="1"/>
  <c r="G13" i="1"/>
  <c r="G27" i="1"/>
  <c r="G17" i="1"/>
  <c r="G18" i="1"/>
  <c r="G15" i="1"/>
  <c r="G24" i="1"/>
  <c r="G22" i="1"/>
  <c r="F67" i="17" l="1"/>
  <c r="F68" i="17" s="1"/>
  <c r="F70" i="17" s="1"/>
  <c r="F85" i="17" s="1"/>
  <c r="K48" i="1"/>
  <c r="E84" i="1"/>
  <c r="E30" i="1" s="1"/>
  <c r="K49" i="1"/>
  <c r="K45" i="1"/>
  <c r="F68" i="29"/>
  <c r="F69" i="29" s="1"/>
  <c r="F70" i="29" s="1"/>
  <c r="K54" i="1"/>
  <c r="K47" i="1"/>
  <c r="K44" i="1"/>
  <c r="K53" i="1"/>
  <c r="K50" i="1"/>
  <c r="K42" i="1"/>
  <c r="K51" i="1"/>
  <c r="K46" i="1"/>
  <c r="K43" i="1"/>
  <c r="K40" i="1"/>
  <c r="H83" i="17"/>
  <c r="H66" i="29"/>
  <c r="H77" i="27"/>
  <c r="H64" i="17"/>
  <c r="G71" i="17"/>
  <c r="G67" i="17"/>
  <c r="G68" i="17" s="1"/>
  <c r="G70" i="17" s="1"/>
  <c r="D84" i="1"/>
  <c r="I85" i="17"/>
  <c r="E68" i="29"/>
  <c r="D87" i="17"/>
  <c r="H49" i="1"/>
  <c r="H46" i="1"/>
  <c r="H41" i="1"/>
  <c r="H54" i="1"/>
  <c r="H55" i="1"/>
  <c r="H42" i="1"/>
  <c r="H48" i="1"/>
  <c r="H43" i="1"/>
  <c r="H50" i="1"/>
  <c r="H53" i="1"/>
  <c r="H40" i="1"/>
  <c r="H45" i="1"/>
  <c r="H52" i="1"/>
  <c r="H51" i="1"/>
  <c r="H44" i="1"/>
  <c r="H47" i="1"/>
  <c r="G67" i="29"/>
  <c r="K11" i="1"/>
  <c r="H28" i="1"/>
  <c r="H24" i="1"/>
  <c r="H17" i="1"/>
  <c r="H21" i="1"/>
  <c r="H13" i="1"/>
  <c r="H23" i="1"/>
  <c r="H14" i="1"/>
  <c r="H27" i="1"/>
  <c r="H18" i="1"/>
  <c r="H25" i="1"/>
  <c r="H22" i="1"/>
  <c r="H19" i="1"/>
  <c r="H15" i="1"/>
  <c r="H20" i="1"/>
  <c r="H26" i="1"/>
  <c r="H16" i="1"/>
  <c r="K13" i="1"/>
  <c r="K17" i="1"/>
  <c r="K21" i="1"/>
  <c r="K27" i="1"/>
  <c r="K16" i="1"/>
  <c r="K22" i="1"/>
  <c r="K15" i="1"/>
  <c r="K25" i="1"/>
  <c r="K24" i="1"/>
  <c r="K23" i="1"/>
  <c r="K20" i="1"/>
  <c r="K19" i="1"/>
  <c r="K26" i="1"/>
  <c r="K14" i="1"/>
  <c r="K18" i="1"/>
  <c r="H38" i="1"/>
  <c r="H11" i="1"/>
  <c r="K65" i="1"/>
  <c r="K38" i="1"/>
  <c r="J45" i="10"/>
  <c r="K41" i="1"/>
  <c r="K52" i="1"/>
  <c r="E57" i="1" l="1"/>
  <c r="F49" i="29"/>
  <c r="D30" i="1"/>
  <c r="J84" i="1"/>
  <c r="J30" i="1"/>
  <c r="G85" i="17"/>
  <c r="I66" i="29"/>
  <c r="H67" i="29"/>
  <c r="D85" i="1"/>
  <c r="J57" i="1" s="1"/>
  <c r="I87" i="17"/>
  <c r="E69" i="29"/>
  <c r="E70" i="29" s="1"/>
  <c r="E49" i="29"/>
  <c r="F84" i="1"/>
  <c r="F30" i="1" s="1"/>
  <c r="G68" i="29"/>
  <c r="F87" i="17"/>
  <c r="F85" i="1" s="1"/>
  <c r="H71" i="17"/>
  <c r="J71" i="17" s="1"/>
  <c r="H67" i="17"/>
  <c r="H68" i="17" s="1"/>
  <c r="H70" i="17" s="1"/>
  <c r="J83" i="17"/>
  <c r="F57" i="1" l="1"/>
  <c r="D57" i="1"/>
  <c r="G69" i="29"/>
  <c r="G70" i="29" s="1"/>
  <c r="G49" i="29"/>
  <c r="J85" i="1"/>
  <c r="I67" i="29"/>
  <c r="G84" i="1"/>
  <c r="H68" i="29"/>
  <c r="G87" i="17"/>
  <c r="J70" i="17"/>
  <c r="H85" i="17"/>
  <c r="G30" i="1" l="1"/>
  <c r="H84" i="1"/>
  <c r="K30" i="1" s="1"/>
  <c r="I68" i="29"/>
  <c r="J85" i="17"/>
  <c r="H87" i="17"/>
  <c r="H85" i="1" s="1"/>
  <c r="G85" i="1"/>
  <c r="H69" i="29"/>
  <c r="H70" i="29" s="1"/>
  <c r="H49" i="29"/>
  <c r="I69" i="29" l="1"/>
  <c r="I70" i="29" s="1"/>
  <c r="I49" i="29"/>
  <c r="H30" i="1"/>
  <c r="H57" i="1"/>
  <c r="J87" i="17"/>
  <c r="K57" i="1"/>
  <c r="K85" i="1"/>
  <c r="G57" i="1"/>
  <c r="K84" i="1"/>
  <c r="E30" i="2" l="1"/>
  <c r="E37" i="2" l="1"/>
  <c r="E38" i="2"/>
  <c r="E42" i="2" l="1"/>
  <c r="E41" i="2"/>
  <c r="E43" i="2" l="1"/>
  <c r="E101" i="2"/>
  <c r="E102" i="2"/>
  <c r="E66" i="1" l="1"/>
  <c r="E103" i="2"/>
  <c r="E83" i="1" l="1"/>
  <c r="E12" i="1"/>
  <c r="E29" i="1" s="1"/>
  <c r="E39" i="1"/>
  <c r="E56" i="1" s="1"/>
  <c r="H30" i="2" l="1"/>
  <c r="G30" i="2"/>
  <c r="G37" i="2" l="1"/>
  <c r="G41" i="2" s="1"/>
  <c r="G38" i="2"/>
  <c r="G42" i="2" s="1"/>
  <c r="G102" i="2" s="1"/>
  <c r="G66" i="1" s="1"/>
  <c r="H38" i="2"/>
  <c r="H42" i="2" s="1"/>
  <c r="H102" i="2" s="1"/>
  <c r="H66" i="1" s="1"/>
  <c r="H37" i="2"/>
  <c r="H41" i="2" s="1"/>
  <c r="H101" i="2" l="1"/>
  <c r="H103" i="2" s="1"/>
  <c r="H43" i="2"/>
  <c r="F30" i="2"/>
  <c r="J24" i="2"/>
  <c r="G39" i="1"/>
  <c r="G56" i="1" s="1"/>
  <c r="G83" i="1"/>
  <c r="G12" i="1"/>
  <c r="G29" i="1" s="1"/>
  <c r="H39" i="1"/>
  <c r="H56" i="1" s="1"/>
  <c r="H83" i="1"/>
  <c r="H12" i="1"/>
  <c r="H29" i="1" s="1"/>
  <c r="G101" i="2"/>
  <c r="G103" i="2" s="1"/>
  <c r="G43" i="2"/>
  <c r="F38" i="2" l="1"/>
  <c r="F37" i="2"/>
  <c r="J30" i="2"/>
  <c r="F41" i="2" l="1"/>
  <c r="J37" i="2"/>
  <c r="F42" i="2"/>
  <c r="J38" i="2"/>
  <c r="F102" i="2" l="1"/>
  <c r="J42" i="2"/>
  <c r="F101" i="2"/>
  <c r="F43" i="2"/>
  <c r="J41" i="2"/>
  <c r="J43" i="2" l="1"/>
  <c r="F103" i="2"/>
  <c r="J103" i="2" s="1"/>
  <c r="J101" i="2"/>
  <c r="F66" i="1"/>
  <c r="J102" i="2"/>
  <c r="F39" i="1" l="1"/>
  <c r="F56" i="1" s="1"/>
  <c r="F83" i="1"/>
  <c r="F12" i="1"/>
  <c r="F29" i="1" s="1"/>
  <c r="K12" i="1"/>
  <c r="K66" i="1"/>
  <c r="K39" i="1"/>
  <c r="H23" i="19" l="1"/>
  <c r="D23" i="19"/>
  <c r="D67" i="19" l="1"/>
  <c r="D54" i="19" s="1"/>
  <c r="D82" i="1" s="1"/>
  <c r="D55" i="1" s="1"/>
  <c r="D56" i="1" s="1"/>
  <c r="G23" i="19"/>
  <c r="F23" i="19"/>
  <c r="J82" i="1"/>
  <c r="J83" i="1" s="1"/>
  <c r="J28" i="1"/>
  <c r="J29" i="1" s="1"/>
  <c r="D28" i="1"/>
  <c r="D29" i="1" s="1"/>
  <c r="J55" i="1"/>
  <c r="D83" i="1" l="1"/>
  <c r="K82" i="1"/>
  <c r="K83" i="1" s="1"/>
  <c r="K28" i="1"/>
  <c r="K29" i="1" s="1"/>
  <c r="K55" i="1"/>
  <c r="K56" i="1" s="1"/>
  <c r="J56" i="1"/>
  <c r="E23" i="19"/>
  <c r="I36" i="29" l="1"/>
  <c r="F36" i="29"/>
  <c r="G36" i="29"/>
  <c r="E36" i="29"/>
  <c r="H36" i="29"/>
  <c r="G48" i="29" l="1"/>
  <c r="G50" i="29" s="1"/>
  <c r="G52" i="29" s="1"/>
  <c r="G62" i="29" s="1"/>
  <c r="F86" i="1" s="1"/>
  <c r="G40" i="29"/>
  <c r="G60" i="29" s="1"/>
  <c r="G103" i="4"/>
  <c r="F48" i="29"/>
  <c r="F50" i="29" s="1"/>
  <c r="F52" i="29" s="1"/>
  <c r="F62" i="29" s="1"/>
  <c r="E86" i="1" s="1"/>
  <c r="F103" i="4"/>
  <c r="F40" i="29"/>
  <c r="F60" i="29" s="1"/>
  <c r="H40" i="29"/>
  <c r="H60" i="29" s="1"/>
  <c r="H48" i="29"/>
  <c r="H50" i="29" s="1"/>
  <c r="H52" i="29" s="1"/>
  <c r="H62" i="29" s="1"/>
  <c r="G86" i="1" s="1"/>
  <c r="H103" i="4"/>
  <c r="E40" i="29"/>
  <c r="E60" i="29" s="1"/>
  <c r="E103" i="4"/>
  <c r="E48" i="29"/>
  <c r="E50" i="29" s="1"/>
  <c r="E52" i="29" s="1"/>
  <c r="E62" i="29" s="1"/>
  <c r="D86" i="1" s="1"/>
  <c r="I40" i="29"/>
  <c r="I60" i="29" s="1"/>
  <c r="I48" i="29"/>
  <c r="I50" i="29" s="1"/>
  <c r="I52" i="29" s="1"/>
  <c r="I62" i="29" s="1"/>
  <c r="H86" i="1" s="1"/>
  <c r="I103" i="4"/>
  <c r="F64" i="29" l="1"/>
  <c r="E87" i="1" s="1"/>
  <c r="I64" i="29"/>
  <c r="H87" i="1" s="1"/>
  <c r="H58" i="1" s="1"/>
  <c r="H59" i="1" s="1"/>
  <c r="G64" i="29"/>
  <c r="F87" i="1" s="1"/>
  <c r="H64" i="29"/>
  <c r="G87" i="1" s="1"/>
  <c r="G58" i="1" s="1"/>
  <c r="G59" i="1" s="1"/>
  <c r="G31" i="1"/>
  <c r="G32" i="1" s="1"/>
  <c r="G88" i="1"/>
  <c r="I104" i="4"/>
  <c r="I107" i="4"/>
  <c r="I108" i="4" s="1"/>
  <c r="F104" i="4"/>
  <c r="F107" i="4"/>
  <c r="F108" i="4" s="1"/>
  <c r="E58" i="1"/>
  <c r="E59" i="1" s="1"/>
  <c r="E31" i="1"/>
  <c r="E32" i="1" s="1"/>
  <c r="E88" i="1"/>
  <c r="G107" i="4"/>
  <c r="G108" i="4" s="1"/>
  <c r="G104" i="4"/>
  <c r="H31" i="1"/>
  <c r="H32" i="1" s="1"/>
  <c r="E104" i="4"/>
  <c r="E107" i="4"/>
  <c r="E108" i="4" s="1"/>
  <c r="E64" i="29"/>
  <c r="D87" i="1" s="1"/>
  <c r="J87" i="1" s="1"/>
  <c r="J31" i="1"/>
  <c r="J32" i="1" s="1"/>
  <c r="D31" i="1"/>
  <c r="D32" i="1" s="1"/>
  <c r="J86" i="1"/>
  <c r="K86" i="1"/>
  <c r="K31" i="1"/>
  <c r="K32" i="1" s="1"/>
  <c r="H104" i="4"/>
  <c r="H107" i="4"/>
  <c r="H108" i="4" s="1"/>
  <c r="F31" i="1"/>
  <c r="F32" i="1" s="1"/>
  <c r="F58" i="1"/>
  <c r="F59" i="1" s="1"/>
  <c r="F88" i="1"/>
  <c r="H88" i="1" l="1"/>
  <c r="J88" i="1"/>
  <c r="J58" i="1"/>
  <c r="J59" i="1" s="1"/>
  <c r="D58" i="1"/>
  <c r="D59" i="1" s="1"/>
  <c r="K87" i="1"/>
  <c r="K88" i="1" s="1"/>
  <c r="D88" i="1"/>
  <c r="K58" i="1"/>
  <c r="K5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<sst xmlns="http://schemas.openxmlformats.org/spreadsheetml/2006/main" count="2076" uniqueCount="937">
  <si>
    <t>Regulatory Financial Performance Report</t>
  </si>
  <si>
    <t xml:space="preserve">                           </t>
  </si>
  <si>
    <t>RIIO-2 start date (enter 2022 for 2021-22)</t>
  </si>
  <si>
    <t>Licensee</t>
  </si>
  <si>
    <t>UKPN-LPN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</si>
  <si>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</si>
  <si>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</si>
  <si>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</si>
  <si>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</si>
  <si>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</si>
  <si>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</si>
  <si>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</si>
  <si>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</si>
  <si>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</si>
  <si>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</si>
  <si>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</si>
  <si>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</si>
  <si>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</si>
  <si>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</si>
  <si>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</si>
  <si>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</si>
  <si>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</si>
  <si>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</si>
  <si>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</si>
  <si>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</si>
  <si>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</si>
  <si>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</si>
  <si>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</si>
  <si>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</si>
  <si>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</si>
  <si>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</si>
  <si>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</si>
  <si>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</si>
  <si>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</si>
  <si>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</si>
  <si>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</si>
  <si>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</si>
  <si>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</si>
  <si>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</si>
  <si>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</si>
  <si>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</si>
  <si>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</si>
  <si>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</si>
  <si>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</si>
  <si>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</si>
  <si>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</si>
  <si>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</si>
  <si>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</si>
  <si>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</si>
  <si>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</si>
  <si>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</si>
  <si>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</si>
  <si>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</si>
  <si>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</si>
  <si>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</si>
  <si>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</si>
  <si>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</si>
  <si>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</si>
  <si>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</si>
  <si>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</si>
  <si>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</si>
  <si>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</si>
  <si>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</si>
  <si>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</si>
  <si>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</si>
  <si>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</si>
  <si>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</si>
  <si>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</si>
  <si>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</si>
  <si>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</si>
  <si>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</si>
  <si>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</si>
  <si>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</si>
  <si>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UKPN-SPN</t>
  </si>
  <si>
    <t>SPD</t>
  </si>
  <si>
    <t>SPMW</t>
  </si>
  <si>
    <t>SSEH</t>
  </si>
  <si>
    <t>NGED-WMID</t>
  </si>
  <si>
    <t>NGED-SWALES</t>
  </si>
  <si>
    <t>NGED-SWEST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</si>
  <si>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</si>
  <si>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</si>
  <si>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</si>
  <si>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</si>
  <si>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</si>
  <si>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</si>
  <si>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</si>
  <si>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</si>
  <si>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</si>
  <si>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</si>
  <si>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</si>
  <si>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</si>
  <si>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</si>
  <si>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</si>
  <si>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</si>
  <si>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</si>
  <si>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</si>
  <si>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</si>
  <si>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</si>
  <si>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</si>
  <si>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</si>
  <si>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</si>
  <si>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</si>
  <si>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</si>
  <si>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</si>
  <si>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</si>
  <si>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</si>
  <si>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</si>
  <si>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</si>
  <si>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</si>
  <si>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</si>
  <si>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</si>
  <si>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</si>
  <si>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</si>
  <si>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</si>
  <si>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</si>
  <si>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</si>
  <si>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</si>
  <si>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</si>
  <si>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</si>
  <si>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</si>
  <si>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</si>
  <si>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</si>
  <si>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</si>
  <si>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</si>
  <si>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</si>
  <si>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</si>
  <si>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</si>
  <si>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</si>
  <si>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</si>
  <si>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</si>
  <si>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</si>
  <si>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</si>
  <si>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</si>
  <si>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</si>
  <si>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</si>
  <si>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</si>
  <si>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</si>
  <si>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</si>
  <si>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</si>
  <si>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</si>
  <si>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</si>
  <si>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</si>
  <si>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</si>
  <si>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</si>
  <si>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</si>
  <si>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</si>
  <si>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</si>
  <si>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</si>
  <si>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</si>
  <si>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</si>
  <si>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</si>
  <si>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</si>
  <si>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</si>
  <si>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</si>
  <si>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</si>
  <si>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</si>
  <si>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</si>
  <si>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</si>
  <si>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</si>
  <si>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</si>
  <si>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</si>
  <si>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</si>
  <si>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</si>
  <si>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</si>
  <si>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</si>
  <si>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</si>
  <si>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</si>
  <si>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</si>
  <si>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</si>
  <si>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</si>
  <si>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</si>
  <si>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</si>
  <si>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</si>
  <si>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</si>
  <si>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</si>
  <si>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</si>
  <si>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</si>
  <si>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</si>
  <si>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</si>
  <si>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</si>
  <si>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</si>
  <si>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</si>
  <si>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</si>
  <si>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</si>
  <si>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</si>
  <si>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</si>
  <si>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</si>
  <si>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</si>
  <si>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</si>
  <si>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</si>
  <si>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</si>
  <si>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</si>
  <si>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</si>
  <si>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</si>
  <si>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</si>
  <si>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</si>
  <si>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</si>
  <si>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</si>
  <si>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</si>
  <si>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</si>
  <si>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</si>
  <si>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</si>
  <si>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</si>
  <si>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</si>
  <si>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</si>
  <si>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</si>
  <si>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</si>
  <si>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</si>
  <si>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</si>
  <si>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</si>
  <si>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</si>
  <si>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</si>
  <si>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</si>
  <si>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</si>
  <si>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</si>
  <si>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</si>
  <si>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</si>
  <si>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</si>
  <si>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</si>
  <si>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</si>
  <si>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</si>
  <si>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</si>
  <si>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</si>
  <si>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</si>
  <si>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</si>
  <si>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</si>
  <si>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</si>
  <si>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</si>
  <si>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</si>
  <si>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</si>
  <si>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</si>
  <si>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</si>
  <si>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</si>
  <si>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</si>
  <si>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</si>
  <si>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</si>
  <si>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</si>
  <si>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</si>
  <si>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</si>
  <si>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</si>
  <si>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</si>
  <si>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</si>
  <si>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</si>
  <si>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</si>
  <si>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</si>
  <si>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</si>
  <si>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</si>
  <si>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</si>
  <si>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</si>
  <si>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</si>
  <si>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</si>
  <si>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</si>
  <si>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</si>
  <si>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</si>
  <si>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</si>
  <si>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</si>
  <si>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</si>
  <si>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</si>
  <si>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</si>
  <si>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</si>
  <si>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</si>
  <si>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</si>
  <si>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</si>
  <si>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</si>
  <si>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</si>
  <si>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R7 - RAV</t>
  </si>
  <si>
    <t>R8 - Tax</t>
  </si>
  <si>
    <t>R9 - Corporate Governance</t>
  </si>
  <si>
    <t>R10 - Pensions &amp; other Activities</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</si>
  <si>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</si>
  <si>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</si>
  <si>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</si>
  <si>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</si>
  <si>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</si>
  <si>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</si>
  <si>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</si>
  <si>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</si>
  <si>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</si>
  <si>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</si>
  <si>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</si>
  <si>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</si>
  <si>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</si>
  <si>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</si>
  <si>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</si>
  <si>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</si>
  <si>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</si>
  <si>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</si>
  <si>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</si>
  <si>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</si>
  <si>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</si>
  <si>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</si>
  <si>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</si>
  <si>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</si>
  <si>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</si>
  <si>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</si>
  <si>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</si>
  <si>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</si>
  <si>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</si>
  <si>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</si>
  <si>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</si>
  <si>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</si>
  <si>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</si>
  <si>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</si>
  <si>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</si>
  <si>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</si>
  <si>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</si>
  <si>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</si>
  <si>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</si>
  <si>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</si>
  <si>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</si>
  <si>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</si>
  <si>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</si>
  <si>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</si>
  <si>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</si>
  <si>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</si>
  <si>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</si>
  <si>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</si>
  <si>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</si>
  <si>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</si>
  <si>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</si>
  <si>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</si>
  <si>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</si>
  <si>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</si>
  <si>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</si>
  <si>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</si>
  <si>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</si>
  <si>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</si>
  <si>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</si>
  <si>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</si>
  <si>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</si>
  <si>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</si>
  <si>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</si>
  <si>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</si>
  <si>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</si>
  <si>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</si>
  <si>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</si>
  <si>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</si>
  <si>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</si>
  <si>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</si>
  <si>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</si>
  <si>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</si>
  <si>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</si>
  <si>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</si>
  <si>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</si>
  <si>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</si>
  <si>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</si>
  <si>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</si>
  <si>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</si>
  <si>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</si>
  <si>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</si>
  <si>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</si>
  <si>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</si>
  <si>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</si>
  <si>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</si>
  <si>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</si>
  <si>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</si>
  <si>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</si>
  <si>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</si>
  <si>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</si>
  <si>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</si>
  <si>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</si>
  <si>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</si>
  <si>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</si>
  <si>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</si>
  <si>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</si>
  <si>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</si>
  <si>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</si>
  <si>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</si>
  <si>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</si>
  <si>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</si>
  <si>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</si>
  <si>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</si>
  <si>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</si>
  <si>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</si>
  <si>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</si>
  <si>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</si>
  <si>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</si>
  <si>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</si>
  <si>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</si>
  <si>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</si>
  <si>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</si>
  <si>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</si>
  <si>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</si>
  <si>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</si>
  <si>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</si>
  <si>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</si>
  <si>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</si>
  <si>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</si>
  <si>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</si>
  <si>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</si>
  <si>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</si>
  <si>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</si>
  <si>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</si>
  <si>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</si>
  <si>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</si>
  <si>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</si>
  <si>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</si>
  <si>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</si>
  <si>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</si>
  <si>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</si>
  <si>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</si>
  <si>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</si>
  <si>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</si>
  <si>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</si>
  <si>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</si>
  <si>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</si>
  <si>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</si>
  <si>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</si>
  <si>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</si>
  <si>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</si>
  <si>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</si>
  <si>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</si>
  <si>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</si>
  <si>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</si>
  <si>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</si>
  <si>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</si>
  <si>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</si>
  <si>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</si>
  <si>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</si>
  <si>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</si>
  <si>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</si>
  <si>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</si>
  <si>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</si>
  <si>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</si>
  <si>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</si>
  <si>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</si>
  <si>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</si>
  <si>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</si>
  <si>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</si>
  <si>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</si>
  <si>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</si>
  <si>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</si>
  <si>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</si>
  <si>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</si>
  <si>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</si>
  <si>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</si>
  <si>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</si>
  <si>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</si>
  <si>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</si>
  <si>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</si>
  <si>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</si>
  <si>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</si>
  <si>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</si>
  <si>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</si>
  <si>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</si>
  <si>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</si>
  <si>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</si>
  <si>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</si>
  <si>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</si>
  <si>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</si>
  <si>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</si>
  <si>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</si>
  <si>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</si>
  <si>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</si>
  <si>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</si>
  <si>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</si>
  <si>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</si>
  <si>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</si>
  <si>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</si>
  <si>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</si>
  <si>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</si>
  <si>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</si>
  <si>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</si>
  <si>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</si>
  <si>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</si>
  <si>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</si>
  <si>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</si>
  <si>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</si>
  <si>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</si>
  <si>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</si>
  <si>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</si>
  <si>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</si>
  <si>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</si>
  <si>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</si>
  <si>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</si>
  <si>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</si>
  <si>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</si>
  <si>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</si>
  <si>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</si>
  <si>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</si>
  <si>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</si>
  <si>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</si>
  <si>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</si>
  <si>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</si>
  <si>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</si>
  <si>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</si>
  <si>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</si>
  <si>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</si>
  <si>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</si>
  <si>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</si>
  <si>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</si>
  <si>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</si>
  <si>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</si>
  <si>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</si>
  <si>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</si>
  <si>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</si>
  <si>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</si>
  <si>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</si>
  <si>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</si>
  <si>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</si>
  <si>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</si>
  <si>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</si>
  <si>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</si>
  <si>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</si>
  <si>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</si>
  <si>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</si>
  <si>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</si>
  <si>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</si>
  <si>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</si>
  <si>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</si>
  <si>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</si>
  <si>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</si>
  <si>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</si>
  <si>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</si>
  <si>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</si>
  <si>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</si>
  <si>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</si>
  <si>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</si>
  <si>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</si>
  <si>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</si>
  <si>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</si>
  <si>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</si>
  <si>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</si>
  <si>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</si>
  <si>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</si>
  <si>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</si>
  <si>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</si>
  <si>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</si>
  <si>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</si>
  <si>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</si>
  <si>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</si>
  <si>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</si>
  <si>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</si>
  <si>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</si>
  <si>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</si>
  <si>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</si>
  <si>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</si>
  <si>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</si>
  <si>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</si>
  <si>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</si>
  <si>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</si>
  <si>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</si>
  <si>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</si>
  <si>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</si>
  <si>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</si>
  <si>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</si>
  <si>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</si>
  <si>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</si>
  <si>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</si>
  <si>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</si>
  <si>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</si>
  <si>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</si>
  <si>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</si>
  <si>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</si>
  <si>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</si>
  <si>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</si>
  <si>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</si>
  <si>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</si>
  <si>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</si>
  <si>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</si>
  <si>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</si>
  <si>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</si>
  <si>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</si>
  <si>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</si>
  <si>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</si>
  <si>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</si>
  <si>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</si>
  <si>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</si>
  <si>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</si>
  <si>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</si>
  <si>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</si>
  <si>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</si>
  <si>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</si>
  <si>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</si>
  <si>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</si>
  <si>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</si>
  <si>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</si>
  <si>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</si>
  <si>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</si>
  <si>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</si>
  <si>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</si>
  <si>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</si>
  <si>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</si>
  <si>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</si>
  <si>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</si>
  <si>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</si>
  <si>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</si>
  <si>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</si>
  <si>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</si>
  <si>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</si>
  <si>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</si>
  <si>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</si>
  <si>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</si>
  <si>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</si>
  <si>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</si>
  <si>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</si>
  <si>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</si>
  <si>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</si>
  <si>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</si>
  <si>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</si>
  <si>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</si>
  <si>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</si>
  <si>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</si>
  <si>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</si>
  <si>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</si>
  <si>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</si>
  <si>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</si>
  <si>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</si>
  <si>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</si>
  <si>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</si>
  <si>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</si>
  <si>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</si>
  <si>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</si>
  <si>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</si>
  <si>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</si>
  <si>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</si>
  <si>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</si>
  <si>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</si>
  <si>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</si>
  <si>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Reconciling Items to Totex</t>
  </si>
  <si>
    <t>Total reconciling items not recognised in totex</t>
  </si>
  <si>
    <t>Reconciled Totex</t>
  </si>
  <si>
    <t>PCFM/ RRP reported Totex</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</si>
  <si>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</si>
  <si>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</si>
  <si>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</si>
  <si>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</si>
  <si>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</si>
  <si>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</si>
  <si>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</si>
  <si>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</si>
  <si>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</si>
  <si>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</si>
  <si>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</si>
  <si>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</si>
  <si>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</si>
  <si>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</si>
  <si>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</si>
  <si>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</si>
  <si>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</si>
  <si>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</si>
  <si>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</si>
  <si>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</si>
  <si>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</si>
  <si>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</si>
  <si>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</si>
  <si>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</si>
  <si>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</si>
  <si>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</si>
  <si>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</si>
  <si>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</si>
  <si>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</si>
  <si>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</si>
  <si>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</si>
  <si>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</si>
  <si>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</si>
  <si>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</si>
  <si>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</si>
  <si>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</si>
  <si>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</si>
  <si>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</si>
  <si>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</si>
  <si>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</si>
  <si>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</si>
  <si>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</si>
  <si>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</si>
  <si>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</si>
  <si>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</si>
  <si>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</si>
  <si>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</si>
  <si>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</si>
  <si>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</si>
  <si>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</si>
  <si>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</si>
  <si>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</si>
  <si>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</si>
  <si>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</si>
  <si>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</si>
  <si>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</si>
  <si>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</si>
  <si>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</si>
  <si>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</si>
  <si>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</si>
  <si>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</si>
  <si>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</si>
  <si>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</si>
  <si>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</si>
  <si>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</si>
  <si>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</si>
  <si>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</si>
  <si>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</si>
  <si>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</si>
  <si>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</si>
  <si>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</si>
  <si>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</si>
  <si>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</si>
  <si>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</si>
  <si>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</si>
  <si>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</si>
  <si>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</si>
  <si>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</si>
  <si>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</si>
  <si>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</si>
  <si>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</si>
  <si>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</si>
  <si>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</si>
  <si>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</si>
  <si>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</si>
  <si>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</si>
  <si>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</si>
  <si>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</si>
  <si>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</si>
  <si>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</si>
  <si>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</si>
  <si>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</si>
  <si>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</si>
  <si>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</si>
  <si>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</si>
  <si>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</si>
  <si>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</si>
  <si>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</si>
  <si>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</si>
  <si>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</si>
  <si>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</si>
  <si>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</si>
  <si>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</si>
  <si>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</si>
  <si>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</si>
  <si>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</si>
  <si>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1. [Insert adjustment as necessary]</t>
  </si>
  <si>
    <t>2. [Insert adjustment as necessary]</t>
  </si>
  <si>
    <t>3. [Insert adjustment as necessary]</t>
  </si>
  <si>
    <t>4. [Insert adjustment as necessary]</t>
  </si>
  <si>
    <t>5.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</si>
  <si>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</si>
  <si>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</si>
  <si>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</si>
  <si>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</si>
  <si>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</si>
  <si>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</si>
  <si>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</si>
  <si>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</si>
  <si>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</si>
  <si>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</si>
  <si>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</si>
  <si>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</si>
  <si>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11.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</si>
  <si>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</si>
  <si>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</si>
  <si>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</si>
  <si>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</si>
  <si>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</si>
  <si>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</si>
  <si>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</si>
  <si>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</si>
  <si>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</si>
  <si>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</si>
  <si>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</si>
  <si>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</si>
  <si>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</si>
  <si>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</si>
  <si>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</si>
  <si>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</si>
  <si>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</si>
  <si>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</si>
  <si>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</si>
  <si>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</si>
  <si>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</si>
  <si>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</si>
  <si>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</si>
  <si>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</si>
  <si>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</si>
  <si>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</si>
  <si>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</si>
  <si>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</si>
  <si>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</si>
  <si>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</si>
  <si>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</si>
  <si>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</si>
  <si>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</si>
  <si>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</si>
  <si>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</si>
  <si>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</si>
  <si>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</si>
  <si>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</si>
  <si>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</si>
  <si>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</si>
  <si>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</si>
  <si>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</si>
  <si>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</si>
  <si>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</si>
  <si>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</si>
  <si>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</si>
  <si>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</si>
  <si>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</si>
  <si>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</si>
  <si>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</si>
  <si>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</si>
  <si>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</si>
  <si>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</si>
  <si>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</si>
  <si>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</si>
  <si>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</si>
  <si>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</si>
  <si>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</si>
  <si>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</si>
  <si>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</si>
  <si>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</si>
  <si>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</si>
  <si>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</si>
  <si>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</si>
  <si>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</si>
  <si>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</si>
  <si>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</si>
  <si>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</si>
  <si>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</si>
  <si>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</si>
  <si>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</si>
  <si>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</si>
  <si>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</si>
  <si>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</si>
  <si>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</si>
  <si>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</si>
  <si>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</si>
  <si>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</si>
  <si>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</si>
  <si>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</si>
  <si>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</si>
  <si>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</si>
  <si>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</si>
  <si>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</si>
  <si>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</si>
  <si>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</si>
  <si>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</si>
  <si>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</si>
  <si>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</si>
  <si>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</si>
  <si>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</si>
  <si>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</si>
  <si>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</si>
  <si>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</si>
  <si>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</si>
  <si>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</si>
  <si>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</si>
  <si>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</si>
  <si>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</si>
  <si>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</si>
  <si>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</si>
  <si>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</si>
  <si>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</si>
  <si>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</si>
  <si>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</si>
  <si>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</si>
  <si>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</si>
  <si>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</si>
  <si>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</si>
  <si>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</si>
  <si>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</si>
  <si>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</si>
  <si>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</si>
  <si>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</si>
  <si>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</si>
  <si>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</si>
  <si>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</si>
  <si>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</si>
  <si>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</si>
  <si>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</si>
  <si>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</si>
  <si>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</si>
  <si>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</si>
  <si>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</si>
  <si>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</si>
  <si>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</si>
  <si>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</si>
  <si>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</si>
  <si>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</si>
  <si>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</si>
  <si>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</si>
  <si>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</si>
  <si>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</si>
  <si>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</si>
  <si>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</si>
  <si>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</si>
  <si>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Discounts (premiums) for fixed rate debt</t>
  </si>
  <si>
    <t>R6a - Net Debt input, cell D65</t>
  </si>
  <si>
    <t>Spare adjustment slot in the 'Conversion to Regulatory (RIIO-2) Definition of Net Debt' section replaced with "Discounts (premiums) for fixed rate debt"</t>
  </si>
  <si>
    <t>Phasing of totex across price control period</t>
  </si>
  <si>
    <t>Related party non-operational capex not recognised in the Regulatory Accounts</t>
  </si>
  <si>
    <t>Statutory Non Op Depreciation included in related party transactions that are excluded from the RRP</t>
  </si>
  <si>
    <t>Assessment &amp; Design Income</t>
  </si>
  <si>
    <t>Disallowed CMA appeal costs</t>
  </si>
  <si>
    <t>Adjustment in respect of IFRS 16</t>
  </si>
  <si>
    <t>BHE Oracle Licences which are recognised via monthly recharge in the Regulatory Accounts, not on acquisition as in the Cost and Volumes pack</t>
  </si>
  <si>
    <t>Difference between profit/loss on sale of fixed assets and scrap included in 'non-activity based costs' (which includes related party vehicle disposals but excludes non-price control metering disposals), and cash proceeds (included above), which relates to NPgY disposals only</t>
  </si>
  <si>
    <t>Other small differences</t>
  </si>
  <si>
    <t>value in cell D164 taken from 'C1 - Cost Matrix 2024' worksheet, cell CI86 of CVR pack</t>
  </si>
  <si>
    <t>value in cell D163 taken from 'S2 - Summary of C1s (Real)' worksheet, cell AQ92, of CVR pack</t>
  </si>
  <si>
    <t>Costs outside price control</t>
  </si>
  <si>
    <t>Innovation costs - NIA</t>
  </si>
  <si>
    <t>Pass through costs</t>
  </si>
  <si>
    <t>Other non activity based costs</t>
  </si>
  <si>
    <t>Excluded related party margins</t>
  </si>
  <si>
    <t>Cash proceeds from sales of assets and scrap</t>
  </si>
  <si>
    <t>Innovation costs - NIC</t>
  </si>
  <si>
    <t>Innovation costs - Strategic Innovation Fund</t>
  </si>
  <si>
    <t>Value added services (DRS 10)</t>
  </si>
  <si>
    <t>Income from theft recovery</t>
  </si>
  <si>
    <t>NPg</t>
  </si>
  <si>
    <t>R2 - cell E75</t>
  </si>
  <si>
    <t>changed from ='R3 - Totex - Reconciliation'!D150 to an input cell, as this this data cannot be derived directly from other entries in this pack</t>
  </si>
  <si>
    <t>R2 - cell E78</t>
  </si>
  <si>
    <t>changed from '='R3 - Totex - Reconciliation'!D129+'R3 - Totex - Reconciliation'!D150+E76' to '='R3 - Totex - Reconciliation'!D129+E75+E76' in relation to above change to cell E75</t>
  </si>
  <si>
    <t>Amortisation of deferred revenue related to within price control business</t>
  </si>
  <si>
    <t>R2 - row 70</t>
  </si>
  <si>
    <t>used as an input row (was blank), in order to include amortisation of deferred revenue</t>
  </si>
  <si>
    <t>R2 - cell E82</t>
  </si>
  <si>
    <t>changed from '=E69-E78' t0 '=E69+E70-E78' in relation to the new input row (70) noted above</t>
  </si>
  <si>
    <t>Finance leases (IFRS 16)</t>
  </si>
  <si>
    <t>6. Unamortised costs</t>
  </si>
  <si>
    <t>NPgY's share of non-operational IT capex which is recorded in NPgN's Regulatory Accounts</t>
  </si>
  <si>
    <t>NPgY's share of operational IT capex which is recorded in NPgN's Regulatory Accounts</t>
  </si>
  <si>
    <t>Connections Contributions not treated as revenue</t>
  </si>
  <si>
    <t>Amortisation of customer contributions (IFRS adj)</t>
  </si>
  <si>
    <t>Diversionary works under an obligation - contributions not treated as revenue</t>
  </si>
  <si>
    <t>Other small difference</t>
  </si>
  <si>
    <t>Outside price control</t>
  </si>
  <si>
    <t>It should be noted that the difference in net profit in row 108 above does not represent the net profit from outside price control activities, as there are differences in the basis of both interest and tax inputs: for example:</t>
  </si>
  <si>
    <t>Tax costs in the accounts include deferred taxes and corporation tax relating to prior periods.  These items are not included in 'net profit related to regulated business' in row 107.</t>
  </si>
  <si>
    <t>Difference between RPE allowance assumed in totex forecast and PCFM assumptions (not yet updated by Ofgem for 2024 AIP)</t>
  </si>
  <si>
    <t>Regulatory timing differences (e.g. between recovered revenue and calculated revenue) can cause significant differences between tax costs included in statutory accounts and the adjusted regulatory tax liability from R8, which is used in row 103 as the 'tax related to regulated business'.</t>
  </si>
  <si>
    <t>Payment in lieu of pension contributions</t>
  </si>
  <si>
    <t>Defined contribution</t>
  </si>
  <si>
    <t>LTIP</t>
  </si>
  <si>
    <t>Interest capitalised</t>
  </si>
  <si>
    <t>31/03/2022</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</si>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</sst>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s>
  <fonts count="275">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0"/>
      <color theme="0"/>
      <name val="Verdana"/>
      <family val="2"/>
    </font>
  </fonts>
  <fills count="13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rgb="FF366092"/>
        <bgColor indexed="64"/>
      </patternFill>
    </fill>
    <fill>
      <patternFill patternType="solid">
        <fgColor theme="2"/>
        <bgColor indexed="64"/>
      </patternFill>
    </fill>
    <fill>
      <patternFill patternType="solid">
        <fgColor theme="5" tint="0.59999389629810485"/>
        <bgColor indexed="64"/>
      </patternFill>
    </fill>
  </fills>
  <borders count="1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4">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49"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0" fillId="13" borderId="0" applyNumberFormat="0" applyBorder="0" applyAlignment="0" applyProtection="0"/>
    <xf numFmtId="349" fontId="250" fillId="13" borderId="0" applyNumberFormat="0" applyBorder="0" applyAlignment="0" applyProtection="0"/>
    <xf numFmtId="349" fontId="251" fillId="127" borderId="108" applyNumberFormat="0" applyAlignment="0" applyProtection="0"/>
    <xf numFmtId="349" fontId="251" fillId="127" borderId="108"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2" fillId="0" borderId="0" applyNumberFormat="0" applyFill="0" applyBorder="0" applyAlignment="0" applyProtection="0"/>
    <xf numFmtId="349" fontId="252"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9" applyNumberFormat="0" applyFill="0" applyAlignment="0" applyProtection="0"/>
    <xf numFmtId="349" fontId="125" fillId="0" borderId="109" applyNumberFormat="0" applyFill="0" applyAlignment="0" applyProtection="0"/>
    <xf numFmtId="349" fontId="128" fillId="0" borderId="110" applyNumberFormat="0" applyFill="0" applyAlignment="0" applyProtection="0"/>
    <xf numFmtId="349" fontId="128" fillId="0" borderId="110"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8" applyNumberFormat="0" applyAlignment="0" applyProtection="0"/>
    <xf numFmtId="349" fontId="142" fillId="14" borderId="108" applyNumberFormat="0" applyAlignment="0" applyProtection="0"/>
    <xf numFmtId="349" fontId="145" fillId="34" borderId="0"/>
    <xf numFmtId="349" fontId="118" fillId="0" borderId="111" applyNumberFormat="0" applyFill="0" applyAlignment="0" applyProtection="0"/>
    <xf numFmtId="349" fontId="118" fillId="0" borderId="111"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5" applyBorder="0"/>
    <xf numFmtId="4" fontId="255" fillId="34" borderId="113" applyNumberFormat="0" applyProtection="0">
      <alignment vertical="center"/>
    </xf>
    <xf numFmtId="4" fontId="253" fillId="36" borderId="26"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349" fontId="53" fillId="109" borderId="26"/>
    <xf numFmtId="4" fontId="257" fillId="33" borderId="108"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6"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7" applyNumberFormat="0" applyFill="0" applyAlignment="0" applyProtection="0"/>
    <xf numFmtId="349" fontId="15" fillId="0" borderId="117" applyNumberFormat="0" applyFill="0" applyAlignment="0" applyProtection="0"/>
    <xf numFmtId="349" fontId="258" fillId="0" borderId="0" applyNumberFormat="0" applyFill="0" applyBorder="0" applyAlignment="0" applyProtection="0"/>
    <xf numFmtId="349" fontId="258"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3" applyNumberFormat="0" applyProtection="0">
      <alignment horizontal="left" vertical="top"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5"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251" fillId="127" borderId="108" applyNumberFormat="0" applyAlignment="0" applyProtection="0"/>
    <xf numFmtId="4" fontId="53" fillId="23" borderId="108" applyNumberFormat="0" applyProtection="0">
      <alignment horizontal="right" vertical="center"/>
    </xf>
    <xf numFmtId="4" fontId="53" fillId="24" borderId="108" applyNumberFormat="0" applyProtection="0">
      <alignment horizontal="right" vertical="center"/>
    </xf>
    <xf numFmtId="349" fontId="53" fillId="83" borderId="108" applyNumberFormat="0" applyProtection="0">
      <alignment horizontal="left" vertical="center" indent="1"/>
    </xf>
    <xf numFmtId="214" fontId="64" fillId="0" borderId="28" applyFill="0"/>
    <xf numFmtId="4" fontId="53" fillId="26" borderId="108" applyNumberFormat="0" applyProtection="0">
      <alignment horizontal="right" vertical="center"/>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214" fontId="64" fillId="0" borderId="28" applyFill="0"/>
    <xf numFmtId="349" fontId="28" fillId="0" borderId="0"/>
    <xf numFmtId="349" fontId="53" fillId="30" borderId="113" applyNumberFormat="0" applyProtection="0">
      <alignment horizontal="left" vertical="top"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251" fillId="127"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8" fillId="0" borderId="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5"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251" fillId="127" borderId="108" applyNumberFormat="0" applyAlignment="0" applyProtection="0"/>
    <xf numFmtId="4" fontId="53" fillId="23" borderId="108" applyNumberFormat="0" applyProtection="0">
      <alignment horizontal="right" vertical="center"/>
    </xf>
    <xf numFmtId="4" fontId="53" fillId="24" borderId="108" applyNumberFormat="0" applyProtection="0">
      <alignment horizontal="right" vertical="center"/>
    </xf>
    <xf numFmtId="349" fontId="53" fillId="83" borderId="108" applyNumberFormat="0" applyProtection="0">
      <alignment horizontal="left" vertical="center" indent="1"/>
    </xf>
    <xf numFmtId="214" fontId="64" fillId="0" borderId="28" applyFill="0"/>
    <xf numFmtId="4" fontId="53" fillId="26" borderId="108" applyNumberFormat="0" applyProtection="0">
      <alignment horizontal="right" vertical="center"/>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3" fillId="31" borderId="115" applyBorder="0"/>
    <xf numFmtId="4" fontId="255" fillId="34" borderId="113" applyNumberFormat="0" applyProtection="0">
      <alignment vertical="center"/>
    </xf>
    <xf numFmtId="4" fontId="255" fillId="61" borderId="113" applyNumberFormat="0" applyProtection="0">
      <alignment horizontal="left" vertical="center" indent="1"/>
    </xf>
    <xf numFmtId="349" fontId="255" fillId="34" borderId="113" applyNumberFormat="0" applyProtection="0">
      <alignment horizontal="left" vertical="top" indent="1"/>
    </xf>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53" fillId="32"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 fillId="32" borderId="113" applyNumberFormat="0" applyProtection="0">
      <alignment horizontal="left" vertical="top" indent="1"/>
    </xf>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28" fillId="0" borderId="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349" fontId="93" fillId="31" borderId="115" applyBorder="0"/>
    <xf numFmtId="349" fontId="53" fillId="13" borderId="108" applyNumberFormat="0" applyFont="0" applyAlignment="0" applyProtection="0"/>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255" fillId="19" borderId="113" applyNumberFormat="0" applyProtection="0">
      <alignment horizontal="left" vertical="top" indent="1"/>
    </xf>
    <xf numFmtId="349" fontId="53" fillId="30" borderId="108" applyNumberFormat="0" applyProtection="0">
      <alignment horizontal="left" vertical="center" indent="1"/>
    </xf>
    <xf numFmtId="214" fontId="64" fillId="0" borderId="28" applyFill="0"/>
    <xf numFmtId="349" fontId="251" fillId="127" borderId="108" applyNumberFormat="0" applyAlignment="0" applyProtection="0"/>
    <xf numFmtId="349" fontId="251" fillId="127" borderId="108" applyNumberForma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169" fontId="7" fillId="0" borderId="0" applyFont="0" applyFill="0" applyBorder="0" applyAlignment="0" applyProtection="0"/>
    <xf numFmtId="349" fontId="53" fillId="30" borderId="113" applyNumberFormat="0" applyProtection="0">
      <alignment horizontal="left" vertical="top" indent="1"/>
    </xf>
    <xf numFmtId="169" fontId="6" fillId="0" borderId="0" applyFont="0" applyFill="0" applyBorder="0" applyAlignment="0" applyProtection="0"/>
    <xf numFmtId="349" fontId="93" fillId="31" borderId="115" applyBorder="0"/>
    <xf numFmtId="4" fontId="53" fillId="24" borderId="108" applyNumberFormat="0" applyProtection="0">
      <alignment horizontal="right" vertical="center"/>
    </xf>
    <xf numFmtId="349" fontId="53" fillId="13" borderId="108" applyNumberFormat="0" applyFont="0" applyAlignment="0" applyProtection="0"/>
    <xf numFmtId="4" fontId="53" fillId="19" borderId="114" applyNumberFormat="0" applyProtection="0">
      <alignment horizontal="left" vertical="center" indent="1"/>
    </xf>
    <xf numFmtId="4" fontId="53" fillId="25" borderId="108" applyNumberFormat="0" applyProtection="0">
      <alignment horizontal="right" vertical="center"/>
    </xf>
    <xf numFmtId="349" fontId="53" fillId="61" borderId="108" applyNumberFormat="0" applyProtection="0">
      <alignment horizontal="left" vertical="center" indent="1"/>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34" borderId="113" applyNumberFormat="0" applyProtection="0">
      <alignment vertical="center"/>
    </xf>
    <xf numFmtId="349" fontId="93" fillId="31" borderId="115" applyBorder="0"/>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214" fontId="64" fillId="0" borderId="28" applyFill="0"/>
    <xf numFmtId="349" fontId="53" fillId="83" borderId="108" applyNumberFormat="0" applyProtection="0">
      <alignment horizontal="left" vertical="center" indent="1"/>
    </xf>
    <xf numFmtId="4" fontId="53" fillId="23" borderId="108" applyNumberFormat="0" applyProtection="0">
      <alignment horizontal="right" vertical="center"/>
    </xf>
    <xf numFmtId="349" fontId="251" fillId="127" borderId="108" applyNumberForma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255" fillId="19"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169" fontId="13" fillId="0" borderId="0" applyFont="0" applyFill="0" applyBorder="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3"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4" fontId="53" fillId="0" borderId="108" applyNumberFormat="0" applyProtection="0">
      <alignment horizontal="right" vertical="center"/>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4" fontId="53" fillId="26" borderId="108" applyNumberFormat="0" applyProtection="0">
      <alignment horizontal="right" vertical="center"/>
    </xf>
    <xf numFmtId="214" fontId="64" fillId="0" borderId="28" applyFill="0"/>
    <xf numFmtId="349" fontId="53" fillId="83" borderId="108" applyNumberFormat="0" applyProtection="0">
      <alignment horizontal="left" vertical="center" indent="1"/>
    </xf>
    <xf numFmtId="4" fontId="53" fillId="24" borderId="108" applyNumberFormat="0" applyProtection="0">
      <alignment horizontal="right" vertical="center"/>
    </xf>
    <xf numFmtId="4" fontId="53" fillId="23" borderId="108" applyNumberFormat="0" applyProtection="0">
      <alignment horizontal="right" vertical="center"/>
    </xf>
    <xf numFmtId="349" fontId="251" fillId="127" borderId="108" applyNumberFormat="0" applyAlignment="0" applyProtection="0"/>
    <xf numFmtId="349" fontId="251" fillId="127" borderId="108" applyNumberForma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53" fillId="61" borderId="108" applyNumberFormat="0" applyProtection="0">
      <alignment horizontal="left" vertical="center" indent="1"/>
    </xf>
    <xf numFmtId="4" fontId="53" fillId="19" borderId="108" applyNumberFormat="0" applyProtection="0">
      <alignment horizontal="right" vertical="center"/>
    </xf>
    <xf numFmtId="4" fontId="53" fillId="28" borderId="108" applyNumberFormat="0" applyProtection="0">
      <alignment horizontal="right" vertical="center"/>
    </xf>
    <xf numFmtId="4" fontId="53" fillId="27" borderId="108" applyNumberFormat="0" applyProtection="0">
      <alignment horizontal="right" vertical="center"/>
    </xf>
    <xf numFmtId="4" fontId="53" fillId="25" borderId="108"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84" fillId="127" borderId="112" applyNumberFormat="0" applyAlignment="0" applyProtection="0"/>
    <xf numFmtId="349" fontId="184" fillId="127" borderId="112" applyNumberFormat="0" applyAlignment="0" applyProtection="0"/>
    <xf numFmtId="4" fontId="53" fillId="18" borderId="108" applyNumberFormat="0" applyProtection="0">
      <alignment vertical="center"/>
    </xf>
    <xf numFmtId="4" fontId="253" fillId="45" borderId="108" applyNumberFormat="0" applyProtection="0">
      <alignment vertical="center"/>
    </xf>
    <xf numFmtId="4" fontId="53" fillId="45" borderId="108" applyNumberFormat="0" applyProtection="0">
      <alignment horizontal="left" vertical="center" indent="1"/>
    </xf>
    <xf numFmtId="349" fontId="254" fillId="18" borderId="113" applyNumberFormat="0" applyProtection="0">
      <alignment horizontal="left" vertical="top" indent="1"/>
    </xf>
    <xf numFmtId="4" fontId="53" fillId="64" borderId="108" applyNumberFormat="0" applyProtection="0">
      <alignment horizontal="left" vertical="center" indent="1"/>
    </xf>
    <xf numFmtId="4" fontId="53" fillId="20" borderId="108" applyNumberFormat="0" applyProtection="0">
      <alignment horizontal="right" vertical="center"/>
    </xf>
    <xf numFmtId="4" fontId="53" fillId="130" borderId="108" applyNumberFormat="0" applyProtection="0">
      <alignment horizontal="right" vertical="center"/>
    </xf>
    <xf numFmtId="4" fontId="53" fillId="22" borderId="114" applyNumberFormat="0" applyProtection="0">
      <alignment horizontal="right" vertical="center"/>
    </xf>
    <xf numFmtId="4" fontId="53" fillId="23" borderId="108" applyNumberFormat="0" applyProtection="0">
      <alignment horizontal="right" vertical="center"/>
    </xf>
    <xf numFmtId="4" fontId="53" fillId="24" borderId="108" applyNumberFormat="0" applyProtection="0">
      <alignment horizontal="right" vertical="center"/>
    </xf>
    <xf numFmtId="4" fontId="53" fillId="25" borderId="108" applyNumberFormat="0" applyProtection="0">
      <alignment horizontal="right" vertical="center"/>
    </xf>
    <xf numFmtId="4" fontId="53" fillId="26" borderId="108" applyNumberFormat="0" applyProtection="0">
      <alignment horizontal="right" vertical="center"/>
    </xf>
    <xf numFmtId="4" fontId="53" fillId="27" borderId="108" applyNumberFormat="0" applyProtection="0">
      <alignment horizontal="right" vertical="center"/>
    </xf>
    <xf numFmtId="4" fontId="53" fillId="28" borderId="108" applyNumberFormat="0" applyProtection="0">
      <alignment horizontal="right" vertical="center"/>
    </xf>
    <xf numFmtId="4" fontId="53" fillId="29" borderId="114" applyNumberFormat="0" applyProtection="0">
      <alignment horizontal="left" vertical="center" indent="1"/>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19" borderId="108" applyNumberFormat="0" applyProtection="0">
      <alignment horizontal="right" vertical="center"/>
    </xf>
    <xf numFmtId="4" fontId="53" fillId="30" borderId="114" applyNumberFormat="0" applyProtection="0">
      <alignment horizontal="left" vertical="center" indent="1"/>
    </xf>
    <xf numFmtId="4" fontId="53" fillId="19" borderId="114" applyNumberFormat="0" applyProtection="0">
      <alignment horizontal="left" vertical="center" indent="1"/>
    </xf>
    <xf numFmtId="349" fontId="53" fillId="61" borderId="108"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4" fontId="255" fillId="61" borderId="113" applyNumberFormat="0" applyProtection="0">
      <alignment horizontal="left" vertical="center" indent="1"/>
    </xf>
    <xf numFmtId="214" fontId="64" fillId="0" borderId="28" applyFill="0"/>
    <xf numFmtId="349" fontId="53" fillId="30" borderId="113" applyNumberFormat="0" applyProtection="0">
      <alignment horizontal="left" vertical="top" indent="1"/>
    </xf>
    <xf numFmtId="349" fontId="255" fillId="19" borderId="113" applyNumberFormat="0" applyProtection="0">
      <alignment horizontal="left" vertical="top"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7" borderId="108" applyNumberFormat="0" applyProtection="0">
      <alignment horizontal="right" vertical="center"/>
    </xf>
    <xf numFmtId="349" fontId="53" fillId="19" borderId="113" applyNumberFormat="0" applyProtection="0">
      <alignment horizontal="left" vertical="top" indent="1"/>
    </xf>
    <xf numFmtId="169" fontId="12" fillId="0" borderId="0" applyFont="0" applyFill="0" applyBorder="0" applyAlignment="0" applyProtection="0"/>
    <xf numFmtId="349" fontId="53" fillId="19"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4" fontId="53" fillId="64" borderId="108" applyNumberFormat="0" applyProtection="0">
      <alignment horizontal="left" vertical="center" indent="1"/>
    </xf>
    <xf numFmtId="349" fontId="53" fillId="32" borderId="113" applyNumberFormat="0" applyProtection="0">
      <alignment horizontal="left" vertical="top" indent="1"/>
    </xf>
    <xf numFmtId="349" fontId="15" fillId="0" borderId="117" applyNumberFormat="0" applyFill="0" applyAlignment="0" applyProtection="0"/>
    <xf numFmtId="349" fontId="15" fillId="0" borderId="117" applyNumberFormat="0" applyFill="0" applyAlignment="0" applyProtection="0"/>
    <xf numFmtId="4" fontId="53" fillId="28" borderId="108" applyNumberFormat="0" applyProtection="0">
      <alignment horizontal="right" vertical="center"/>
    </xf>
    <xf numFmtId="349" fontId="53" fillId="30" borderId="113" applyNumberFormat="0" applyProtection="0">
      <alignment horizontal="left" vertical="top" indent="1"/>
    </xf>
    <xf numFmtId="37" fontId="64" fillId="0" borderId="116" applyNumberFormat="0"/>
    <xf numFmtId="349" fontId="53" fillId="19" borderId="113" applyNumberFormat="0" applyProtection="0">
      <alignment horizontal="left" vertical="top" indent="1"/>
    </xf>
    <xf numFmtId="349" fontId="254" fillId="18" borderId="113" applyNumberFormat="0" applyProtection="0">
      <alignment horizontal="left" vertical="top" indent="1"/>
    </xf>
    <xf numFmtId="349" fontId="53" fillId="13" borderId="108" applyNumberFormat="0" applyFont="0" applyAlignment="0" applyProtection="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3" fillId="31" borderId="115" applyBorder="0"/>
    <xf numFmtId="4" fontId="53" fillId="25" borderId="108" applyNumberFormat="0" applyProtection="0">
      <alignment horizontal="righ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0" borderId="108"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4" fontId="53" fillId="27" borderId="108" applyNumberFormat="0" applyProtection="0">
      <alignment horizontal="right" vertical="center"/>
    </xf>
    <xf numFmtId="4" fontId="53" fillId="25" borderId="108" applyNumberFormat="0" applyProtection="0">
      <alignment horizontal="right" vertical="center"/>
    </xf>
    <xf numFmtId="349" fontId="184" fillId="127" borderId="112" applyNumberFormat="0" applyAlignment="0" applyProtection="0"/>
    <xf numFmtId="349" fontId="53" fillId="61" borderId="108" applyNumberFormat="0" applyProtection="0">
      <alignment horizontal="left" vertical="center" indent="1"/>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130" borderId="108" applyNumberFormat="0" applyProtection="0">
      <alignment horizontal="right" vertical="center"/>
    </xf>
    <xf numFmtId="349" fontId="53" fillId="13" borderId="108" applyNumberFormat="0" applyFont="0" applyAlignment="0" applyProtection="0"/>
    <xf numFmtId="4" fontId="53" fillId="22" borderId="114"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4" fontId="53" fillId="20" borderId="108" applyNumberFormat="0" applyProtection="0">
      <alignment horizontal="right" vertical="center"/>
    </xf>
    <xf numFmtId="4" fontId="53" fillId="18" borderId="108" applyNumberFormat="0" applyProtection="0">
      <alignment vertical="center"/>
    </xf>
    <xf numFmtId="4" fontId="53" fillId="24" borderId="108" applyNumberFormat="0" applyProtection="0">
      <alignment horizontal="right" vertical="center"/>
    </xf>
    <xf numFmtId="4" fontId="253" fillId="45" borderId="108" applyNumberFormat="0" applyProtection="0">
      <alignment vertical="center"/>
    </xf>
    <xf numFmtId="169" fontId="12" fillId="0" borderId="0" applyFont="0" applyFill="0" applyBorder="0" applyAlignment="0" applyProtection="0"/>
    <xf numFmtId="349" fontId="142" fillId="14" borderId="108" applyNumberFormat="0" applyAlignment="0" applyProtection="0"/>
    <xf numFmtId="349" fontId="53" fillId="61" borderId="108" applyNumberFormat="0" applyProtection="0">
      <alignment horizontal="left" vertical="center" indent="1"/>
    </xf>
    <xf numFmtId="349" fontId="53" fillId="13" borderId="108" applyNumberFormat="0" applyFont="0" applyAlignment="0" applyProtection="0"/>
    <xf numFmtId="349" fontId="142" fillId="14" borderId="108" applyNumberFormat="0" applyAlignment="0" applyProtection="0"/>
    <xf numFmtId="4" fontId="253" fillId="45" borderId="108" applyNumberFormat="0" applyProtection="0">
      <alignment vertical="center"/>
    </xf>
    <xf numFmtId="169" fontId="12" fillId="0" borderId="0" applyFont="0" applyFill="0" applyBorder="0" applyAlignment="0" applyProtection="0"/>
    <xf numFmtId="4" fontId="53" fillId="19" borderId="108" applyNumberFormat="0" applyProtection="0">
      <alignment horizontal="right" vertical="center"/>
    </xf>
    <xf numFmtId="4" fontId="53" fillId="18" borderId="108" applyNumberFormat="0" applyProtection="0">
      <alignment vertical="center"/>
    </xf>
    <xf numFmtId="4" fontId="53" fillId="18" borderId="108" applyNumberFormat="0" applyProtection="0">
      <alignment vertical="center"/>
    </xf>
    <xf numFmtId="4" fontId="53" fillId="19" borderId="108" applyNumberFormat="0" applyProtection="0">
      <alignment horizontal="right" vertical="center"/>
    </xf>
    <xf numFmtId="4" fontId="53" fillId="23"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4" fontId="53" fillId="130" borderId="108" applyNumberFormat="0" applyProtection="0">
      <alignment horizontal="right" vertical="center"/>
    </xf>
    <xf numFmtId="4" fontId="53" fillId="45" borderId="108" applyNumberFormat="0" applyProtection="0">
      <alignment horizontal="left" vertical="center" indent="1"/>
    </xf>
    <xf numFmtId="349" fontId="53" fillId="32" borderId="108" applyNumberFormat="0" applyProtection="0">
      <alignment horizontal="left" vertical="center" indent="1"/>
    </xf>
    <xf numFmtId="349" fontId="53" fillId="13" borderId="108" applyNumberFormat="0" applyFont="0" applyAlignment="0" applyProtection="0"/>
    <xf numFmtId="349" fontId="93" fillId="31" borderId="115" applyBorder="0"/>
    <xf numFmtId="349" fontId="15" fillId="0" borderId="117" applyNumberFormat="0" applyFill="0" applyAlignment="0" applyProtection="0"/>
    <xf numFmtId="169" fontId="12" fillId="0" borderId="0" applyFont="0" applyFill="0" applyBorder="0" applyAlignment="0" applyProtection="0"/>
    <xf numFmtId="349" fontId="251" fillId="127" borderId="108" applyNumberFormat="0" applyAlignment="0" applyProtection="0"/>
    <xf numFmtId="4" fontId="53" fillId="24" borderId="108" applyNumberFormat="0" applyProtection="0">
      <alignment horizontal="right" vertical="center"/>
    </xf>
    <xf numFmtId="349" fontId="53" fillId="13" borderId="108" applyNumberFormat="0" applyFon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255" fillId="19"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4" fontId="253" fillId="45" borderId="108" applyNumberFormat="0" applyProtection="0">
      <alignment vertical="center"/>
    </xf>
    <xf numFmtId="349" fontId="53" fillId="83" borderId="108" applyNumberFormat="0" applyProtection="0">
      <alignment horizontal="left" vertical="center" indent="1"/>
    </xf>
    <xf numFmtId="37" fontId="64" fillId="0" borderId="116" applyNumberFormat="0"/>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53" fillId="61" borderId="108" applyNumberFormat="0" applyProtection="0">
      <alignment horizontal="left" vertical="center" indent="1"/>
    </xf>
    <xf numFmtId="4" fontId="53" fillId="28" borderId="108" applyNumberFormat="0" applyProtection="0">
      <alignment horizontal="right" vertical="center"/>
    </xf>
    <xf numFmtId="4" fontId="53" fillId="130" borderId="108" applyNumberFormat="0" applyProtection="0">
      <alignment horizontal="right" vertical="center"/>
    </xf>
    <xf numFmtId="4" fontId="53" fillId="64" borderId="108" applyNumberFormat="0" applyProtection="0">
      <alignment horizontal="left" vertical="center" indent="1"/>
    </xf>
    <xf numFmtId="4" fontId="253" fillId="45" borderId="108" applyNumberFormat="0" applyProtection="0">
      <alignment vertical="center"/>
    </xf>
    <xf numFmtId="4" fontId="257" fillId="33" borderId="108" applyNumberFormat="0" applyProtection="0">
      <alignment horizontal="right" vertical="center"/>
    </xf>
    <xf numFmtId="349" fontId="53" fillId="30" borderId="113" applyNumberFormat="0" applyProtection="0">
      <alignment horizontal="left" vertical="top" indent="1"/>
    </xf>
    <xf numFmtId="349" fontId="53" fillId="30" borderId="113" applyNumberFormat="0" applyProtection="0">
      <alignment horizontal="left" vertical="top" indent="1"/>
    </xf>
    <xf numFmtId="169" fontId="12" fillId="0" borderId="0" applyFont="0" applyFill="0" applyBorder="0" applyAlignment="0" applyProtection="0"/>
    <xf numFmtId="4" fontId="53" fillId="64" borderId="108" applyNumberFormat="0" applyProtection="0">
      <alignment horizontal="left" vertical="center" indent="1"/>
    </xf>
    <xf numFmtId="4" fontId="255" fillId="61" borderId="113" applyNumberFormat="0" applyProtection="0">
      <alignment horizontal="left" vertical="center" indent="1"/>
    </xf>
    <xf numFmtId="4" fontId="53" fillId="26" borderId="108" applyNumberFormat="0" applyProtection="0">
      <alignment horizontal="right" vertical="center"/>
    </xf>
    <xf numFmtId="4" fontId="53" fillId="24" borderId="108" applyNumberFormat="0" applyProtection="0">
      <alignment horizontal="right" vertical="center"/>
    </xf>
    <xf numFmtId="349" fontId="251" fillId="127" borderId="108"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3" applyNumberFormat="0" applyProtection="0">
      <alignment horizontal="left" vertical="top" indent="1"/>
    </xf>
    <xf numFmtId="4" fontId="253" fillId="45" borderId="108" applyNumberFormat="0" applyProtection="0">
      <alignment vertical="center"/>
    </xf>
    <xf numFmtId="4" fontId="53" fillId="20" borderId="108" applyNumberFormat="0" applyProtection="0">
      <alignment horizontal="right" vertical="center"/>
    </xf>
    <xf numFmtId="349" fontId="53" fillId="61" borderId="108" applyNumberFormat="0" applyProtection="0">
      <alignment horizontal="left" vertical="center" indent="1"/>
    </xf>
    <xf numFmtId="4" fontId="53" fillId="28" borderId="108" applyNumberFormat="0" applyProtection="0">
      <alignment horizontal="right" vertical="center"/>
    </xf>
    <xf numFmtId="4" fontId="53" fillId="25" borderId="108" applyNumberFormat="0" applyProtection="0">
      <alignment horizontal="right" vertical="center"/>
    </xf>
    <xf numFmtId="4" fontId="53" fillId="130" borderId="108" applyNumberFormat="0" applyProtection="0">
      <alignment horizontal="right" vertical="center"/>
    </xf>
    <xf numFmtId="4" fontId="53" fillId="27" borderId="108" applyNumberFormat="0" applyProtection="0">
      <alignment horizontal="right" vertical="center"/>
    </xf>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08" applyNumberFormat="0" applyProtection="0">
      <alignment horizontal="left" vertical="center"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184" fillId="127" borderId="112" applyNumberFormat="0" applyAlignment="0" applyProtection="0"/>
    <xf numFmtId="4" fontId="53" fillId="19" borderId="108" applyNumberFormat="0" applyProtection="0">
      <alignment horizontal="right" vertical="center"/>
    </xf>
    <xf numFmtId="169" fontId="7" fillId="0" borderId="0" applyFont="0" applyFill="0" applyBorder="0" applyAlignment="0" applyProtection="0"/>
    <xf numFmtId="4" fontId="53" fillId="23" borderId="108" applyNumberFormat="0" applyProtection="0">
      <alignment horizontal="right" vertical="center"/>
    </xf>
    <xf numFmtId="349" fontId="9" fillId="19" borderId="113" applyNumberFormat="0" applyProtection="0">
      <alignment horizontal="left" vertical="top" indent="1"/>
    </xf>
    <xf numFmtId="349" fontId="142" fillId="14" borderId="108" applyNumberFormat="0" applyAlignment="0" applyProtection="0"/>
    <xf numFmtId="349" fontId="15" fillId="0" borderId="117" applyNumberFormat="0" applyFill="0" applyAlignment="0" applyProtection="0"/>
    <xf numFmtId="349" fontId="9" fillId="30" borderId="113" applyNumberFormat="0" applyProtection="0">
      <alignment horizontal="left" vertical="top" indent="1"/>
    </xf>
    <xf numFmtId="4" fontId="253" fillId="50" borderId="108" applyNumberFormat="0" applyProtection="0">
      <alignment horizontal="right" vertical="center"/>
    </xf>
    <xf numFmtId="4" fontId="53" fillId="45" borderId="108" applyNumberFormat="0" applyProtection="0">
      <alignment horizontal="left" vertical="center"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142" fillId="14" borderId="108" applyNumberFormat="0" applyAlignment="0" applyProtection="0"/>
    <xf numFmtId="349" fontId="53" fillId="13" borderId="108" applyNumberFormat="0" applyFont="0" applyAlignment="0" applyProtection="0"/>
    <xf numFmtId="349" fontId="184" fillId="127" borderId="112" applyNumberFormat="0" applyAlignment="0" applyProtection="0"/>
    <xf numFmtId="4" fontId="255" fillId="34" borderId="113" applyNumberFormat="0" applyProtection="0">
      <alignment vertical="center"/>
    </xf>
    <xf numFmtId="349" fontId="53" fillId="32" borderId="113" applyNumberFormat="0" applyProtection="0">
      <alignment horizontal="left" vertical="top" indent="1"/>
    </xf>
    <xf numFmtId="349" fontId="251" fillId="127" borderId="108" applyNumberFormat="0" applyAlignment="0" applyProtection="0"/>
    <xf numFmtId="349" fontId="53" fillId="13" borderId="108" applyNumberFormat="0" applyFont="0" applyAlignment="0" applyProtection="0"/>
    <xf numFmtId="4" fontId="53" fillId="0" borderId="108" applyNumberFormat="0" applyProtection="0">
      <alignment horizontal="right" vertical="center"/>
    </xf>
    <xf numFmtId="349" fontId="53" fillId="31"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142" fillId="14" borderId="108" applyNumberFormat="0" applyAlignment="0" applyProtection="0"/>
    <xf numFmtId="349" fontId="53" fillId="19" borderId="113" applyNumberFormat="0" applyProtection="0">
      <alignment horizontal="left" vertical="top" indent="1"/>
    </xf>
    <xf numFmtId="349" fontId="53" fillId="30" borderId="113" applyNumberFormat="0" applyProtection="0">
      <alignment horizontal="left" vertical="top" indent="1"/>
    </xf>
    <xf numFmtId="349" fontId="53" fillId="30" borderId="108" applyNumberFormat="0" applyProtection="0">
      <alignment horizontal="left" vertical="center" indent="1"/>
    </xf>
    <xf numFmtId="4" fontId="53" fillId="20" borderId="108" applyNumberFormat="0" applyProtection="0">
      <alignment horizontal="right" vertical="center"/>
    </xf>
    <xf numFmtId="4" fontId="53" fillId="0" borderId="108" applyNumberFormat="0" applyProtection="0">
      <alignment horizontal="right" vertical="center"/>
    </xf>
    <xf numFmtId="214" fontId="64" fillId="0" borderId="28" applyFill="0"/>
    <xf numFmtId="349" fontId="53" fillId="13" borderId="108" applyNumberFormat="0" applyFont="0" applyAlignment="0" applyProtection="0"/>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3" borderId="108" applyNumberFormat="0" applyFont="0" applyAlignment="0" applyProtection="0"/>
    <xf numFmtId="4" fontId="53" fillId="24" borderId="108" applyNumberFormat="0" applyProtection="0">
      <alignment horizontal="right" vertical="center"/>
    </xf>
    <xf numFmtId="349" fontId="53" fillId="32" borderId="113" applyNumberFormat="0" applyProtection="0">
      <alignment horizontal="left" vertical="top" indent="1"/>
    </xf>
    <xf numFmtId="4" fontId="53" fillId="64" borderId="108" applyNumberFormat="0" applyProtection="0">
      <alignment horizontal="left" vertical="center" indent="1"/>
    </xf>
    <xf numFmtId="349" fontId="53" fillId="31" borderId="113" applyNumberFormat="0" applyProtection="0">
      <alignment horizontal="left" vertical="top" indent="1"/>
    </xf>
    <xf numFmtId="349" fontId="251" fillId="127" borderId="108" applyNumberFormat="0" applyAlignment="0" applyProtection="0"/>
    <xf numFmtId="4" fontId="255" fillId="61" borderId="113" applyNumberFormat="0" applyProtection="0">
      <alignment horizontal="left" vertical="center" indent="1"/>
    </xf>
    <xf numFmtId="349" fontId="15" fillId="0" borderId="117" applyNumberFormat="0" applyFill="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4" fontId="53" fillId="64" borderId="108" applyNumberFormat="0" applyProtection="0">
      <alignment horizontal="left" vertical="center" indent="1"/>
    </xf>
    <xf numFmtId="349" fontId="251" fillId="127" borderId="108" applyNumberFormat="0" applyAlignment="0" applyProtection="0"/>
    <xf numFmtId="4" fontId="257" fillId="33" borderId="108" applyNumberFormat="0" applyProtection="0">
      <alignment horizontal="right" vertical="center"/>
    </xf>
    <xf numFmtId="349" fontId="93" fillId="31" borderId="115" applyBorder="0"/>
    <xf numFmtId="349" fontId="53" fillId="13" borderId="108" applyNumberFormat="0" applyFont="0" applyAlignment="0" applyProtection="0"/>
    <xf numFmtId="4" fontId="53" fillId="64" borderId="108" applyNumberFormat="0" applyProtection="0">
      <alignment horizontal="left" vertical="center"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13" borderId="108" applyNumberFormat="0" applyFont="0" applyAlignment="0" applyProtection="0"/>
    <xf numFmtId="349" fontId="184" fillId="127" borderId="112" applyNumberFormat="0" applyAlignment="0" applyProtection="0"/>
    <xf numFmtId="4" fontId="53" fillId="20" borderId="108" applyNumberFormat="0" applyProtection="0">
      <alignment horizontal="right" vertical="center"/>
    </xf>
    <xf numFmtId="349" fontId="53" fillId="31" borderId="113" applyNumberFormat="0" applyProtection="0">
      <alignment horizontal="left" vertical="top" indent="1"/>
    </xf>
    <xf numFmtId="349" fontId="93" fillId="31" borderId="115" applyBorder="0"/>
    <xf numFmtId="4" fontId="53" fillId="28" borderId="108" applyNumberFormat="0" applyProtection="0">
      <alignment horizontal="right" vertical="center"/>
    </xf>
    <xf numFmtId="349" fontId="53" fillId="31" borderId="113" applyNumberFormat="0" applyProtection="0">
      <alignment horizontal="left" vertical="top" indent="1"/>
    </xf>
    <xf numFmtId="349" fontId="53" fillId="30" borderId="113" applyNumberFormat="0" applyProtection="0">
      <alignment horizontal="left" vertical="top" indent="1"/>
    </xf>
    <xf numFmtId="4" fontId="53" fillId="26" borderId="108" applyNumberFormat="0" applyProtection="0">
      <alignment horizontal="right" vertical="center"/>
    </xf>
    <xf numFmtId="349" fontId="53" fillId="32" borderId="113" applyNumberFormat="0" applyProtection="0">
      <alignment horizontal="left" vertical="top" indent="1"/>
    </xf>
    <xf numFmtId="349" fontId="9" fillId="32" borderId="113" applyNumberFormat="0" applyProtection="0">
      <alignment horizontal="left" vertical="center" indent="1"/>
    </xf>
    <xf numFmtId="4" fontId="53" fillId="0" borderId="108" applyNumberFormat="0" applyProtection="0">
      <alignment horizontal="right" vertical="center"/>
    </xf>
    <xf numFmtId="349" fontId="53" fillId="19" borderId="113" applyNumberFormat="0" applyProtection="0">
      <alignment horizontal="left" vertical="top" indent="1"/>
    </xf>
    <xf numFmtId="349" fontId="251" fillId="127" borderId="108" applyNumberFormat="0" applyAlignment="0" applyProtection="0"/>
    <xf numFmtId="349" fontId="142" fillId="14" borderId="108" applyNumberFormat="0" applyAlignment="0" applyProtection="0"/>
    <xf numFmtId="4" fontId="53" fillId="45" borderId="108" applyNumberFormat="0" applyProtection="0">
      <alignment horizontal="left" vertical="center" indent="1"/>
    </xf>
    <xf numFmtId="4" fontId="255" fillId="61" borderId="113" applyNumberFormat="0" applyProtection="0">
      <alignment horizontal="left" vertical="center" indent="1"/>
    </xf>
    <xf numFmtId="4" fontId="53" fillId="28" borderId="108" applyNumberFormat="0" applyProtection="0">
      <alignment horizontal="right" vertical="center"/>
    </xf>
    <xf numFmtId="4" fontId="253" fillId="50" borderId="108" applyNumberFormat="0" applyProtection="0">
      <alignment horizontal="right" vertical="center"/>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257" fillId="33" borderId="108" applyNumberFormat="0" applyProtection="0">
      <alignment horizontal="right" vertical="center"/>
    </xf>
    <xf numFmtId="349" fontId="251" fillId="127"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0" borderId="108" applyNumberFormat="0" applyProtection="0">
      <alignment horizontal="right" vertical="center"/>
    </xf>
    <xf numFmtId="169" fontId="12" fillId="0" borderId="0" applyFont="0" applyFill="0" applyBorder="0" applyAlignment="0" applyProtection="0"/>
    <xf numFmtId="349" fontId="53" fillId="13" borderId="108" applyNumberFormat="0" applyFont="0" applyAlignment="0" applyProtection="0"/>
    <xf numFmtId="349" fontId="251" fillId="127" borderId="108" applyNumberFormat="0" applyAlignment="0" applyProtection="0"/>
    <xf numFmtId="349" fontId="255" fillId="34" borderId="113" applyNumberFormat="0" applyProtection="0">
      <alignment horizontal="left" vertical="top" indent="1"/>
    </xf>
    <xf numFmtId="349" fontId="9" fillId="30" borderId="113" applyNumberFormat="0" applyProtection="0">
      <alignment horizontal="left" vertical="center" indent="1"/>
    </xf>
    <xf numFmtId="4" fontId="257" fillId="33" borderId="108" applyNumberFormat="0" applyProtection="0">
      <alignment horizontal="right" vertical="center"/>
    </xf>
    <xf numFmtId="349" fontId="53" fillId="30" borderId="108" applyNumberFormat="0" applyProtection="0">
      <alignment horizontal="left" vertical="center" indent="1"/>
    </xf>
    <xf numFmtId="349" fontId="53" fillId="83" borderId="108" applyNumberFormat="0" applyProtection="0">
      <alignment horizontal="left" vertical="center" indent="1"/>
    </xf>
    <xf numFmtId="4" fontId="53" fillId="20" borderId="108" applyNumberFormat="0" applyProtection="0">
      <alignment horizontal="right" vertical="center"/>
    </xf>
    <xf numFmtId="349" fontId="53" fillId="19" borderId="113" applyNumberFormat="0" applyProtection="0">
      <alignment horizontal="left" vertical="top" indent="1"/>
    </xf>
    <xf numFmtId="349" fontId="53" fillId="83" borderId="108" applyNumberFormat="0" applyProtection="0">
      <alignment horizontal="left" vertical="center" indent="1"/>
    </xf>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49" fontId="53" fillId="13" borderId="108" applyNumberFormat="0" applyFont="0" applyAlignment="0" applyProtection="0"/>
    <xf numFmtId="4" fontId="53" fillId="23" borderId="108" applyNumberFormat="0" applyProtection="0">
      <alignment horizontal="right" vertical="center"/>
    </xf>
    <xf numFmtId="349" fontId="53" fillId="32" borderId="108" applyNumberFormat="0" applyProtection="0">
      <alignment horizontal="left" vertical="center" indent="1"/>
    </xf>
    <xf numFmtId="349" fontId="53" fillId="30" borderId="113" applyNumberFormat="0" applyProtection="0">
      <alignment horizontal="left" vertical="top" indent="1"/>
    </xf>
    <xf numFmtId="4" fontId="53" fillId="19" borderId="108" applyNumberFormat="0" applyProtection="0">
      <alignment horizontal="right" vertical="center"/>
    </xf>
    <xf numFmtId="349" fontId="255" fillId="34"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1" borderId="113" applyNumberFormat="0" applyProtection="0">
      <alignment horizontal="left" vertical="top" indent="1"/>
    </xf>
    <xf numFmtId="349" fontId="53" fillId="30" borderId="113" applyNumberFormat="0" applyProtection="0">
      <alignment horizontal="left" vertical="top" indent="1"/>
    </xf>
    <xf numFmtId="37" fontId="64" fillId="0" borderId="116" applyNumberFormat="0"/>
    <xf numFmtId="349" fontId="53" fillId="19"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251" fillId="127" borderId="108" applyNumberFormat="0" applyAlignment="0" applyProtection="0"/>
    <xf numFmtId="349" fontId="53" fillId="31" borderId="113" applyNumberFormat="0" applyProtection="0">
      <alignment horizontal="left" vertical="top" indent="1"/>
    </xf>
    <xf numFmtId="349" fontId="53" fillId="32" borderId="113" applyNumberFormat="0" applyProtection="0">
      <alignment horizontal="left" vertical="top" indent="1"/>
    </xf>
    <xf numFmtId="4" fontId="255" fillId="34" borderId="113" applyNumberFormat="0" applyProtection="0">
      <alignment vertical="center"/>
    </xf>
    <xf numFmtId="37" fontId="64" fillId="0" borderId="116" applyNumberFormat="0"/>
    <xf numFmtId="349" fontId="53" fillId="13" borderId="108" applyNumberFormat="0" applyFont="0" applyAlignment="0" applyProtection="0"/>
    <xf numFmtId="349" fontId="53" fillId="31" borderId="113" applyNumberFormat="0" applyProtection="0">
      <alignment horizontal="left" vertical="top" indent="1"/>
    </xf>
    <xf numFmtId="4" fontId="53" fillId="20" borderId="108" applyNumberFormat="0" applyProtection="0">
      <alignment horizontal="right" vertical="center"/>
    </xf>
    <xf numFmtId="349" fontId="142" fillId="14" borderId="108" applyNumberFormat="0" applyAlignment="0" applyProtection="0"/>
    <xf numFmtId="4" fontId="253" fillId="50" borderId="108" applyNumberFormat="0" applyProtection="0">
      <alignment horizontal="right" vertical="center"/>
    </xf>
    <xf numFmtId="349" fontId="53" fillId="31" borderId="113" applyNumberFormat="0" applyProtection="0">
      <alignment horizontal="left" vertical="top" indent="1"/>
    </xf>
    <xf numFmtId="4" fontId="256" fillId="35" borderId="114"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4" fontId="53" fillId="30" borderId="114" applyNumberFormat="0" applyProtection="0">
      <alignment horizontal="left" vertical="center" indent="1"/>
    </xf>
    <xf numFmtId="349" fontId="255" fillId="34" borderId="113" applyNumberFormat="0" applyProtection="0">
      <alignment horizontal="left" vertical="top" indent="1"/>
    </xf>
    <xf numFmtId="349" fontId="53" fillId="31" borderId="113" applyNumberFormat="0" applyProtection="0">
      <alignment horizontal="left" vertical="top" indent="1"/>
    </xf>
    <xf numFmtId="4" fontId="53" fillId="18" borderId="108" applyNumberFormat="0" applyProtection="0">
      <alignment vertical="center"/>
    </xf>
    <xf numFmtId="4" fontId="53" fillId="64" borderId="108" applyNumberFormat="0" applyProtection="0">
      <alignment horizontal="left" vertical="center" indent="1"/>
    </xf>
    <xf numFmtId="4" fontId="9" fillId="31" borderId="114" applyNumberFormat="0" applyProtection="0">
      <alignment horizontal="left" vertical="center" indent="1"/>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0" borderId="113" applyNumberFormat="0" applyProtection="0">
      <alignment horizontal="left" vertical="top" indent="1"/>
    </xf>
    <xf numFmtId="4" fontId="255" fillId="61" borderId="113" applyNumberFormat="0" applyProtection="0">
      <alignment horizontal="left" vertical="center" indent="1"/>
    </xf>
    <xf numFmtId="4" fontId="253" fillId="50" borderId="108" applyNumberFormat="0" applyProtection="0">
      <alignment horizontal="right" vertical="center"/>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4" fontId="257" fillId="33" borderId="108" applyNumberFormat="0" applyProtection="0">
      <alignment horizontal="right" vertical="center"/>
    </xf>
    <xf numFmtId="37" fontId="64" fillId="0" borderId="116" applyNumberFormat="0"/>
    <xf numFmtId="349" fontId="15" fillId="0" borderId="117" applyNumberFormat="0" applyFill="0" applyAlignment="0" applyProtection="0"/>
    <xf numFmtId="349" fontId="15" fillId="0" borderId="117" applyNumberFormat="0" applyFill="0" applyAlignment="0" applyProtection="0"/>
    <xf numFmtId="349" fontId="53" fillId="30" borderId="108" applyNumberFormat="0" applyProtection="0">
      <alignment horizontal="left" vertical="center" indent="1"/>
    </xf>
    <xf numFmtId="349" fontId="251" fillId="127" borderId="108" applyNumberFormat="0" applyAlignment="0" applyProtection="0"/>
    <xf numFmtId="349" fontId="251" fillId="127" borderId="108" applyNumberFormat="0" applyAlignment="0" applyProtection="0"/>
    <xf numFmtId="214" fontId="64" fillId="0" borderId="28" applyFill="0"/>
    <xf numFmtId="4" fontId="53" fillId="0" borderId="108" applyNumberFormat="0" applyProtection="0">
      <alignment horizontal="right" vertical="center"/>
    </xf>
    <xf numFmtId="4" fontId="253" fillId="50" borderId="108" applyNumberFormat="0" applyProtection="0">
      <alignment horizontal="right" vertical="center"/>
    </xf>
    <xf numFmtId="4" fontId="53" fillId="64" borderId="108" applyNumberFormat="0" applyProtection="0">
      <alignment horizontal="left" vertical="center" indent="1"/>
    </xf>
    <xf numFmtId="4" fontId="257" fillId="33" borderId="108" applyNumberFormat="0" applyProtection="0">
      <alignment horizontal="right" vertical="center"/>
    </xf>
    <xf numFmtId="349" fontId="53" fillId="32" borderId="113" applyNumberFormat="0" applyProtection="0">
      <alignment horizontal="left" vertical="top" indent="1"/>
    </xf>
    <xf numFmtId="4" fontId="255" fillId="61" borderId="113" applyNumberFormat="0" applyProtection="0">
      <alignment horizontal="left" vertical="center" indent="1"/>
    </xf>
    <xf numFmtId="4" fontId="255" fillId="34" borderId="113" applyNumberFormat="0" applyProtection="0">
      <alignment vertical="center"/>
    </xf>
    <xf numFmtId="349" fontId="9" fillId="32" borderId="113" applyNumberFormat="0" applyProtection="0">
      <alignment horizontal="left" vertical="top" indent="1"/>
    </xf>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349" fontId="53" fillId="30" borderId="113" applyNumberFormat="0" applyProtection="0">
      <alignment horizontal="left" vertical="top" indent="1"/>
    </xf>
    <xf numFmtId="349" fontId="53" fillId="19" borderId="113" applyNumberFormat="0" applyProtection="0">
      <alignment horizontal="left" vertical="top" indent="1"/>
    </xf>
    <xf numFmtId="349" fontId="251" fillId="127" borderId="108" applyNumberFormat="0" applyAlignment="0" applyProtection="0"/>
    <xf numFmtId="349" fontId="15" fillId="0" borderId="117" applyNumberFormat="0" applyFill="0" applyAlignment="0" applyProtection="0"/>
    <xf numFmtId="349" fontId="15" fillId="0" borderId="117" applyNumberFormat="0" applyFill="0" applyAlignment="0" applyProtection="0"/>
    <xf numFmtId="37" fontId="64" fillId="0" borderId="116" applyNumberFormat="0"/>
    <xf numFmtId="4" fontId="257" fillId="33" borderId="108" applyNumberFormat="0" applyProtection="0">
      <alignment horizontal="right" vertical="center"/>
    </xf>
    <xf numFmtId="4" fontId="256" fillId="35" borderId="114" applyNumberFormat="0" applyProtection="0">
      <alignment horizontal="left" vertical="center" indent="1"/>
    </xf>
    <xf numFmtId="349" fontId="255" fillId="19" borderId="113" applyNumberFormat="0" applyProtection="0">
      <alignment horizontal="left" vertical="top" indent="1"/>
    </xf>
    <xf numFmtId="4" fontId="53" fillId="64" borderId="108" applyNumberFormat="0" applyProtection="0">
      <alignment horizontal="left" vertical="center" indent="1"/>
    </xf>
    <xf numFmtId="4" fontId="253" fillId="50" borderId="108" applyNumberFormat="0" applyProtection="0">
      <alignment horizontal="right" vertical="center"/>
    </xf>
    <xf numFmtId="4" fontId="53" fillId="0" borderId="108" applyNumberFormat="0" applyProtection="0">
      <alignment horizontal="right" vertical="center"/>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9"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center"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83" borderId="108"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19" borderId="114" applyNumberFormat="0" applyProtection="0">
      <alignment horizontal="left" vertical="center" indent="1"/>
    </xf>
    <xf numFmtId="4" fontId="53" fillId="30" borderId="114" applyNumberFormat="0" applyProtection="0">
      <alignment horizontal="left" vertical="center" indent="1"/>
    </xf>
    <xf numFmtId="4" fontId="53" fillId="19" borderId="108" applyNumberFormat="0" applyProtection="0">
      <alignment horizontal="right" vertical="center"/>
    </xf>
    <xf numFmtId="4" fontId="9" fillId="31" borderId="114" applyNumberFormat="0" applyProtection="0">
      <alignment horizontal="left" vertical="center" indent="1"/>
    </xf>
    <xf numFmtId="4" fontId="9" fillId="31" borderId="114" applyNumberFormat="0" applyProtection="0">
      <alignment horizontal="left" vertical="center" indent="1"/>
    </xf>
    <xf numFmtId="4" fontId="53" fillId="29" borderId="114" applyNumberFormat="0" applyProtection="0">
      <alignment horizontal="left" vertical="center" indent="1"/>
    </xf>
    <xf numFmtId="4" fontId="53" fillId="28" borderId="108" applyNumberFormat="0" applyProtection="0">
      <alignment horizontal="right" vertical="center"/>
    </xf>
    <xf numFmtId="4" fontId="53" fillId="27" borderId="108" applyNumberFormat="0" applyProtection="0">
      <alignment horizontal="right" vertical="center"/>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22" borderId="114" applyNumberFormat="0" applyProtection="0">
      <alignment horizontal="right" vertical="center"/>
    </xf>
    <xf numFmtId="4" fontId="53" fillId="130" borderId="108" applyNumberFormat="0" applyProtection="0">
      <alignment horizontal="right" vertical="center"/>
    </xf>
    <xf numFmtId="4" fontId="53" fillId="20" borderId="108" applyNumberFormat="0" applyProtection="0">
      <alignment horizontal="right" vertical="center"/>
    </xf>
    <xf numFmtId="4" fontId="53" fillId="64" borderId="108" applyNumberFormat="0" applyProtection="0">
      <alignment horizontal="left" vertical="center" indent="1"/>
    </xf>
    <xf numFmtId="349" fontId="254" fillId="18" borderId="113" applyNumberFormat="0" applyProtection="0">
      <alignment horizontal="left" vertical="top" indent="1"/>
    </xf>
    <xf numFmtId="4" fontId="53" fillId="45" borderId="108" applyNumberFormat="0" applyProtection="0">
      <alignment horizontal="left" vertical="center" indent="1"/>
    </xf>
    <xf numFmtId="4" fontId="253" fillId="45" borderId="108" applyNumberFormat="0" applyProtection="0">
      <alignment vertical="center"/>
    </xf>
    <xf numFmtId="4" fontId="53" fillId="18" borderId="108" applyNumberFormat="0" applyProtection="0">
      <alignment vertical="center"/>
    </xf>
    <xf numFmtId="349" fontId="184" fillId="127" borderId="112" applyNumberFormat="0" applyAlignment="0" applyProtection="0"/>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142" fillId="14" borderId="108" applyNumberFormat="0" applyAlignment="0" applyProtection="0"/>
    <xf numFmtId="349" fontId="251" fillId="127" borderId="108" applyNumberFormat="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349" fontId="93" fillId="31" borderId="115" applyBorder="0"/>
    <xf numFmtId="349" fontId="53" fillId="13" borderId="108" applyNumberFormat="0" applyFont="0" applyAlignment="0" applyProtection="0"/>
    <xf numFmtId="349" fontId="53" fillId="30" borderId="113" applyNumberFormat="0" applyProtection="0">
      <alignment horizontal="left" vertical="top"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9" fillId="30" borderId="113" applyNumberFormat="0" applyProtection="0">
      <alignment horizontal="left" vertical="top" indent="1"/>
    </xf>
    <xf numFmtId="4" fontId="253" fillId="50" borderId="108" applyNumberFormat="0" applyProtection="0">
      <alignment horizontal="right" vertical="center"/>
    </xf>
    <xf numFmtId="4" fontId="53" fillId="64" borderId="108" applyNumberFormat="0" applyProtection="0">
      <alignment horizontal="left" vertical="center" indent="1"/>
    </xf>
    <xf numFmtId="349" fontId="255" fillId="19" borderId="113" applyNumberFormat="0" applyProtection="0">
      <alignment horizontal="left" vertical="top" indent="1"/>
    </xf>
    <xf numFmtId="4" fontId="256" fillId="35" borderId="114" applyNumberFormat="0" applyProtection="0">
      <alignment horizontal="left" vertical="center" indent="1"/>
    </xf>
    <xf numFmtId="37" fontId="64" fillId="0" borderId="116" applyNumberFormat="0"/>
    <xf numFmtId="349" fontId="15" fillId="0" borderId="117" applyNumberFormat="0" applyFill="0" applyAlignment="0" applyProtection="0"/>
    <xf numFmtId="349" fontId="53" fillId="32" borderId="113" applyNumberFormat="0" applyProtection="0">
      <alignment horizontal="left" vertical="top" indent="1"/>
    </xf>
    <xf numFmtId="349" fontId="53" fillId="19" borderId="113" applyNumberFormat="0" applyProtection="0">
      <alignment horizontal="left" vertical="top" indent="1"/>
    </xf>
    <xf numFmtId="4" fontId="53" fillId="23" borderId="108" applyNumberFormat="0" applyProtection="0">
      <alignment horizontal="right" vertical="center"/>
    </xf>
    <xf numFmtId="349" fontId="53" fillId="83"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349" fontId="53" fillId="30" borderId="108" applyNumberFormat="0" applyProtection="0">
      <alignment horizontal="left" vertical="center" indent="1"/>
    </xf>
    <xf numFmtId="214" fontId="64" fillId="0" borderId="28" applyFill="0"/>
    <xf numFmtId="4" fontId="255" fillId="34" borderId="113" applyNumberFormat="0" applyProtection="0">
      <alignment vertical="center"/>
    </xf>
    <xf numFmtId="349" fontId="15" fillId="0" borderId="117" applyNumberFormat="0" applyFill="0" applyAlignment="0" applyProtection="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349" fontId="53" fillId="61" borderId="108" applyNumberFormat="0" applyProtection="0">
      <alignment horizontal="left" vertical="center" indent="1"/>
    </xf>
    <xf numFmtId="4" fontId="53" fillId="26" borderId="108" applyNumberFormat="0" applyProtection="0">
      <alignment horizontal="right" vertical="center"/>
    </xf>
    <xf numFmtId="4" fontId="53" fillId="25" borderId="108" applyNumberFormat="0" applyProtection="0">
      <alignment horizontal="right" vertical="center"/>
    </xf>
    <xf numFmtId="4" fontId="53" fillId="24" borderId="108" applyNumberFormat="0" applyProtection="0">
      <alignment horizontal="right" vertical="center"/>
    </xf>
    <xf numFmtId="4" fontId="53" fillId="23" borderId="108" applyNumberFormat="0" applyProtection="0">
      <alignment horizontal="right" vertical="center"/>
    </xf>
    <xf numFmtId="4" fontId="53" fillId="18" borderId="108" applyNumberFormat="0" applyProtection="0">
      <alignmen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9" fillId="30" borderId="113" applyNumberFormat="0" applyProtection="0">
      <alignment horizontal="left" vertical="center" indent="1"/>
    </xf>
    <xf numFmtId="349" fontId="251" fillId="127" borderId="108" applyNumberFormat="0" applyAlignment="0" applyProtection="0"/>
    <xf numFmtId="349" fontId="53" fillId="30" borderId="108" applyNumberFormat="0" applyProtection="0">
      <alignment horizontal="left" vertical="center" indent="1"/>
    </xf>
    <xf numFmtId="349" fontId="53" fillId="32" borderId="113" applyNumberFormat="0" applyProtection="0">
      <alignment horizontal="left" vertical="top" indent="1"/>
    </xf>
    <xf numFmtId="37" fontId="64" fillId="0" borderId="116" applyNumberFormat="0"/>
    <xf numFmtId="349" fontId="53" fillId="13" borderId="108" applyNumberFormat="0" applyFont="0" applyAlignment="0" applyProtection="0"/>
    <xf numFmtId="4" fontId="256" fillId="35" borderId="114" applyNumberFormat="0" applyProtection="0">
      <alignment horizontal="left" vertical="center" indent="1"/>
    </xf>
    <xf numFmtId="169" fontId="12" fillId="0" borderId="0" applyFont="0" applyFill="0" applyBorder="0" applyAlignment="0" applyProtection="0"/>
    <xf numFmtId="349" fontId="53" fillId="13" borderId="108" applyNumberFormat="0" applyFont="0" applyAlignment="0" applyProtection="0"/>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4" fontId="255" fillId="34" borderId="113" applyNumberFormat="0" applyProtection="0">
      <alignment vertical="center"/>
    </xf>
    <xf numFmtId="4" fontId="257" fillId="33" borderId="108" applyNumberFormat="0" applyProtection="0">
      <alignment horizontal="right" vertical="center"/>
    </xf>
    <xf numFmtId="349" fontId="15" fillId="0" borderId="117" applyNumberFormat="0" applyFill="0" applyAlignment="0" applyProtection="0"/>
    <xf numFmtId="349" fontId="9" fillId="30" borderId="113" applyNumberFormat="0" applyProtection="0">
      <alignment horizontal="left" vertical="top" indent="1"/>
    </xf>
    <xf numFmtId="4" fontId="53" fillId="26" borderId="108" applyNumberFormat="0" applyProtection="0">
      <alignment horizontal="right" vertical="center"/>
    </xf>
    <xf numFmtId="4" fontId="257" fillId="33" borderId="108" applyNumberFormat="0" applyProtection="0">
      <alignment horizontal="right" vertical="center"/>
    </xf>
    <xf numFmtId="349" fontId="15" fillId="0" borderId="117" applyNumberFormat="0" applyFill="0" applyAlignment="0" applyProtection="0"/>
    <xf numFmtId="349" fontId="9" fillId="30" borderId="113" applyNumberFormat="0" applyProtection="0">
      <alignment horizontal="left" vertical="center" indent="1"/>
    </xf>
    <xf numFmtId="349" fontId="53" fillId="19" borderId="113" applyNumberFormat="0" applyProtection="0">
      <alignment horizontal="left" vertical="top" indent="1"/>
    </xf>
    <xf numFmtId="349" fontId="251" fillId="127" borderId="108" applyNumberFormat="0" applyAlignment="0" applyProtection="0"/>
    <xf numFmtId="4" fontId="53" fillId="24" borderId="108" applyNumberFormat="0" applyProtection="0">
      <alignment horizontal="right" vertical="center"/>
    </xf>
    <xf numFmtId="214" fontId="64" fillId="0" borderId="28" applyFill="0"/>
    <xf numFmtId="349" fontId="53" fillId="13" borderId="108" applyNumberFormat="0" applyFont="0" applyAlignment="0" applyProtection="0"/>
    <xf numFmtId="349" fontId="255" fillId="34" borderId="113" applyNumberFormat="0" applyProtection="0">
      <alignment horizontal="left" vertical="top" indent="1"/>
    </xf>
    <xf numFmtId="4" fontId="255" fillId="34" borderId="113" applyNumberFormat="0" applyProtection="0">
      <alignment vertical="center"/>
    </xf>
    <xf numFmtId="349" fontId="53" fillId="13" borderId="108" applyNumberFormat="0" applyFont="0" applyAlignment="0" applyProtection="0"/>
    <xf numFmtId="349" fontId="53" fillId="13" borderId="108" applyNumberFormat="0" applyFont="0" applyAlignment="0" applyProtection="0"/>
    <xf numFmtId="349" fontId="254" fillId="18" borderId="113" applyNumberFormat="0" applyProtection="0">
      <alignment horizontal="left" vertical="top" indent="1"/>
    </xf>
    <xf numFmtId="4" fontId="53" fillId="25" borderId="108" applyNumberFormat="0" applyProtection="0">
      <alignment horizontal="right" vertical="center"/>
    </xf>
    <xf numFmtId="4" fontId="53" fillId="19" borderId="108" applyNumberFormat="0" applyProtection="0">
      <alignment horizontal="right" vertical="center"/>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142" fillId="14" borderId="108" applyNumberFormat="0" applyAlignment="0" applyProtection="0"/>
    <xf numFmtId="37" fontId="64" fillId="0" borderId="116" applyNumberFormat="0"/>
    <xf numFmtId="349" fontId="53" fillId="30" borderId="108"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4" fontId="53" fillId="29" borderId="114" applyNumberFormat="0" applyProtection="0">
      <alignment horizontal="left" vertical="center" indent="1"/>
    </xf>
    <xf numFmtId="349" fontId="142" fillId="14" borderId="108" applyNumberFormat="0" applyAlignment="0" applyProtection="0"/>
    <xf numFmtId="4" fontId="253" fillId="50" borderId="108" applyNumberFormat="0" applyProtection="0">
      <alignment horizontal="right" vertical="center"/>
    </xf>
    <xf numFmtId="4" fontId="255" fillId="34" borderId="113" applyNumberFormat="0" applyProtection="0">
      <alignment vertical="center"/>
    </xf>
    <xf numFmtId="349" fontId="53" fillId="30" borderId="113" applyNumberFormat="0" applyProtection="0">
      <alignment horizontal="left" vertical="top" indent="1"/>
    </xf>
    <xf numFmtId="4" fontId="255" fillId="61" borderId="113" applyNumberFormat="0" applyProtection="0">
      <alignment horizontal="left" vertical="center" indent="1"/>
    </xf>
    <xf numFmtId="349" fontId="9" fillId="30" borderId="113" applyNumberFormat="0" applyProtection="0">
      <alignment horizontal="left" vertical="center" indent="1"/>
    </xf>
    <xf numFmtId="4" fontId="53" fillId="64" borderId="108" applyNumberFormat="0" applyProtection="0">
      <alignment horizontal="left" vertical="center" indent="1"/>
    </xf>
    <xf numFmtId="349" fontId="53" fillId="32" borderId="108"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4" fontId="53" fillId="27" borderId="108" applyNumberFormat="0" applyProtection="0">
      <alignment horizontal="right" vertical="center"/>
    </xf>
    <xf numFmtId="4" fontId="53" fillId="30" borderId="114" applyNumberFormat="0" applyProtection="0">
      <alignment horizontal="left" vertical="center" indent="1"/>
    </xf>
    <xf numFmtId="4" fontId="53" fillId="64" borderId="108" applyNumberFormat="0" applyProtection="0">
      <alignment horizontal="left" vertical="center" indent="1"/>
    </xf>
    <xf numFmtId="4" fontId="53" fillId="27" borderId="108" applyNumberFormat="0" applyProtection="0">
      <alignment horizontal="right" vertical="center"/>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25" borderId="108" applyNumberFormat="0" applyProtection="0">
      <alignment horizontal="right" vertical="center"/>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169" fontId="12" fillId="0" borderId="0" applyFont="0" applyFill="0" applyBorder="0" applyAlignment="0" applyProtection="0"/>
    <xf numFmtId="4" fontId="53" fillId="23" borderId="108" applyNumberFormat="0" applyProtection="0">
      <alignment horizontal="right" vertical="center"/>
    </xf>
    <xf numFmtId="169" fontId="12" fillId="0" borderId="0" applyFont="0" applyFill="0" applyBorder="0" applyAlignment="0" applyProtection="0"/>
    <xf numFmtId="349" fontId="53" fillId="13" borderId="108" applyNumberFormat="0" applyFont="0" applyAlignment="0" applyProtection="0"/>
    <xf numFmtId="4" fontId="53" fillId="18" borderId="108" applyNumberFormat="0" applyProtection="0">
      <alignment vertical="center"/>
    </xf>
    <xf numFmtId="4" fontId="253" fillId="45" borderId="108" applyNumberFormat="0" applyProtection="0">
      <alignment vertical="center"/>
    </xf>
    <xf numFmtId="4" fontId="53" fillId="25" borderId="108" applyNumberFormat="0" applyProtection="0">
      <alignment horizontal="right" vertical="center"/>
    </xf>
    <xf numFmtId="4" fontId="53" fillId="29" borderId="114" applyNumberFormat="0" applyProtection="0">
      <alignment horizontal="left" vertical="center" indent="1"/>
    </xf>
    <xf numFmtId="4" fontId="53" fillId="130" borderId="108" applyNumberFormat="0" applyProtection="0">
      <alignment horizontal="right" vertical="center"/>
    </xf>
    <xf numFmtId="4" fontId="53" fillId="19" borderId="108" applyNumberFormat="0" applyProtection="0">
      <alignment horizontal="right" vertical="center"/>
    </xf>
    <xf numFmtId="349" fontId="53" fillId="61" borderId="108" applyNumberFormat="0" applyProtection="0">
      <alignment horizontal="left" vertical="center" indent="1"/>
    </xf>
    <xf numFmtId="214" fontId="64" fillId="0" borderId="28" applyFill="0"/>
    <xf numFmtId="349" fontId="53" fillId="32" borderId="113" applyNumberFormat="0" applyProtection="0">
      <alignment horizontal="left" vertical="top" indent="1"/>
    </xf>
    <xf numFmtId="4" fontId="53" fillId="19"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184" fillId="127" borderId="112" applyNumberFormat="0" applyAlignment="0" applyProtection="0"/>
    <xf numFmtId="349" fontId="53" fillId="61" borderId="108"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center" indent="1"/>
    </xf>
    <xf numFmtId="4" fontId="53" fillId="27" borderId="108" applyNumberFormat="0" applyProtection="0">
      <alignment horizontal="right" vertical="center"/>
    </xf>
    <xf numFmtId="349" fontId="254" fillId="18" borderId="113" applyNumberFormat="0" applyProtection="0">
      <alignment horizontal="left" vertical="top" indent="1"/>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130" borderId="108" applyNumberFormat="0" applyProtection="0">
      <alignment horizontal="right" vertical="center"/>
    </xf>
    <xf numFmtId="4" fontId="53" fillId="45" borderId="108" applyNumberFormat="0" applyProtection="0">
      <alignment horizontal="left" vertical="center" indent="1"/>
    </xf>
    <xf numFmtId="4" fontId="9" fillId="31" borderId="114" applyNumberFormat="0" applyProtection="0">
      <alignment horizontal="left" vertical="center" indent="1"/>
    </xf>
    <xf numFmtId="4" fontId="53" fillId="25" borderId="108" applyNumberFormat="0" applyProtection="0">
      <alignment horizontal="right" vertical="center"/>
    </xf>
    <xf numFmtId="4" fontId="53" fillId="23" borderId="108" applyNumberFormat="0" applyProtection="0">
      <alignment horizontal="right" vertical="center"/>
    </xf>
    <xf numFmtId="349" fontId="53" fillId="31"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9" fillId="30" borderId="113" applyNumberFormat="0" applyProtection="0">
      <alignment horizontal="left" vertical="top" indent="1"/>
    </xf>
    <xf numFmtId="349" fontId="53" fillId="30" borderId="113" applyNumberFormat="0" applyProtection="0">
      <alignment horizontal="left" vertical="top" indent="1"/>
    </xf>
    <xf numFmtId="4" fontId="53" fillId="0" borderId="108" applyNumberFormat="0" applyProtection="0">
      <alignment horizontal="right" vertical="center"/>
    </xf>
    <xf numFmtId="349" fontId="15" fillId="0" borderId="117" applyNumberFormat="0" applyFill="0" applyAlignment="0" applyProtection="0"/>
    <xf numFmtId="349" fontId="93" fillId="31" borderId="115" applyBorder="0"/>
    <xf numFmtId="349" fontId="53" fillId="30" borderId="113" applyNumberFormat="0" applyProtection="0">
      <alignment horizontal="left" vertical="top" indent="1"/>
    </xf>
    <xf numFmtId="349" fontId="53" fillId="30" borderId="113" applyNumberFormat="0" applyProtection="0">
      <alignment horizontal="left" vertical="top" indent="1"/>
    </xf>
    <xf numFmtId="214" fontId="64" fillId="0" borderId="28" applyFill="0"/>
    <xf numFmtId="349" fontId="53" fillId="30" borderId="113" applyNumberFormat="0" applyProtection="0">
      <alignment horizontal="left" vertical="top" indent="1"/>
    </xf>
    <xf numFmtId="4" fontId="53" fillId="27" borderId="108" applyNumberFormat="0" applyProtection="0">
      <alignment horizontal="right" vertical="center"/>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142" fillId="14" borderId="108" applyNumberFormat="0" applyAlignment="0" applyProtection="0"/>
    <xf numFmtId="349" fontId="9" fillId="32" borderId="113" applyNumberFormat="0" applyProtection="0">
      <alignment horizontal="left" vertical="top" indent="1"/>
    </xf>
    <xf numFmtId="349" fontId="142" fillId="14" borderId="108" applyNumberFormat="0" applyAlignment="0" applyProtection="0"/>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53" fillId="19" borderId="114" applyNumberFormat="0" applyProtection="0">
      <alignment horizontal="left" vertical="center" indent="1"/>
    </xf>
    <xf numFmtId="4" fontId="53" fillId="27" borderId="108" applyNumberFormat="0" applyProtection="0">
      <alignment horizontal="right" vertical="center"/>
    </xf>
    <xf numFmtId="4" fontId="53" fillId="20"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32" borderId="108" applyNumberFormat="0" applyProtection="0">
      <alignment horizontal="left" vertical="center" indent="1"/>
    </xf>
    <xf numFmtId="4" fontId="53" fillId="130" borderId="108" applyNumberFormat="0" applyProtection="0">
      <alignment horizontal="right" vertical="center"/>
    </xf>
    <xf numFmtId="349" fontId="53" fillId="30" borderId="113" applyNumberFormat="0" applyProtection="0">
      <alignment horizontal="left" vertical="top" indent="1"/>
    </xf>
    <xf numFmtId="4" fontId="53" fillId="30" borderId="114" applyNumberFormat="0" applyProtection="0">
      <alignment horizontal="left" vertical="center" indent="1"/>
    </xf>
    <xf numFmtId="349" fontId="53"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255" fillId="19" borderId="113" applyNumberFormat="0" applyProtection="0">
      <alignment horizontal="left" vertical="top" indent="1"/>
    </xf>
    <xf numFmtId="4" fontId="53" fillId="0" borderId="108" applyNumberFormat="0" applyProtection="0">
      <alignment horizontal="right" vertical="center"/>
    </xf>
    <xf numFmtId="349" fontId="9" fillId="32" borderId="113" applyNumberFormat="0" applyProtection="0">
      <alignment horizontal="left" vertical="top" indent="1"/>
    </xf>
    <xf numFmtId="37" fontId="64" fillId="0" borderId="116" applyNumberFormat="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19" borderId="114" applyNumberFormat="0" applyProtection="0">
      <alignment horizontal="left" vertical="center" indent="1"/>
    </xf>
    <xf numFmtId="4" fontId="53" fillId="22" borderId="114" applyNumberFormat="0" applyProtection="0">
      <alignment horizontal="right" vertical="center"/>
    </xf>
    <xf numFmtId="349" fontId="251" fillId="127" borderId="108" applyNumberFormat="0" applyAlignment="0" applyProtection="0"/>
    <xf numFmtId="349" fontId="53" fillId="32"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19" borderId="113" applyNumberFormat="0" applyProtection="0">
      <alignment horizontal="left" vertical="top" indent="1"/>
    </xf>
    <xf numFmtId="349" fontId="9" fillId="31" borderId="113" applyNumberFormat="0" applyProtection="0">
      <alignment horizontal="left" vertical="center" indent="1"/>
    </xf>
    <xf numFmtId="349" fontId="9" fillId="19" borderId="113" applyNumberFormat="0" applyProtection="0">
      <alignment horizontal="left" vertical="top" indent="1"/>
    </xf>
    <xf numFmtId="349" fontId="53" fillId="31" borderId="113" applyNumberFormat="0" applyProtection="0">
      <alignment horizontal="left" vertical="top" indent="1"/>
    </xf>
    <xf numFmtId="4" fontId="53" fillId="0" borderId="108" applyNumberFormat="0" applyProtection="0">
      <alignment horizontal="right" vertical="center"/>
    </xf>
    <xf numFmtId="349" fontId="53" fillId="13" borderId="108" applyNumberFormat="0" applyFont="0" applyAlignment="0" applyProtection="0"/>
    <xf numFmtId="4" fontId="53" fillId="23" borderId="108" applyNumberFormat="0" applyProtection="0">
      <alignment horizontal="right" vertical="center"/>
    </xf>
    <xf numFmtId="4" fontId="53" fillId="23" borderId="108" applyNumberFormat="0" applyProtection="0">
      <alignment horizontal="right" vertical="center"/>
    </xf>
    <xf numFmtId="4" fontId="53" fillId="28" borderId="108" applyNumberFormat="0" applyProtection="0">
      <alignment horizontal="right" vertical="center"/>
    </xf>
    <xf numFmtId="349" fontId="53" fillId="61"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7" fillId="33" borderId="108" applyNumberFormat="0" applyProtection="0">
      <alignment horizontal="right" vertical="center"/>
    </xf>
    <xf numFmtId="4" fontId="53" fillId="64" borderId="108" applyNumberFormat="0" applyProtection="0">
      <alignment horizontal="left" vertical="center"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19" borderId="108" applyNumberFormat="0" applyProtection="0">
      <alignment horizontal="right" vertical="center"/>
    </xf>
    <xf numFmtId="4" fontId="53" fillId="20" borderId="108" applyNumberFormat="0" applyProtection="0">
      <alignment horizontal="right" vertical="center"/>
    </xf>
    <xf numFmtId="349" fontId="53" fillId="30" borderId="113" applyNumberFormat="0" applyProtection="0">
      <alignment horizontal="left" vertical="top" indent="1"/>
    </xf>
    <xf numFmtId="349" fontId="53" fillId="31"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4" fontId="53" fillId="64" borderId="108" applyNumberFormat="0" applyProtection="0">
      <alignment horizontal="left" vertical="center" indent="1"/>
    </xf>
    <xf numFmtId="349" fontId="53" fillId="30" borderId="113" applyNumberFormat="0" applyProtection="0">
      <alignment horizontal="left" vertical="top" indent="1"/>
    </xf>
    <xf numFmtId="349" fontId="53" fillId="19" borderId="113" applyNumberFormat="0" applyProtection="0">
      <alignment horizontal="left" vertical="top" indent="1"/>
    </xf>
    <xf numFmtId="4" fontId="9" fillId="31" borderId="114" applyNumberFormat="0" applyProtection="0">
      <alignment horizontal="left" vertical="center" indent="1"/>
    </xf>
    <xf numFmtId="349" fontId="184" fillId="127" borderId="112" applyNumberFormat="0" applyAlignment="0" applyProtection="0"/>
    <xf numFmtId="169" fontId="12" fillId="0" borderId="0" applyFont="0" applyFill="0" applyBorder="0" applyAlignment="0" applyProtection="0"/>
    <xf numFmtId="349" fontId="254" fillId="18" borderId="113" applyNumberFormat="0" applyProtection="0">
      <alignment horizontal="left" vertical="top" indent="1"/>
    </xf>
    <xf numFmtId="4" fontId="53" fillId="27" borderId="108" applyNumberFormat="0" applyProtection="0">
      <alignment horizontal="right" vertical="center"/>
    </xf>
    <xf numFmtId="4" fontId="53" fillId="19" borderId="114" applyNumberFormat="0" applyProtection="0">
      <alignment horizontal="left" vertical="center" indent="1"/>
    </xf>
    <xf numFmtId="349" fontId="9" fillId="31" borderId="113" applyNumberFormat="0" applyProtection="0">
      <alignment horizontal="left" vertical="top" indent="1"/>
    </xf>
    <xf numFmtId="349" fontId="53" fillId="32" borderId="113" applyNumberFormat="0" applyProtection="0">
      <alignment horizontal="left" vertical="top" indent="1"/>
    </xf>
    <xf numFmtId="349" fontId="53" fillId="32" borderId="108" applyNumberFormat="0" applyProtection="0">
      <alignment horizontal="left" vertical="center"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130" borderId="108" applyNumberFormat="0" applyProtection="0">
      <alignment horizontal="right" vertical="center"/>
    </xf>
    <xf numFmtId="349" fontId="53" fillId="13" borderId="108" applyNumberFormat="0" applyFont="0" applyAlignment="0" applyProtection="0"/>
    <xf numFmtId="349" fontId="251" fillId="127" borderId="108" applyNumberForma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19" borderId="108" applyNumberFormat="0" applyProtection="0">
      <alignment horizontal="right" vertical="center"/>
    </xf>
    <xf numFmtId="4" fontId="53" fillId="130" borderId="108" applyNumberFormat="0" applyProtection="0">
      <alignment horizontal="right" vertical="center"/>
    </xf>
    <xf numFmtId="349" fontId="53" fillId="31" borderId="113" applyNumberFormat="0" applyProtection="0">
      <alignment horizontal="left" vertical="top" indent="1"/>
    </xf>
    <xf numFmtId="4" fontId="53" fillId="29" borderId="114" applyNumberFormat="0" applyProtection="0">
      <alignment horizontal="left" vertical="center" indent="1"/>
    </xf>
    <xf numFmtId="4" fontId="53" fillId="26" borderId="108" applyNumberFormat="0" applyProtection="0">
      <alignment horizontal="right" vertical="center"/>
    </xf>
    <xf numFmtId="349" fontId="53" fillId="31"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4" fontId="255" fillId="34" borderId="113" applyNumberFormat="0" applyProtection="0">
      <alignment vertical="center"/>
    </xf>
    <xf numFmtId="4" fontId="256" fillId="35" borderId="114" applyNumberFormat="0" applyProtection="0">
      <alignment horizontal="left" vertical="center" indent="1"/>
    </xf>
    <xf numFmtId="349" fontId="53" fillId="19" borderId="113" applyNumberFormat="0" applyProtection="0">
      <alignment horizontal="left" vertical="top" indent="1"/>
    </xf>
    <xf numFmtId="4" fontId="53" fillId="64" borderId="108" applyNumberFormat="0" applyProtection="0">
      <alignment horizontal="left" vertical="center" indent="1"/>
    </xf>
    <xf numFmtId="349" fontId="53" fillId="30" borderId="113" applyNumberFormat="0" applyProtection="0">
      <alignment horizontal="left" vertical="top" indent="1"/>
    </xf>
    <xf numFmtId="4" fontId="53" fillId="0" borderId="108" applyNumberFormat="0" applyProtection="0">
      <alignment horizontal="right" vertical="center"/>
    </xf>
    <xf numFmtId="349" fontId="251" fillId="127" borderId="108" applyNumberFormat="0" applyAlignment="0" applyProtection="0"/>
    <xf numFmtId="349" fontId="53" fillId="13" borderId="108" applyNumberFormat="0" applyFont="0" applyAlignment="0" applyProtection="0"/>
    <xf numFmtId="4" fontId="9" fillId="31" borderId="114" applyNumberFormat="0" applyProtection="0">
      <alignment horizontal="left" vertical="center"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15" fillId="0" borderId="117" applyNumberFormat="0" applyFill="0" applyAlignment="0" applyProtection="0"/>
    <xf numFmtId="349" fontId="53" fillId="13" borderId="108" applyNumberFormat="0" applyFont="0" applyAlignment="0" applyProtection="0"/>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23" borderId="108" applyNumberFormat="0" applyProtection="0">
      <alignment horizontal="right" vertical="center"/>
    </xf>
    <xf numFmtId="4" fontId="253" fillId="45" borderId="108" applyNumberFormat="0" applyProtection="0">
      <alignment vertical="center"/>
    </xf>
    <xf numFmtId="349" fontId="53" fillId="13" borderId="108" applyNumberFormat="0" applyFont="0" applyAlignment="0" applyProtection="0"/>
    <xf numFmtId="349" fontId="251" fillId="127" borderId="108" applyNumberFormat="0" applyAlignment="0" applyProtection="0"/>
    <xf numFmtId="4" fontId="53" fillId="130" borderId="108" applyNumberFormat="0" applyProtection="0">
      <alignment horizontal="right" vertical="center"/>
    </xf>
    <xf numFmtId="349" fontId="53" fillId="13" borderId="108" applyNumberFormat="0" applyFont="0" applyAlignment="0" applyProtection="0"/>
    <xf numFmtId="349" fontId="255" fillId="34" borderId="113" applyNumberFormat="0" applyProtection="0">
      <alignment horizontal="left" vertical="top" indent="1"/>
    </xf>
    <xf numFmtId="4" fontId="53" fillId="25" borderId="108" applyNumberFormat="0" applyProtection="0">
      <alignment horizontal="right" vertical="center"/>
    </xf>
    <xf numFmtId="4" fontId="9" fillId="31" borderId="114" applyNumberFormat="0" applyProtection="0">
      <alignment horizontal="left" vertical="center"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9" fillId="30" borderId="113"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15" fillId="0" borderId="117" applyNumberFormat="0" applyFill="0" applyAlignment="0" applyProtection="0"/>
    <xf numFmtId="349" fontId="53" fillId="32" borderId="113" applyNumberFormat="0" applyProtection="0">
      <alignment horizontal="left" vertical="top" indent="1"/>
    </xf>
    <xf numFmtId="349" fontId="251" fillId="127" borderId="108" applyNumberFormat="0" applyAlignment="0" applyProtection="0"/>
    <xf numFmtId="4" fontId="53" fillId="0" borderId="108" applyNumberFormat="0" applyProtection="0">
      <alignment horizontal="right" vertical="center"/>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83" borderId="108" applyNumberFormat="0" applyProtection="0">
      <alignment horizontal="left" vertical="center" indent="1"/>
    </xf>
    <xf numFmtId="349" fontId="9" fillId="31" borderId="113" applyNumberFormat="0" applyProtection="0">
      <alignment horizontal="left" vertical="top" indent="1"/>
    </xf>
    <xf numFmtId="4" fontId="53" fillId="28" borderId="108" applyNumberFormat="0" applyProtection="0">
      <alignment horizontal="right" vertical="center"/>
    </xf>
    <xf numFmtId="349" fontId="254" fillId="18" borderId="113" applyNumberFormat="0" applyProtection="0">
      <alignment horizontal="left" vertical="top" indent="1"/>
    </xf>
    <xf numFmtId="349" fontId="93" fillId="31" borderId="115" applyBorder="0"/>
    <xf numFmtId="349" fontId="53" fillId="32" borderId="108" applyNumberFormat="0" applyProtection="0">
      <alignment horizontal="left" vertical="center" indent="1"/>
    </xf>
    <xf numFmtId="349" fontId="142" fillId="14" borderId="108" applyNumberFormat="0" applyAlignment="0" applyProtection="0"/>
    <xf numFmtId="4" fontId="255" fillId="61" borderId="113" applyNumberFormat="0" applyProtection="0">
      <alignment horizontal="left" vertical="center" indent="1"/>
    </xf>
    <xf numFmtId="349" fontId="53" fillId="13" borderId="108" applyNumberFormat="0" applyFont="0" applyAlignment="0" applyProtection="0"/>
    <xf numFmtId="349" fontId="251" fillId="127" borderId="108" applyNumberFormat="0" applyAlignment="0" applyProtection="0"/>
    <xf numFmtId="4" fontId="53" fillId="45" borderId="108" applyNumberFormat="0" applyProtection="0">
      <alignment horizontal="left" vertical="center" indent="1"/>
    </xf>
    <xf numFmtId="4" fontId="53" fillId="24" borderId="108" applyNumberFormat="0" applyProtection="0">
      <alignment horizontal="right" vertical="center"/>
    </xf>
    <xf numFmtId="4" fontId="9" fillId="31" borderId="114" applyNumberFormat="0" applyProtection="0">
      <alignment horizontal="left" vertical="center" indent="1"/>
    </xf>
    <xf numFmtId="349" fontId="9"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08" applyNumberFormat="0" applyProtection="0">
      <alignment horizontal="left" vertical="center" indent="1"/>
    </xf>
    <xf numFmtId="349" fontId="15" fillId="0" borderId="117" applyNumberFormat="0" applyFill="0" applyAlignment="0" applyProtection="0"/>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64" borderId="108" applyNumberFormat="0" applyProtection="0">
      <alignment horizontal="left" vertical="center" indent="1"/>
    </xf>
    <xf numFmtId="349" fontId="255" fillId="34" borderId="113" applyNumberFormat="0" applyProtection="0">
      <alignment horizontal="left" vertical="top" indent="1"/>
    </xf>
    <xf numFmtId="349" fontId="53" fillId="30" borderId="113" applyNumberFormat="0" applyProtection="0">
      <alignment horizontal="left" vertical="top" indent="1"/>
    </xf>
    <xf numFmtId="349" fontId="255" fillId="34" borderId="113" applyNumberFormat="0" applyProtection="0">
      <alignment horizontal="left" vertical="top" indent="1"/>
    </xf>
    <xf numFmtId="349" fontId="53" fillId="32" borderId="113" applyNumberFormat="0" applyProtection="0">
      <alignment horizontal="left" vertical="top" indent="1"/>
    </xf>
    <xf numFmtId="349" fontId="255" fillId="19" borderId="113" applyNumberFormat="0" applyProtection="0">
      <alignment horizontal="left" vertical="top" indent="1"/>
    </xf>
    <xf numFmtId="349" fontId="93" fillId="31" borderId="115" applyBorder="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214" fontId="64" fillId="0" borderId="28" applyFill="0"/>
    <xf numFmtId="4" fontId="53" fillId="28" borderId="108" applyNumberFormat="0" applyProtection="0">
      <alignment horizontal="right" vertical="center"/>
    </xf>
    <xf numFmtId="4" fontId="53" fillId="19" borderId="114" applyNumberFormat="0" applyProtection="0">
      <alignment horizontal="left" vertical="center" indent="1"/>
    </xf>
    <xf numFmtId="4" fontId="53" fillId="20" borderId="108" applyNumberFormat="0" applyProtection="0">
      <alignment horizontal="right" vertical="center"/>
    </xf>
    <xf numFmtId="4" fontId="53" fillId="28" borderId="108" applyNumberFormat="0" applyProtection="0">
      <alignment horizontal="right" vertical="center"/>
    </xf>
    <xf numFmtId="349" fontId="184" fillId="127" borderId="112"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4" fontId="53" fillId="18" borderId="108" applyNumberFormat="0" applyProtection="0">
      <alignment vertical="center"/>
    </xf>
    <xf numFmtId="4" fontId="53" fillId="24" borderId="108" applyNumberFormat="0" applyProtection="0">
      <alignment horizontal="right" vertical="center"/>
    </xf>
    <xf numFmtId="4" fontId="53" fillId="30" borderId="114"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9" fillId="32" borderId="113" applyNumberFormat="0" applyProtection="0">
      <alignment horizontal="left" vertical="center"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4" borderId="108" applyNumberFormat="0" applyProtection="0">
      <alignment horizontal="right" vertical="center"/>
    </xf>
    <xf numFmtId="4" fontId="53" fillId="18" borderId="108" applyNumberFormat="0" applyProtection="0">
      <alignment vertical="center"/>
    </xf>
    <xf numFmtId="4" fontId="53" fillId="64" borderId="108" applyNumberFormat="0" applyProtection="0">
      <alignment horizontal="left" vertical="center" indent="1"/>
    </xf>
    <xf numFmtId="4" fontId="53" fillId="45" borderId="108" applyNumberFormat="0" applyProtection="0">
      <alignment horizontal="left" vertical="center" indent="1"/>
    </xf>
    <xf numFmtId="4" fontId="53" fillId="26" borderId="108" applyNumberFormat="0" applyProtection="0">
      <alignment horizontal="right" vertical="center"/>
    </xf>
    <xf numFmtId="4" fontId="9" fillId="31" borderId="114" applyNumberFormat="0" applyProtection="0">
      <alignment horizontal="left" vertical="center" indent="1"/>
    </xf>
    <xf numFmtId="4" fontId="53" fillId="22" borderId="114" applyNumberFormat="0" applyProtection="0">
      <alignment horizontal="right" vertical="center"/>
    </xf>
    <xf numFmtId="4" fontId="53" fillId="30" borderId="114" applyNumberFormat="0" applyProtection="0">
      <alignment horizontal="left" vertical="center" indent="1"/>
    </xf>
    <xf numFmtId="349" fontId="9" fillId="31" borderId="113" applyNumberFormat="0" applyProtection="0">
      <alignment horizontal="left" vertical="center" indent="1"/>
    </xf>
    <xf numFmtId="349" fontId="53" fillId="32" borderId="113" applyNumberFormat="0" applyProtection="0">
      <alignment horizontal="left" vertical="top" indent="1"/>
    </xf>
    <xf numFmtId="4" fontId="9" fillId="31" borderId="114" applyNumberFormat="0" applyProtection="0">
      <alignment horizontal="left" vertical="center" indent="1"/>
    </xf>
    <xf numFmtId="349" fontId="184" fillId="127" borderId="112" applyNumberFormat="0" applyAlignment="0" applyProtection="0"/>
    <xf numFmtId="349" fontId="53" fillId="13" borderId="108" applyNumberFormat="0" applyFont="0" applyAlignment="0" applyProtection="0"/>
    <xf numFmtId="4" fontId="53" fillId="18" borderId="108" applyNumberFormat="0" applyProtection="0">
      <alignment vertical="center"/>
    </xf>
    <xf numFmtId="349" fontId="9" fillId="31" borderId="113" applyNumberFormat="0" applyProtection="0">
      <alignment horizontal="left" vertical="center" indent="1"/>
    </xf>
    <xf numFmtId="349" fontId="53" fillId="30" borderId="113" applyNumberFormat="0" applyProtection="0">
      <alignment horizontal="left" vertical="top" indent="1"/>
    </xf>
    <xf numFmtId="349" fontId="9"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61" borderId="108" applyNumberFormat="0" applyProtection="0">
      <alignment horizontal="left" vertical="center" indent="1"/>
    </xf>
    <xf numFmtId="4" fontId="53" fillId="26" borderId="108" applyNumberFormat="0" applyProtection="0">
      <alignment horizontal="right" vertical="center"/>
    </xf>
    <xf numFmtId="4" fontId="53" fillId="45" borderId="108" applyNumberFormat="0" applyProtection="0">
      <alignment horizontal="left" vertical="center" indent="1"/>
    </xf>
    <xf numFmtId="349" fontId="53" fillId="13" borderId="108" applyNumberFormat="0" applyFont="0" applyAlignment="0" applyProtection="0"/>
    <xf numFmtId="349" fontId="142" fillId="14" borderId="108" applyNumberForma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4" fontId="53" fillId="25" borderId="108" applyNumberFormat="0" applyProtection="0">
      <alignment horizontal="right" vertical="center"/>
    </xf>
    <xf numFmtId="349" fontId="254" fillId="18" borderId="113" applyNumberFormat="0" applyProtection="0">
      <alignment horizontal="left" vertical="top" indent="1"/>
    </xf>
    <xf numFmtId="4" fontId="53" fillId="19" borderId="108" applyNumberFormat="0" applyProtection="0">
      <alignment horizontal="right" vertical="center"/>
    </xf>
    <xf numFmtId="4" fontId="53" fillId="26" borderId="108" applyNumberFormat="0" applyProtection="0">
      <alignment horizontal="right" vertical="center"/>
    </xf>
    <xf numFmtId="4" fontId="53" fillId="24" borderId="108" applyNumberFormat="0" applyProtection="0">
      <alignment horizontal="right" vertical="center"/>
    </xf>
    <xf numFmtId="349" fontId="53" fillId="31"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3" fillId="50" borderId="108" applyNumberFormat="0" applyProtection="0">
      <alignment horizontal="right" vertical="center"/>
    </xf>
    <xf numFmtId="349" fontId="15" fillId="0" borderId="117" applyNumberFormat="0" applyFill="0" applyAlignment="0" applyProtection="0"/>
    <xf numFmtId="4" fontId="255" fillId="34" borderId="113" applyNumberFormat="0" applyProtection="0">
      <alignment vertical="center"/>
    </xf>
    <xf numFmtId="349" fontId="53" fillId="30" borderId="113" applyNumberFormat="0" applyProtection="0">
      <alignment horizontal="left" vertical="top" indent="1"/>
    </xf>
    <xf numFmtId="349" fontId="93" fillId="31" borderId="115" applyBorder="0"/>
    <xf numFmtId="4" fontId="53" fillId="0" borderId="108" applyNumberFormat="0" applyProtection="0">
      <alignment horizontal="right" vertical="center"/>
    </xf>
    <xf numFmtId="349" fontId="53" fillId="30" borderId="113" applyNumberFormat="0" applyProtection="0">
      <alignment horizontal="left" vertical="top" indent="1"/>
    </xf>
    <xf numFmtId="4" fontId="53" fillId="28" borderId="108" applyNumberFormat="0" applyProtection="0">
      <alignment horizontal="right" vertical="center"/>
    </xf>
    <xf numFmtId="349" fontId="53" fillId="61"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4" fontId="257" fillId="33" borderId="108" applyNumberFormat="0" applyProtection="0">
      <alignment horizontal="right" vertical="center"/>
    </xf>
    <xf numFmtId="349" fontId="142" fillId="14" borderId="108" applyNumberFormat="0" applyAlignment="0" applyProtection="0"/>
    <xf numFmtId="349" fontId="53" fillId="32" borderId="113" applyNumberFormat="0" applyProtection="0">
      <alignment horizontal="left" vertical="top" indent="1"/>
    </xf>
    <xf numFmtId="349" fontId="142" fillId="14" borderId="108" applyNumberFormat="0" applyAlignment="0" applyProtection="0"/>
    <xf numFmtId="349" fontId="53" fillId="83" borderId="108" applyNumberFormat="0" applyProtection="0">
      <alignment horizontal="left" vertical="center" indent="1"/>
    </xf>
    <xf numFmtId="349" fontId="53" fillId="31" borderId="113" applyNumberFormat="0" applyProtection="0">
      <alignment horizontal="left" vertical="top" indent="1"/>
    </xf>
    <xf numFmtId="4" fontId="53" fillId="30" borderId="114" applyNumberFormat="0" applyProtection="0">
      <alignment horizontal="left" vertical="center" indent="1"/>
    </xf>
    <xf numFmtId="4" fontId="53" fillId="26" borderId="108" applyNumberFormat="0" applyProtection="0">
      <alignment horizontal="right" vertical="center"/>
    </xf>
    <xf numFmtId="4" fontId="53" fillId="64"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53" fillId="13" borderId="108" applyNumberFormat="0" applyFont="0" applyAlignment="0" applyProtection="0"/>
    <xf numFmtId="349" fontId="93" fillId="31" borderId="115" applyBorder="0"/>
    <xf numFmtId="4" fontId="53" fillId="22" borderId="114" applyNumberFormat="0" applyProtection="0">
      <alignment horizontal="right" vertical="center"/>
    </xf>
    <xf numFmtId="349" fontId="53" fillId="30" borderId="113" applyNumberFormat="0" applyProtection="0">
      <alignment horizontal="left" vertical="top" indent="1"/>
    </xf>
    <xf numFmtId="4" fontId="53" fillId="19" borderId="114"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center" indent="1"/>
    </xf>
    <xf numFmtId="349" fontId="53" fillId="19" borderId="113" applyNumberFormat="0" applyProtection="0">
      <alignment horizontal="left" vertical="top" indent="1"/>
    </xf>
    <xf numFmtId="349" fontId="9" fillId="32"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4" fontId="256" fillId="35" borderId="114" applyNumberFormat="0" applyProtection="0">
      <alignment horizontal="left" vertical="center" indent="1"/>
    </xf>
    <xf numFmtId="4" fontId="253" fillId="50" borderId="108" applyNumberFormat="0" applyProtection="0">
      <alignment horizontal="right" vertical="center"/>
    </xf>
    <xf numFmtId="349" fontId="53" fillId="13" borderId="108" applyNumberFormat="0" applyFont="0" applyAlignment="0" applyProtection="0"/>
    <xf numFmtId="4" fontId="257" fillId="33" borderId="108" applyNumberFormat="0" applyProtection="0">
      <alignment horizontal="right" vertical="center"/>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53" fillId="30" borderId="114" applyNumberFormat="0" applyProtection="0">
      <alignment horizontal="left" vertical="center" indent="1"/>
    </xf>
    <xf numFmtId="4" fontId="53" fillId="130" borderId="108" applyNumberFormat="0" applyProtection="0">
      <alignment horizontal="right" vertical="center"/>
    </xf>
    <xf numFmtId="349" fontId="53" fillId="32" borderId="113" applyNumberFormat="0" applyProtection="0">
      <alignment horizontal="left" vertical="top" indent="1"/>
    </xf>
    <xf numFmtId="349" fontId="53" fillId="13" borderId="108" applyNumberFormat="0" applyFont="0" applyAlignment="0" applyProtection="0"/>
    <xf numFmtId="349" fontId="53" fillId="13" borderId="108" applyNumberFormat="0" applyFont="0" applyAlignment="0" applyProtection="0"/>
    <xf numFmtId="349" fontId="53" fillId="32" borderId="108" applyNumberFormat="0" applyProtection="0">
      <alignment horizontal="left" vertical="center"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4" fontId="253" fillId="50" borderId="108" applyNumberFormat="0" applyProtection="0">
      <alignment horizontal="right" vertical="center"/>
    </xf>
    <xf numFmtId="349" fontId="53" fillId="13" borderId="108" applyNumberFormat="0" applyFont="0" applyAlignment="0" applyProtection="0"/>
    <xf numFmtId="4" fontId="53" fillId="22" borderId="114" applyNumberFormat="0" applyProtection="0">
      <alignment horizontal="right" vertical="center"/>
    </xf>
    <xf numFmtId="4" fontId="53" fillId="24" borderId="108" applyNumberFormat="0" applyProtection="0">
      <alignment horizontal="right" vertical="center"/>
    </xf>
    <xf numFmtId="4" fontId="53" fillId="29" borderId="114" applyNumberFormat="0" applyProtection="0">
      <alignment horizontal="left" vertical="center" indent="1"/>
    </xf>
    <xf numFmtId="349" fontId="9" fillId="31" borderId="113" applyNumberFormat="0" applyProtection="0">
      <alignment horizontal="left" vertical="center" indent="1"/>
    </xf>
    <xf numFmtId="349" fontId="53" fillId="31" borderId="113" applyNumberFormat="0" applyProtection="0">
      <alignment horizontal="left" vertical="top" indent="1"/>
    </xf>
    <xf numFmtId="349" fontId="9" fillId="19"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08" applyNumberFormat="0" applyProtection="0">
      <alignment horizontal="left" vertical="center"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7" fontId="64" fillId="0" borderId="116" applyNumberFormat="0"/>
    <xf numFmtId="4" fontId="257" fillId="33" borderId="108" applyNumberFormat="0" applyProtection="0">
      <alignment horizontal="right" vertical="center"/>
    </xf>
    <xf numFmtId="349" fontId="53" fillId="19" borderId="113" applyNumberFormat="0" applyProtection="0">
      <alignment horizontal="left" vertical="top" indent="1"/>
    </xf>
    <xf numFmtId="349" fontId="255" fillId="19" borderId="113" applyNumberFormat="0" applyProtection="0">
      <alignment horizontal="left" vertical="top" indent="1"/>
    </xf>
    <xf numFmtId="349" fontId="53" fillId="30" borderId="113" applyNumberFormat="0" applyProtection="0">
      <alignment horizontal="left" vertical="top" indent="1"/>
    </xf>
    <xf numFmtId="349" fontId="9" fillId="32" borderId="113" applyNumberFormat="0" applyProtection="0">
      <alignment horizontal="left" vertical="center" indent="1"/>
    </xf>
    <xf numFmtId="349" fontId="9" fillId="19" borderId="113" applyNumberFormat="0" applyProtection="0">
      <alignment horizontal="left" vertical="center" indent="1"/>
    </xf>
    <xf numFmtId="349" fontId="53" fillId="31" borderId="113" applyNumberFormat="0" applyProtection="0">
      <alignment horizontal="left" vertical="top" indent="1"/>
    </xf>
    <xf numFmtId="4" fontId="9" fillId="31" borderId="114" applyNumberFormat="0" applyProtection="0">
      <alignment horizontal="left" vertical="center" indent="1"/>
    </xf>
    <xf numFmtId="4" fontId="53" fillId="64" borderId="108" applyNumberFormat="0" applyProtection="0">
      <alignment horizontal="left" vertical="center" indent="1"/>
    </xf>
    <xf numFmtId="349" fontId="53" fillId="31" borderId="113" applyNumberFormat="0" applyProtection="0">
      <alignment horizontal="left" vertical="top" indent="1"/>
    </xf>
    <xf numFmtId="349" fontId="53" fillId="13" borderId="108" applyNumberFormat="0" applyFont="0" applyAlignment="0" applyProtection="0"/>
    <xf numFmtId="4" fontId="253" fillId="50" borderId="108" applyNumberFormat="0" applyProtection="0">
      <alignment horizontal="right" vertical="center"/>
    </xf>
    <xf numFmtId="349" fontId="9" fillId="30" borderId="113" applyNumberFormat="0" applyProtection="0">
      <alignment horizontal="left" vertical="top" indent="1"/>
    </xf>
    <xf numFmtId="349" fontId="53" fillId="19" borderId="113" applyNumberFormat="0" applyProtection="0">
      <alignment horizontal="left" vertical="top" indent="1"/>
    </xf>
    <xf numFmtId="4" fontId="53" fillId="29" borderId="114" applyNumberFormat="0" applyProtection="0">
      <alignment horizontal="left" vertical="center" indent="1"/>
    </xf>
    <xf numFmtId="4" fontId="53" fillId="22" borderId="114" applyNumberFormat="0" applyProtection="0">
      <alignment horizontal="right" vertical="center"/>
    </xf>
    <xf numFmtId="4" fontId="255" fillId="61" borderId="113" applyNumberFormat="0" applyProtection="0">
      <alignment horizontal="left" vertical="center" indent="1"/>
    </xf>
    <xf numFmtId="349" fontId="15" fillId="0" borderId="117" applyNumberFormat="0" applyFill="0" applyAlignment="0" applyProtection="0"/>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0" borderId="113" applyNumberFormat="0" applyProtection="0">
      <alignment horizontal="left" vertical="top" indent="1"/>
    </xf>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251" fillId="127" borderId="108" applyNumberFormat="0" applyAlignment="0" applyProtection="0"/>
    <xf numFmtId="349" fontId="53" fillId="13" borderId="108" applyNumberFormat="0" applyFont="0" applyAlignment="0" applyProtection="0"/>
    <xf numFmtId="4" fontId="253" fillId="45" borderId="108" applyNumberFormat="0" applyProtection="0">
      <alignment vertical="center"/>
    </xf>
    <xf numFmtId="4" fontId="53" fillId="27" borderId="108" applyNumberFormat="0" applyProtection="0">
      <alignment horizontal="right" vertical="center"/>
    </xf>
    <xf numFmtId="349" fontId="53" fillId="31" borderId="113" applyNumberFormat="0" applyProtection="0">
      <alignment horizontal="left" vertical="top" indent="1"/>
    </xf>
    <xf numFmtId="349" fontId="53" fillId="31" borderId="113" applyNumberFormat="0" applyProtection="0">
      <alignment horizontal="left" vertical="top"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255" fillId="34" borderId="113" applyNumberFormat="0" applyProtection="0">
      <alignment horizontal="left" vertical="top" indent="1"/>
    </xf>
    <xf numFmtId="349" fontId="15" fillId="0" borderId="117" applyNumberFormat="0" applyFill="0" applyAlignment="0" applyProtection="0"/>
    <xf numFmtId="349" fontId="53" fillId="30" borderId="113" applyNumberFormat="0" applyProtection="0">
      <alignment horizontal="left" vertical="top" indent="1"/>
    </xf>
    <xf numFmtId="349" fontId="53" fillId="32" borderId="108" applyNumberFormat="0" applyProtection="0">
      <alignment horizontal="left" vertical="center"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1" borderId="113" applyNumberFormat="0" applyProtection="0">
      <alignment horizontal="left" vertical="top" indent="1"/>
    </xf>
    <xf numFmtId="4" fontId="9" fillId="31" borderId="114" applyNumberFormat="0" applyProtection="0">
      <alignment horizontal="left" vertical="center" indent="1"/>
    </xf>
    <xf numFmtId="4" fontId="53" fillId="26" borderId="108" applyNumberFormat="0" applyProtection="0">
      <alignment horizontal="right" vertical="center"/>
    </xf>
    <xf numFmtId="349" fontId="53" fillId="13" borderId="108" applyNumberFormat="0" applyFont="0" applyAlignment="0" applyProtection="0"/>
    <xf numFmtId="4" fontId="53" fillId="18" borderId="108" applyNumberFormat="0" applyProtection="0">
      <alignment vertical="center"/>
    </xf>
    <xf numFmtId="4" fontId="53" fillId="29" borderId="114" applyNumberFormat="0" applyProtection="0">
      <alignment horizontal="left" vertical="center" indent="1"/>
    </xf>
    <xf numFmtId="349" fontId="9" fillId="31" borderId="113" applyNumberFormat="0" applyProtection="0">
      <alignment horizontal="left" vertical="center" indent="1"/>
    </xf>
    <xf numFmtId="349" fontId="9" fillId="19" borderId="113" applyNumberFormat="0" applyProtection="0">
      <alignment horizontal="left" vertical="top" indent="1"/>
    </xf>
    <xf numFmtId="349" fontId="53" fillId="13" borderId="108" applyNumberFormat="0" applyFont="0" applyAlignment="0" applyProtection="0"/>
    <xf numFmtId="214" fontId="64" fillId="0" borderId="28" applyFill="0"/>
    <xf numFmtId="349" fontId="53" fillId="30" borderId="113" applyNumberFormat="0" applyProtection="0">
      <alignment horizontal="left" vertical="top"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53" fillId="31" borderId="113" applyNumberFormat="0" applyProtection="0">
      <alignment horizontal="left" vertical="top" indent="1"/>
    </xf>
    <xf numFmtId="4" fontId="53" fillId="19" borderId="108" applyNumberFormat="0" applyProtection="0">
      <alignment horizontal="right" vertical="center"/>
    </xf>
    <xf numFmtId="4" fontId="53" fillId="45" borderId="108" applyNumberFormat="0" applyProtection="0">
      <alignment horizontal="left" vertical="center" indent="1"/>
    </xf>
    <xf numFmtId="4" fontId="253" fillId="50" borderId="108" applyNumberFormat="0" applyProtection="0">
      <alignment horizontal="right" vertical="center"/>
    </xf>
    <xf numFmtId="349" fontId="53" fillId="30" borderId="113" applyNumberFormat="0" applyProtection="0">
      <alignment horizontal="left" vertical="top" indent="1"/>
    </xf>
    <xf numFmtId="349" fontId="255" fillId="19" borderId="113" applyNumberFormat="0" applyProtection="0">
      <alignment horizontal="left" vertical="top" indent="1"/>
    </xf>
    <xf numFmtId="4" fontId="257" fillId="33" borderId="108" applyNumberFormat="0" applyProtection="0">
      <alignment horizontal="right" vertical="center"/>
    </xf>
    <xf numFmtId="4" fontId="255" fillId="61" borderId="113" applyNumberFormat="0" applyProtection="0">
      <alignment horizontal="left" vertical="center" indent="1"/>
    </xf>
    <xf numFmtId="349" fontId="9" fillId="30" borderId="113" applyNumberFormat="0" applyProtection="0">
      <alignment horizontal="left" vertical="center" indent="1"/>
    </xf>
    <xf numFmtId="349" fontId="53" fillId="32" borderId="113" applyNumberFormat="0" applyProtection="0">
      <alignment horizontal="left" vertical="top" indent="1"/>
    </xf>
    <xf numFmtId="349" fontId="53" fillId="19" borderId="113" applyNumberFormat="0" applyProtection="0">
      <alignment horizontal="left" vertical="top" indent="1"/>
    </xf>
    <xf numFmtId="349" fontId="53" fillId="19" borderId="113" applyNumberFormat="0" applyProtection="0">
      <alignment horizontal="left" vertical="top" indent="1"/>
    </xf>
    <xf numFmtId="349" fontId="53" fillId="31" borderId="113" applyNumberFormat="0" applyProtection="0">
      <alignment horizontal="left" vertical="top" indent="1"/>
    </xf>
    <xf numFmtId="349" fontId="9" fillId="30" borderId="113" applyNumberFormat="0" applyProtection="0">
      <alignment horizontal="left" vertical="top" indent="1"/>
    </xf>
    <xf numFmtId="4" fontId="9" fillId="31" borderId="114" applyNumberFormat="0" applyProtection="0">
      <alignment horizontal="left" vertical="center" indent="1"/>
    </xf>
    <xf numFmtId="349" fontId="9" fillId="31" borderId="113" applyNumberFormat="0" applyProtection="0">
      <alignment horizontal="left" vertical="top" indent="1"/>
    </xf>
    <xf numFmtId="4" fontId="53" fillId="22" borderId="114" applyNumberFormat="0" applyProtection="0">
      <alignment horizontal="right" vertical="center"/>
    </xf>
    <xf numFmtId="349" fontId="53" fillId="61" borderId="108" applyNumberFormat="0" applyProtection="0">
      <alignment horizontal="left" vertical="center" indent="1"/>
    </xf>
    <xf numFmtId="4" fontId="53" fillId="45" borderId="108" applyNumberFormat="0" applyProtection="0">
      <alignment horizontal="left" vertical="center" indent="1"/>
    </xf>
    <xf numFmtId="349" fontId="53" fillId="13" borderId="108" applyNumberFormat="0" applyFont="0" applyAlignment="0" applyProtection="0"/>
    <xf numFmtId="349" fontId="53" fillId="13" borderId="108" applyNumberFormat="0" applyFont="0" applyAlignment="0" applyProtection="0"/>
    <xf numFmtId="349" fontId="251" fillId="127" borderId="108" applyNumberFormat="0" applyAlignment="0" applyProtection="0"/>
    <xf numFmtId="349" fontId="53" fillId="13" borderId="108" applyNumberFormat="0" applyFont="0" applyAlignment="0" applyProtection="0"/>
    <xf numFmtId="4" fontId="53" fillId="20" borderId="108" applyNumberFormat="0" applyProtection="0">
      <alignment horizontal="right" vertical="center"/>
    </xf>
    <xf numFmtId="4" fontId="53" fillId="29" borderId="114" applyNumberFormat="0" applyProtection="0">
      <alignment horizontal="left" vertical="center" indent="1"/>
    </xf>
    <xf numFmtId="349" fontId="9" fillId="31" borderId="113" applyNumberFormat="0" applyProtection="0">
      <alignment horizontal="left" vertical="top" indent="1"/>
    </xf>
    <xf numFmtId="349" fontId="53" fillId="83" borderId="108" applyNumberFormat="0" applyProtection="0">
      <alignment horizontal="left" vertical="center" indent="1"/>
    </xf>
    <xf numFmtId="349" fontId="53" fillId="19" borderId="113" applyNumberFormat="0" applyProtection="0">
      <alignment horizontal="left" vertical="top" indent="1"/>
    </xf>
    <xf numFmtId="349" fontId="53" fillId="32" borderId="113" applyNumberFormat="0" applyProtection="0">
      <alignment horizontal="left" vertical="top" indent="1"/>
    </xf>
    <xf numFmtId="349" fontId="53" fillId="31" borderId="113" applyNumberFormat="0" applyProtection="0">
      <alignment horizontal="left" vertical="top" indent="1"/>
    </xf>
    <xf numFmtId="4" fontId="53" fillId="28" borderId="108" applyNumberFormat="0" applyProtection="0">
      <alignment horizontal="right" vertical="center"/>
    </xf>
    <xf numFmtId="4" fontId="53" fillId="27" borderId="108" applyNumberFormat="0" applyProtection="0">
      <alignment horizontal="right" vertical="center"/>
    </xf>
    <xf numFmtId="349" fontId="53" fillId="31" borderId="113" applyNumberFormat="0" applyProtection="0">
      <alignment horizontal="left" vertical="top" indent="1"/>
    </xf>
    <xf numFmtId="349" fontId="53" fillId="32" borderId="113" applyNumberFormat="0" applyProtection="0">
      <alignment horizontal="left" vertical="top" indent="1"/>
    </xf>
    <xf numFmtId="349" fontId="251" fillId="127" borderId="108" applyNumberFormat="0" applyAlignment="0" applyProtection="0"/>
    <xf numFmtId="349" fontId="53" fillId="19" borderId="113" applyNumberFormat="0" applyProtection="0">
      <alignment horizontal="left" vertical="top" indent="1"/>
    </xf>
    <xf numFmtId="349" fontId="53" fillId="30" borderId="113" applyNumberFormat="0" applyProtection="0">
      <alignment horizontal="left" vertical="top" indent="1"/>
    </xf>
    <xf numFmtId="4" fontId="53" fillId="64" borderId="108" applyNumberFormat="0" applyProtection="0">
      <alignment horizontal="left" vertical="center" indent="1"/>
    </xf>
    <xf numFmtId="4" fontId="53" fillId="0" borderId="108" applyNumberFormat="0" applyProtection="0">
      <alignment horizontal="right" vertical="center"/>
    </xf>
    <xf numFmtId="349" fontId="53" fillId="13" borderId="108" applyNumberFormat="0" applyFont="0" applyAlignment="0" applyProtection="0"/>
    <xf numFmtId="349" fontId="142" fillId="14" borderId="108" applyNumberFormat="0" applyAlignment="0" applyProtection="0"/>
    <xf numFmtId="349" fontId="254" fillId="18" borderId="113" applyNumberFormat="0" applyProtection="0">
      <alignment horizontal="left" vertical="top" indent="1"/>
    </xf>
    <xf numFmtId="349" fontId="53" fillId="13" borderId="108" applyNumberFormat="0" applyFont="0" applyAlignment="0" applyProtection="0"/>
    <xf numFmtId="349" fontId="53" fillId="30" borderId="108"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1" fillId="127" borderId="108" applyNumberFormat="0" applyAlignment="0" applyProtection="0"/>
    <xf numFmtId="4" fontId="253" fillId="50" borderId="108" applyNumberFormat="0" applyProtection="0">
      <alignment horizontal="right" vertical="center"/>
    </xf>
    <xf numFmtId="349" fontId="142" fillId="14" borderId="108" applyNumberFormat="0" applyAlignment="0" applyProtection="0"/>
    <xf numFmtId="169" fontId="12" fillId="0" borderId="0" applyFont="0" applyFill="0" applyBorder="0" applyAlignment="0" applyProtection="0"/>
    <xf numFmtId="349" fontId="251" fillId="127" borderId="108" applyNumberFormat="0" applyAlignment="0" applyProtection="0"/>
    <xf numFmtId="4" fontId="53" fillId="45" borderId="108" applyNumberFormat="0" applyProtection="0">
      <alignment horizontal="left" vertical="center" indent="1"/>
    </xf>
    <xf numFmtId="349" fontId="142" fillId="14" borderId="108" applyNumberFormat="0" applyAlignment="0" applyProtection="0"/>
    <xf numFmtId="4" fontId="53" fillId="64" borderId="108" applyNumberFormat="0" applyProtection="0">
      <alignment horizontal="left" vertical="center" indent="1"/>
    </xf>
    <xf numFmtId="4" fontId="53" fillId="26" borderId="108" applyNumberFormat="0" applyProtection="0">
      <alignment horizontal="right" vertical="center"/>
    </xf>
    <xf numFmtId="169" fontId="12" fillId="0" borderId="0" applyFont="0" applyFill="0" applyBorder="0" applyAlignment="0" applyProtection="0"/>
    <xf numFmtId="4" fontId="257" fillId="33" borderId="108" applyNumberFormat="0" applyProtection="0">
      <alignment horizontal="right" vertical="center"/>
    </xf>
    <xf numFmtId="4" fontId="53" fillId="23" borderId="108"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72" fontId="7" fillId="43" borderId="6">
      <alignment vertical="center"/>
    </xf>
    <xf numFmtId="172" fontId="7" fillId="3" borderId="6">
      <alignment vertical="center"/>
      <protection locked="0"/>
    </xf>
    <xf numFmtId="0" fontId="1" fillId="0" borderId="0"/>
    <xf numFmtId="0" fontId="7" fillId="0" borderId="0"/>
    <xf numFmtId="0" fontId="12" fillId="0" borderId="0"/>
    <xf numFmtId="0" fontId="7" fillId="0" borderId="0"/>
    <xf numFmtId="9" fontId="1" fillId="0" borderId="0" applyFont="0" applyFill="0" applyBorder="0" applyAlignment="0" applyProtection="0"/>
    <xf numFmtId="185" fontId="7" fillId="0" borderId="0"/>
    <xf numFmtId="10" fontId="36" fillId="0" borderId="0" applyFont="0" applyFill="0" applyBorder="0" applyAlignment="0" applyProtection="0">
      <alignment vertical="center"/>
    </xf>
    <xf numFmtId="169" fontId="7" fillId="0" borderId="0" applyFont="0" applyFill="0" applyBorder="0" applyAlignment="0" applyProtection="0"/>
    <xf numFmtId="9" fontId="7" fillId="0" borderId="0" applyFont="0" applyFill="0" applyBorder="0" applyAlignment="0" applyProtection="0"/>
  </cellStyleXfs>
  <cellXfs count="867">
    <xf numFmtId="0" fontId="0" fillId="0" borderId="0" xfId="0"/>
    <xf numFmtId="0" fontId="8" fillId="0" borderId="0" xfId="0" applyFont="1"/>
    <xf numFmtId="0" fontId="10" fillId="42" borderId="0" xfId="7" applyFont="1" applyFill="1"/>
    <xf numFmtId="0" fontId="0" fillId="0" borderId="0" xfId="0" applyAlignment="1">
      <alignment horizontal="center" vertical="top" wrapText="1"/>
    </xf>
    <xf numFmtId="0" fontId="24" fillId="0" borderId="0" xfId="75" applyFont="1"/>
    <xf numFmtId="0" fontId="33" fillId="0" borderId="0" xfId="75" applyFont="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0" fillId="0" borderId="0" xfId="0" applyAlignment="1">
      <alignment vertical="center"/>
    </xf>
    <xf numFmtId="0" fontId="0" fillId="0" borderId="0" xfId="0" applyAlignment="1">
      <alignment horizontal="center" wrapText="1"/>
    </xf>
    <xf numFmtId="0" fontId="26" fillId="0" borderId="0" xfId="0" applyFont="1" applyAlignment="1">
      <alignment horizontal="right" indent="1"/>
    </xf>
    <xf numFmtId="0" fontId="0" fillId="0" borderId="0" xfId="0" applyAlignment="1">
      <alignment horizontal="center" vertical="center" wrapText="1"/>
    </xf>
    <xf numFmtId="0" fontId="10" fillId="0" borderId="0" xfId="7" applyFont="1" applyAlignment="1">
      <alignment horizont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8"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4" fillId="0" borderId="0" xfId="92" applyAlignment="1">
      <alignment horizontal="left" indent="1"/>
    </xf>
    <xf numFmtId="0" fontId="26" fillId="0" borderId="0" xfId="0" applyFont="1" applyAlignment="1">
      <alignment horizontal="center"/>
    </xf>
    <xf numFmtId="0" fontId="0" fillId="0" borderId="63" xfId="0" applyBorder="1" applyAlignment="1">
      <alignment horizontal="center"/>
    </xf>
    <xf numFmtId="177" fontId="10" fillId="38" borderId="100" xfId="1" applyNumberFormat="1" applyFont="1" applyFill="1" applyBorder="1" applyProtection="1"/>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7" fillId="116" borderId="0" xfId="0" applyFont="1" applyFill="1"/>
    <xf numFmtId="0" fontId="247" fillId="116" borderId="0" xfId="0" applyFont="1" applyFill="1" applyAlignment="1">
      <alignment horizontal="left" indent="1"/>
    </xf>
    <xf numFmtId="0" fontId="247"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177" fontId="10" fillId="38" borderId="78" xfId="1" applyNumberFormat="1" applyFont="1" applyFill="1" applyBorder="1" applyProtection="1"/>
    <xf numFmtId="177" fontId="10" fillId="38" borderId="89" xfId="1" applyNumberFormat="1" applyFont="1" applyFill="1" applyBorder="1" applyProtection="1"/>
    <xf numFmtId="177" fontId="10" fillId="38" borderId="106" xfId="1" applyNumberFormat="1" applyFont="1" applyFill="1" applyBorder="1" applyProtection="1"/>
    <xf numFmtId="177" fontId="10" fillId="52" borderId="59" xfId="1" applyNumberFormat="1" applyFont="1" applyFill="1" applyBorder="1" applyProtection="1"/>
    <xf numFmtId="0" fontId="8" fillId="0" borderId="0" xfId="0" applyFont="1" applyAlignment="1" applyProtection="1">
      <alignment horizontal="left" indent="1"/>
      <protection locked="0"/>
    </xf>
    <xf numFmtId="0" fontId="0" fillId="0" borderId="0" xfId="0" applyAlignment="1" applyProtection="1">
      <alignment horizontal="left" indent="1"/>
      <protection locked="0"/>
    </xf>
    <xf numFmtId="0" fontId="8" fillId="0" borderId="0" xfId="0" applyFont="1" applyAlignment="1">
      <alignment horizontal="left" indent="1"/>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0" fontId="0" fillId="52" borderId="78" xfId="0" applyFill="1" applyBorder="1" applyAlignment="1">
      <alignment horizontal="left" vertical="center" wrapText="1" indent="1"/>
    </xf>
    <xf numFmtId="0" fontId="30" fillId="42" borderId="0" xfId="90" applyFont="1" applyFill="1" applyAlignment="1">
      <alignment horizontal="left"/>
    </xf>
    <xf numFmtId="0" fontId="10"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1"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260" fillId="47" borderId="0" xfId="90" applyFont="1" applyFill="1" applyAlignment="1">
      <alignment horizontal="left"/>
    </xf>
    <xf numFmtId="0" fontId="259" fillId="47" borderId="0" xfId="0" applyFont="1" applyFill="1"/>
    <xf numFmtId="0" fontId="261" fillId="47" borderId="0" xfId="92" applyFont="1" applyFill="1" applyAlignment="1">
      <alignment wrapText="1"/>
    </xf>
    <xf numFmtId="0" fontId="259" fillId="47" borderId="0" xfId="0" applyFont="1" applyFill="1" applyAlignment="1">
      <alignment wrapText="1"/>
    </xf>
    <xf numFmtId="0" fontId="259" fillId="47" borderId="0" xfId="0" applyFont="1" applyFill="1" applyAlignment="1">
      <alignment horizontal="left" indent="1"/>
    </xf>
    <xf numFmtId="0" fontId="259" fillId="47" borderId="11" xfId="0" applyFont="1" applyFill="1" applyBorder="1" applyAlignment="1">
      <alignment wrapText="1"/>
    </xf>
    <xf numFmtId="0" fontId="259"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10" fillId="0" borderId="0" xfId="7" applyNumberFormat="1" applyFont="1" applyAlignment="1">
      <alignment horizontal="center" vertical="center"/>
    </xf>
    <xf numFmtId="0" fontId="10" fillId="42" borderId="0" xfId="7" applyFont="1" applyFill="1" applyAlignment="1">
      <alignment horizontal="center"/>
    </xf>
    <xf numFmtId="0" fontId="0" fillId="132" borderId="0" xfId="0" applyFill="1"/>
    <xf numFmtId="0" fontId="0" fillId="0" borderId="119" xfId="0" applyBorder="1"/>
    <xf numFmtId="0" fontId="0" fillId="132" borderId="119" xfId="0" applyFill="1" applyBorder="1"/>
    <xf numFmtId="0" fontId="10" fillId="0" borderId="0" xfId="0" applyFont="1"/>
    <xf numFmtId="350" fontId="10" fillId="0" borderId="0" xfId="0" applyNumberFormat="1" applyFont="1"/>
    <xf numFmtId="347" fontId="246"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36" fillId="0" borderId="0" xfId="0" applyFont="1"/>
    <xf numFmtId="0" fontId="0" fillId="0" borderId="0" xfId="0" applyAlignment="1" applyProtection="1">
      <alignment horizontal="center"/>
      <protection locked="0"/>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177" fontId="10" fillId="38" borderId="120" xfId="1" applyNumberFormat="1" applyFont="1" applyFill="1" applyBorder="1" applyProtection="1"/>
    <xf numFmtId="177" fontId="10" fillId="38" borderId="121" xfId="1" applyNumberFormat="1" applyFont="1" applyFill="1" applyBorder="1" applyProtection="1"/>
    <xf numFmtId="177" fontId="10" fillId="38" borderId="122" xfId="1" applyNumberFormat="1" applyFont="1" applyFill="1" applyBorder="1" applyProtection="1"/>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10" fillId="38" borderId="76" xfId="1" applyNumberFormat="1" applyFont="1" applyFill="1" applyBorder="1" applyProtection="1"/>
    <xf numFmtId="177" fontId="11" fillId="38" borderId="124"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0" fontId="0" fillId="0" borderId="127" xfId="0" applyBorder="1"/>
    <xf numFmtId="175" fontId="11" fillId="38" borderId="124" xfId="77" applyNumberFormat="1" applyFont="1" applyFill="1" applyBorder="1" applyProtection="1"/>
    <xf numFmtId="175" fontId="11" fillId="38" borderId="126" xfId="77" applyNumberFormat="1" applyFont="1" applyFill="1" applyBorder="1" applyProtection="1"/>
    <xf numFmtId="175" fontId="11" fillId="38" borderId="125" xfId="77" applyNumberFormat="1" applyFont="1" applyFill="1" applyBorder="1" applyProtection="1"/>
    <xf numFmtId="175" fontId="10" fillId="38" borderId="77" xfId="77" applyNumberFormat="1" applyFont="1" applyFill="1" applyBorder="1" applyProtection="1"/>
    <xf numFmtId="175" fontId="11" fillId="38" borderId="128"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0" fillId="0" borderId="0" xfId="90" applyFont="1" applyAlignment="1">
      <alignment horizontal="left"/>
    </xf>
    <xf numFmtId="0" fontId="259" fillId="0" borderId="0" xfId="0" applyFont="1"/>
    <xf numFmtId="0" fontId="259" fillId="0" borderId="0" xfId="0" applyFont="1" applyAlignment="1">
      <alignment wrapTex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10" fontId="0" fillId="0" borderId="0" xfId="0" applyNumberFormat="1"/>
    <xf numFmtId="178" fontId="0" fillId="0" borderId="127" xfId="0" applyNumberFormat="1" applyBorder="1" applyAlignment="1">
      <alignment horizontal="right" indent="1"/>
    </xf>
    <xf numFmtId="178" fontId="0" fillId="117" borderId="86" xfId="0" applyNumberFormat="1" applyFill="1" applyBorder="1" applyAlignment="1">
      <alignment horizontal="right" indent="1"/>
    </xf>
    <xf numFmtId="10" fontId="0" fillId="0" borderId="130" xfId="0" applyNumberFormat="1" applyBorder="1"/>
    <xf numFmtId="1" fontId="8" fillId="53" borderId="133" xfId="0" applyNumberFormat="1" applyFont="1" applyFill="1" applyBorder="1" applyAlignment="1">
      <alignment horizontal="center" vertical="center"/>
    </xf>
    <xf numFmtId="1" fontId="8" fillId="53" borderId="134" xfId="0" applyNumberFormat="1" applyFont="1" applyFill="1" applyBorder="1" applyAlignment="1">
      <alignment horizontal="center" vertical="center"/>
    </xf>
    <xf numFmtId="178" fontId="0" fillId="117" borderId="136" xfId="0" applyNumberFormat="1" applyFill="1" applyBorder="1" applyAlignment="1">
      <alignment horizontal="right" indent="1"/>
    </xf>
    <xf numFmtId="10" fontId="0" fillId="0" borderId="137" xfId="0" applyNumberFormat="1" applyBorder="1"/>
    <xf numFmtId="3" fontId="10" fillId="0" borderId="135" xfId="89" applyNumberFormat="1" applyFont="1" applyBorder="1" applyAlignment="1">
      <alignment horizontal="left" indent="1"/>
    </xf>
    <xf numFmtId="0" fontId="0" fillId="0" borderId="136" xfId="0" applyBorder="1" applyAlignment="1">
      <alignment horizontal="center"/>
    </xf>
    <xf numFmtId="3" fontId="10" fillId="0" borderId="129" xfId="89" applyNumberFormat="1" applyFont="1" applyBorder="1" applyAlignment="1">
      <alignment horizontal="left" indent="1"/>
    </xf>
    <xf numFmtId="3" fontId="10" fillId="0" borderId="139" xfId="89" applyNumberFormat="1" applyFont="1" applyBorder="1" applyAlignment="1">
      <alignment horizontal="left" indent="1"/>
    </xf>
    <xf numFmtId="0" fontId="0" fillId="0" borderId="131" xfId="0" applyBorder="1" applyAlignment="1">
      <alignment horizontal="center"/>
    </xf>
    <xf numFmtId="0" fontId="10" fillId="0" borderId="132" xfId="7" applyFont="1" applyBorder="1" applyAlignment="1">
      <alignment horizontal="left" indent="1"/>
    </xf>
    <xf numFmtId="10" fontId="0" fillId="0" borderId="141" xfId="0" applyNumberFormat="1" applyBorder="1"/>
    <xf numFmtId="0" fontId="0" fillId="0" borderId="134" xfId="0" applyBorder="1"/>
    <xf numFmtId="0" fontId="0" fillId="0" borderId="142" xfId="0" applyBorder="1"/>
    <xf numFmtId="0" fontId="0" fillId="0" borderId="143" xfId="0" applyBorder="1" applyAlignment="1">
      <alignment horizontal="center" vertical="center" wrapText="1"/>
    </xf>
    <xf numFmtId="0" fontId="10" fillId="0" borderId="144"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0" fontId="0" fillId="0" borderId="0" xfId="0" applyAlignment="1" applyProtection="1">
      <alignment horizontal="left" vertical="center"/>
      <protection locked="0"/>
    </xf>
    <xf numFmtId="0" fontId="0" fillId="0" borderId="127" xfId="0" applyBorder="1" applyAlignment="1" applyProtection="1">
      <alignment horizontal="center" vertical="center"/>
      <protection locked="0"/>
    </xf>
    <xf numFmtId="351" fontId="0" fillId="0" borderId="127"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59" fillId="47" borderId="127" xfId="0" applyFont="1" applyFill="1" applyBorder="1" applyAlignment="1">
      <alignment wrapText="1"/>
    </xf>
    <xf numFmtId="175" fontId="10" fillId="38" borderId="6" xfId="77" applyNumberFormat="1" applyFont="1" applyFill="1" applyBorder="1" applyAlignment="1" applyProtection="1">
      <alignment vertical="center"/>
    </xf>
    <xf numFmtId="0" fontId="247"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177" fontId="10" fillId="38" borderId="6" xfId="1" applyNumberFormat="1" applyFont="1" applyFill="1" applyBorder="1" applyProtection="1"/>
    <xf numFmtId="177" fontId="10" fillId="38" borderId="6" xfId="1" applyNumberFormat="1" applyFont="1" applyFill="1" applyBorder="1" applyAlignment="1" applyProtection="1">
      <alignment horizontal="right"/>
    </xf>
    <xf numFmtId="9" fontId="9" fillId="0" borderId="6" xfId="77" applyFont="1" applyFill="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177" fontId="11" fillId="51" borderId="124"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7" xfId="0" applyFill="1" applyBorder="1"/>
    <xf numFmtId="3" fontId="0" fillId="52" borderId="90" xfId="0" applyNumberFormat="1" applyFill="1" applyBorder="1"/>
    <xf numFmtId="3" fontId="10" fillId="51" borderId="0" xfId="1" applyNumberFormat="1" applyFont="1" applyFill="1" applyBorder="1" applyAlignment="1" applyProtection="1">
      <alignment horizontal="left" indent="1"/>
    </xf>
    <xf numFmtId="3" fontId="10" fillId="51" borderId="0" xfId="77" applyNumberFormat="1" applyFont="1" applyFill="1" applyBorder="1" applyAlignment="1" applyProtection="1">
      <alignment horizontal="left" indent="1"/>
    </xf>
    <xf numFmtId="0" fontId="260" fillId="47" borderId="151" xfId="90" applyFont="1" applyFill="1" applyBorder="1" applyAlignment="1">
      <alignment horizontal="left"/>
    </xf>
    <xf numFmtId="0" fontId="259"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4" fillId="46" borderId="0" xfId="48236" applyFont="1" applyFill="1" applyAlignment="1">
      <alignment horizontal="center" vertical="top" wrapText="1"/>
    </xf>
    <xf numFmtId="0" fontId="0" fillId="0" borderId="157" xfId="0" applyBorder="1"/>
    <xf numFmtId="0" fontId="0" fillId="0" borderId="89" xfId="0" applyBorder="1"/>
    <xf numFmtId="0" fontId="0" fillId="0" borderId="90" xfId="0" applyBorder="1"/>
    <xf numFmtId="0" fontId="274" fillId="135" borderId="0" xfId="51695" applyFont="1" applyFill="1"/>
    <xf numFmtId="0" fontId="0" fillId="101" borderId="0" xfId="0" applyFill="1"/>
    <xf numFmtId="0" fontId="8" fillId="53" borderId="154" xfId="0" applyFont="1" applyFill="1" applyBorder="1" applyAlignment="1">
      <alignment wrapText="1"/>
    </xf>
    <xf numFmtId="0" fontId="8" fillId="53" borderId="155" xfId="0" applyFont="1" applyFill="1" applyBorder="1" applyAlignment="1">
      <alignment wrapText="1"/>
    </xf>
    <xf numFmtId="14" fontId="8" fillId="53" borderId="154" xfId="0" applyNumberFormat="1" applyFont="1" applyFill="1" applyBorder="1" applyAlignment="1">
      <alignment wrapText="1"/>
    </xf>
    <xf numFmtId="353" fontId="8" fillId="53" borderId="154" xfId="77" applyNumberFormat="1" applyFont="1" applyFill="1" applyBorder="1" applyAlignment="1">
      <alignment wrapText="1"/>
    </xf>
    <xf numFmtId="0" fontId="8" fillId="53" borderId="158" xfId="0" applyFont="1" applyFill="1" applyBorder="1" applyAlignment="1">
      <alignment wrapText="1"/>
    </xf>
    <xf numFmtId="0" fontId="0" fillId="0" borderId="6" xfId="0" applyBorder="1" applyAlignment="1">
      <alignment vertical="center" wrapText="1"/>
    </xf>
    <xf numFmtId="15" fontId="244" fillId="46" borderId="156" xfId="48236" applyNumberFormat="1" applyFont="1" applyFill="1" applyBorder="1" applyAlignment="1">
      <alignment horizontal="center" vertical="top" wrapText="1"/>
    </xf>
    <xf numFmtId="0" fontId="244" fillId="46" borderId="156" xfId="48236" applyFont="1" applyFill="1" applyBorder="1" applyAlignment="1">
      <alignment vertical="top" wrapText="1"/>
    </xf>
    <xf numFmtId="0" fontId="244" fillId="46" borderId="156" xfId="48236"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178" fontId="0" fillId="0" borderId="119" xfId="0" applyNumberFormat="1" applyBorder="1" applyAlignment="1">
      <alignment horizontal="center" vertical="center"/>
    </xf>
    <xf numFmtId="0" fontId="247" fillId="0" borderId="0" xfId="0" applyFont="1" applyAlignment="1">
      <alignment horizontal="center" vertical="center"/>
    </xf>
    <xf numFmtId="3" fontId="10" fillId="0" borderId="6" xfId="89" applyNumberFormat="1" applyFont="1" applyBorder="1" applyAlignment="1">
      <alignment horizontal="left" indent="1"/>
    </xf>
    <xf numFmtId="0" fontId="11" fillId="0" borderId="6" xfId="7" applyFont="1" applyBorder="1" applyAlignment="1">
      <alignment horizontal="left" indent="1"/>
    </xf>
    <xf numFmtId="178" fontId="10" fillId="38" borderId="6" xfId="1" applyNumberFormat="1" applyFont="1" applyFill="1" applyBorder="1" applyAlignment="1">
      <alignment horizontal="right" vertical="center"/>
    </xf>
    <xf numFmtId="3" fontId="10" fillId="136" borderId="6" xfId="89" applyNumberFormat="1" applyFont="1" applyFill="1" applyBorder="1" applyAlignment="1">
      <alignment horizontal="left" indent="1"/>
    </xf>
    <xf numFmtId="184" fontId="10" fillId="136"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2" fillId="0" borderId="0" xfId="0" applyFont="1"/>
    <xf numFmtId="0" fontId="272" fillId="0" borderId="0" xfId="0" applyFont="1" applyAlignment="1">
      <alignment horizontal="left" indent="1"/>
    </xf>
    <xf numFmtId="178" fontId="0" fillId="52" borderId="63" xfId="0" applyNumberFormat="1" applyFill="1" applyBorder="1" applyAlignment="1">
      <alignment horizontal="right" indent="1"/>
    </xf>
    <xf numFmtId="0" fontId="259" fillId="0" borderId="0" xfId="0" applyFont="1" applyAlignment="1">
      <alignment horizontal="left" indent="1"/>
    </xf>
    <xf numFmtId="0" fontId="25" fillId="0" borderId="0" xfId="75" applyFont="1" applyProtection="1">
      <protection locked="0"/>
    </xf>
    <xf numFmtId="0" fontId="25" fillId="0" borderId="0" xfId="75" applyFont="1" applyAlignment="1">
      <alignment horizontal="left" indent="1"/>
    </xf>
    <xf numFmtId="0" fontId="25" fillId="0" borderId="0" xfId="75" applyFont="1" applyAlignment="1">
      <alignment horizontal="left" vertical="center" indent="1"/>
    </xf>
    <xf numFmtId="0" fontId="10" fillId="0" borderId="0" xfId="7" applyFont="1" applyAlignment="1">
      <alignment horizontal="left" indent="1"/>
    </xf>
    <xf numFmtId="0" fontId="260" fillId="47" borderId="157" xfId="90" applyFont="1" applyFill="1" applyBorder="1" applyAlignment="1">
      <alignment horizontal="left"/>
    </xf>
    <xf numFmtId="0" fontId="0" fillId="52" borderId="157" xfId="0" applyFill="1" applyBorder="1" applyAlignment="1">
      <alignment horizontal="center" wrapText="1"/>
    </xf>
    <xf numFmtId="169" fontId="247" fillId="0" borderId="0" xfId="0" applyNumberFormat="1" applyFont="1"/>
    <xf numFmtId="0" fontId="259" fillId="47" borderId="116" xfId="0" applyFont="1" applyFill="1" applyBorder="1" applyAlignment="1">
      <alignment wrapText="1"/>
    </xf>
    <xf numFmtId="0" fontId="0" fillId="52" borderId="116" xfId="0" applyFill="1" applyBorder="1"/>
    <xf numFmtId="0" fontId="0" fillId="0" borderId="116" xfId="0" applyBorder="1" applyAlignment="1" applyProtection="1">
      <alignment horizontal="center" vertical="center"/>
      <protection locked="0"/>
    </xf>
    <xf numFmtId="0" fontId="260" fillId="47" borderId="151" xfId="90" applyFont="1" applyFill="1" applyBorder="1" applyAlignment="1" applyProtection="1">
      <alignment horizontal="left"/>
      <protection locked="0"/>
    </xf>
    <xf numFmtId="0" fontId="260" fillId="47" borderId="116" xfId="90" applyFont="1" applyFill="1" applyBorder="1" applyAlignment="1" applyProtection="1">
      <alignment horizontal="left" indent="1"/>
      <protection locked="0"/>
    </xf>
    <xf numFmtId="0" fontId="260" fillId="47" borderId="116" xfId="90" applyFont="1" applyFill="1" applyBorder="1" applyAlignment="1" applyProtection="1">
      <alignment horizontal="left"/>
      <protection locked="0"/>
    </xf>
    <xf numFmtId="0" fontId="30" fillId="47" borderId="116" xfId="90" applyFont="1" applyFill="1" applyBorder="1" applyAlignment="1" applyProtection="1">
      <alignment horizontal="left"/>
      <protection locked="0"/>
    </xf>
    <xf numFmtId="0" fontId="32" fillId="47" borderId="116" xfId="75" applyFont="1" applyFill="1" applyBorder="1" applyProtection="1">
      <protection locked="0"/>
    </xf>
    <xf numFmtId="0" fontId="260" fillId="47" borderId="157" xfId="90" applyFont="1" applyFill="1" applyBorder="1" applyAlignment="1" applyProtection="1">
      <alignment horizontal="left"/>
      <protection locked="0"/>
    </xf>
    <xf numFmtId="0" fontId="260" fillId="47" borderId="0" xfId="90" applyFont="1" applyFill="1" applyAlignment="1" applyProtection="1">
      <alignment horizontal="left" indent="1"/>
      <protection locked="0"/>
    </xf>
    <xf numFmtId="0" fontId="260" fillId="47" borderId="0" xfId="90" applyFont="1" applyFill="1" applyAlignment="1" applyProtection="1">
      <alignment horizontal="left"/>
      <protection locked="0"/>
    </xf>
    <xf numFmtId="0" fontId="30" fillId="47" borderId="0" xfId="90" applyFont="1" applyFill="1" applyAlignment="1" applyProtection="1">
      <alignment horizontal="left"/>
      <protection locked="0"/>
    </xf>
    <xf numFmtId="0" fontId="32" fillId="47" borderId="0" xfId="75" applyFont="1" applyFill="1" applyProtection="1">
      <protection locked="0"/>
    </xf>
    <xf numFmtId="0" fontId="32" fillId="47" borderId="11" xfId="75" applyFont="1" applyFill="1" applyBorder="1" applyProtection="1">
      <protection locked="0"/>
    </xf>
    <xf numFmtId="0" fontId="30" fillId="47" borderId="127" xfId="90" applyFont="1" applyFill="1" applyBorder="1" applyAlignment="1" applyProtection="1">
      <alignment horizontal="left"/>
      <protection locked="0"/>
    </xf>
    <xf numFmtId="0" fontId="32" fillId="47" borderId="127" xfId="75" applyFont="1" applyFill="1" applyBorder="1" applyProtection="1">
      <protection locked="0"/>
    </xf>
    <xf numFmtId="0" fontId="32"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8"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8" fillId="2" borderId="59" xfId="0" applyNumberFormat="1" applyFont="1" applyFill="1" applyBorder="1" applyAlignment="1" applyProtection="1">
      <alignment horizontal="center" vertical="center" wrapText="1"/>
      <protection locked="0"/>
    </xf>
    <xf numFmtId="1" fontId="8"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29" fillId="0" borderId="0" xfId="0" applyFont="1" applyProtection="1">
      <protection locked="0"/>
    </xf>
    <xf numFmtId="0" fontId="0" fillId="51" borderId="0" xfId="0" applyFill="1" applyAlignment="1" applyProtection="1">
      <alignment horizontal="left" indent="1"/>
      <protection locked="0"/>
    </xf>
    <xf numFmtId="0" fontId="260" fillId="47" borderId="116" xfId="90" applyFont="1" applyFill="1" applyBorder="1" applyAlignment="1">
      <alignment horizontal="left" indent="1"/>
    </xf>
    <xf numFmtId="0" fontId="260" fillId="47" borderId="116" xfId="90" applyFont="1" applyFill="1" applyBorder="1" applyAlignment="1">
      <alignment horizontal="left"/>
    </xf>
    <xf numFmtId="0" fontId="30" fillId="47" borderId="116" xfId="90" applyFont="1" applyFill="1" applyBorder="1" applyAlignment="1">
      <alignment horizontal="left"/>
    </xf>
    <xf numFmtId="0" fontId="32" fillId="47" borderId="116" xfId="75" applyFont="1" applyFill="1" applyBorder="1"/>
    <xf numFmtId="0" fontId="31" fillId="47" borderId="152" xfId="75" applyFont="1" applyFill="1" applyBorder="1"/>
    <xf numFmtId="0" fontId="260" fillId="47" borderId="0" xfId="90" applyFont="1" applyFill="1" applyAlignment="1">
      <alignment horizontal="left" indent="1"/>
    </xf>
    <xf numFmtId="0" fontId="32" fillId="47" borderId="0" xfId="75" applyFont="1" applyFill="1"/>
    <xf numFmtId="0" fontId="32" fillId="47" borderId="11" xfId="75" applyFont="1" applyFill="1" applyBorder="1"/>
    <xf numFmtId="0" fontId="30" fillId="47" borderId="127" xfId="90" applyFont="1" applyFill="1" applyBorder="1" applyAlignment="1">
      <alignment horizontal="left"/>
    </xf>
    <xf numFmtId="0" fontId="32" fillId="47" borderId="127" xfId="75" applyFont="1" applyFill="1" applyBorder="1"/>
    <xf numFmtId="0" fontId="32"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8" fillId="2" borderId="71" xfId="0" applyFont="1" applyFill="1" applyBorder="1" applyAlignment="1">
      <alignment horizontal="center" vertical="center"/>
    </xf>
    <xf numFmtId="1" fontId="8" fillId="2" borderId="59" xfId="0" applyNumberFormat="1" applyFont="1" applyFill="1" applyBorder="1" applyAlignment="1">
      <alignment horizontal="center" vertical="center" wrapText="1"/>
    </xf>
    <xf numFmtId="1" fontId="8" fillId="2" borderId="61" xfId="0" applyNumberFormat="1" applyFont="1" applyFill="1" applyBorder="1" applyAlignment="1">
      <alignment horizontal="center" vertical="center" wrapText="1"/>
    </xf>
    <xf numFmtId="1" fontId="8" fillId="2" borderId="59" xfId="0" applyNumberFormat="1" applyFont="1" applyFill="1" applyBorder="1" applyAlignment="1">
      <alignment horizontal="center" vertical="center"/>
    </xf>
    <xf numFmtId="0" fontId="8" fillId="53" borderId="0" xfId="0" applyFont="1" applyFill="1" applyAlignment="1">
      <alignment horizontal="left" vertical="center" indent="1"/>
    </xf>
    <xf numFmtId="0" fontId="0" fillId="53" borderId="0" xfId="0" applyFill="1" applyAlignment="1">
      <alignment vertical="center"/>
    </xf>
    <xf numFmtId="0" fontId="8"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0" fillId="38" borderId="121" xfId="77" applyNumberFormat="1" applyFont="1" applyFill="1" applyBorder="1" applyProtection="1"/>
    <xf numFmtId="175" fontId="8" fillId="0" borderId="0" xfId="0" applyNumberFormat="1" applyFont="1"/>
    <xf numFmtId="175" fontId="10" fillId="38" borderId="76" xfId="77" applyNumberFormat="1" applyFont="1" applyFill="1" applyBorder="1" applyProtection="1"/>
    <xf numFmtId="0" fontId="29" fillId="0" borderId="0" xfId="0" applyFont="1"/>
    <xf numFmtId="175" fontId="8"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0" fillId="0" borderId="0" xfId="1" applyNumberFormat="1" applyFont="1" applyAlignment="1" applyProtection="1">
      <alignment horizontal="left" indent="1"/>
    </xf>
    <xf numFmtId="0" fontId="8" fillId="51" borderId="0" xfId="0" applyFont="1" applyFill="1" applyAlignment="1">
      <alignment horizontal="left" indent="1"/>
    </xf>
    <xf numFmtId="1" fontId="0" fillId="51" borderId="0" xfId="0" applyNumberFormat="1" applyFill="1" applyAlignment="1">
      <alignment horizontal="center"/>
    </xf>
    <xf numFmtId="0" fontId="10" fillId="51" borderId="0" xfId="0" applyFont="1" applyFill="1" applyAlignment="1">
      <alignment horizontal="left" indent="1"/>
    </xf>
    <xf numFmtId="0" fontId="259" fillId="47" borderId="116" xfId="0" applyFont="1" applyFill="1" applyBorder="1" applyAlignment="1" applyProtection="1">
      <alignment horizontal="left" indent="1"/>
      <protection locked="0"/>
    </xf>
    <xf numFmtId="0" fontId="0" fillId="47" borderId="116" xfId="0" applyFill="1" applyBorder="1" applyAlignment="1" applyProtection="1">
      <alignment horizontal="center" vertical="center"/>
      <protection locked="0"/>
    </xf>
    <xf numFmtId="0" fontId="0" fillId="47" borderId="116" xfId="0" applyFill="1" applyBorder="1" applyProtection="1">
      <protection locked="0"/>
    </xf>
    <xf numFmtId="0" fontId="0" fillId="47" borderId="152" xfId="0" applyFill="1" applyBorder="1" applyProtection="1">
      <protection locked="0"/>
    </xf>
    <xf numFmtId="0" fontId="30" fillId="47" borderId="0" xfId="90" applyFont="1" applyFill="1" applyAlignment="1" applyProtection="1">
      <alignment horizontal="center" vertical="center"/>
      <protection locked="0"/>
    </xf>
    <xf numFmtId="0" fontId="260" fillId="47" borderId="127" xfId="90" applyFont="1" applyFill="1" applyBorder="1" applyAlignment="1" applyProtection="1">
      <alignment horizontal="left" indent="1"/>
      <protection locked="0"/>
    </xf>
    <xf numFmtId="0" fontId="30" fillId="47" borderId="127"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8" fillId="0" borderId="0" xfId="0" applyNumberFormat="1" applyFont="1" applyAlignment="1" applyProtection="1">
      <alignment horizontal="center"/>
      <protection locked="0"/>
    </xf>
    <xf numFmtId="0" fontId="8"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1" fillId="0" borderId="0" xfId="0" applyFont="1" applyAlignment="1" applyProtection="1">
      <alignment horizontal="left" vertical="top" indent="1"/>
      <protection locked="0"/>
    </xf>
    <xf numFmtId="0" fontId="8"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8" fillId="0" borderId="0" xfId="0" applyNumberFormat="1" applyFont="1" applyAlignment="1" applyProtection="1">
      <alignment horizontal="right"/>
      <protection locked="0"/>
    </xf>
    <xf numFmtId="0" fontId="10"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68" fillId="0" borderId="0" xfId="0" applyFont="1" applyProtection="1">
      <protection locked="0"/>
    </xf>
    <xf numFmtId="1" fontId="8" fillId="0" borderId="0" xfId="0" applyNumberFormat="1" applyFont="1" applyAlignment="1" applyProtection="1">
      <alignment horizontal="right"/>
      <protection locked="0"/>
    </xf>
    <xf numFmtId="0" fontId="10" fillId="42" borderId="0" xfId="0" applyFont="1" applyFill="1" applyAlignment="1" applyProtection="1">
      <alignment horizontal="left" vertical="center" indent="1"/>
      <protection locked="0"/>
    </xf>
    <xf numFmtId="0" fontId="10" fillId="0" borderId="0" xfId="0" applyFont="1" applyAlignment="1" applyProtection="1">
      <alignment horizontal="left" vertical="center" indent="1"/>
      <protection locked="0"/>
    </xf>
    <xf numFmtId="1" fontId="8" fillId="0" borderId="0" xfId="0" applyNumberFormat="1" applyFont="1" applyAlignment="1" applyProtection="1">
      <alignment horizontal="center"/>
      <protection locked="0"/>
    </xf>
    <xf numFmtId="0" fontId="27" fillId="0" borderId="0" xfId="0" applyFont="1" applyAlignment="1" applyProtection="1">
      <alignment horizontal="left"/>
      <protection locked="0"/>
    </xf>
    <xf numFmtId="0" fontId="26" fillId="0" borderId="0" xfId="0" applyFont="1" applyProtection="1">
      <protection locked="0"/>
    </xf>
    <xf numFmtId="0" fontId="10"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29" fillId="0" borderId="151" xfId="0" applyFont="1" applyBorder="1" applyProtection="1">
      <protection locked="0"/>
    </xf>
    <xf numFmtId="0" fontId="0" fillId="0" borderId="116" xfId="0" applyBorder="1" applyAlignment="1" applyProtection="1">
      <alignment horizontal="left" indent="1"/>
      <protection locked="0"/>
    </xf>
    <xf numFmtId="0" fontId="0" fillId="0" borderId="157" xfId="0" applyBorder="1" applyProtection="1">
      <protection locked="0"/>
    </xf>
    <xf numFmtId="170" fontId="11" fillId="0" borderId="0" xfId="1" applyNumberFormat="1" applyFont="1" applyFill="1" applyBorder="1" applyProtection="1">
      <protection locked="0"/>
    </xf>
    <xf numFmtId="170" fontId="11" fillId="0" borderId="11" xfId="1" applyNumberFormat="1" applyFont="1" applyFill="1" applyBorder="1" applyProtection="1">
      <protection locked="0"/>
    </xf>
    <xf numFmtId="0" fontId="29" fillId="0" borderId="157" xfId="0" applyFont="1" applyBorder="1" applyProtection="1">
      <protection locked="0"/>
    </xf>
    <xf numFmtId="0" fontId="0" fillId="0" borderId="157" xfId="0" applyBorder="1" applyAlignment="1" applyProtection="1">
      <alignment horizontal="left" vertical="top"/>
      <protection locked="0"/>
    </xf>
    <xf numFmtId="0" fontId="26" fillId="0" borderId="157" xfId="0" applyFont="1" applyBorder="1" applyProtection="1">
      <protection locked="0"/>
    </xf>
    <xf numFmtId="0" fontId="8" fillId="0" borderId="157" xfId="0" applyFont="1" applyBorder="1" applyProtection="1">
      <protection locked="0"/>
    </xf>
    <xf numFmtId="0" fontId="269" fillId="0" borderId="157" xfId="0" applyFont="1" applyBorder="1" applyProtection="1">
      <protection locked="0"/>
    </xf>
    <xf numFmtId="0" fontId="8" fillId="0" borderId="157" xfId="0" applyFont="1" applyBorder="1" applyAlignment="1" applyProtection="1">
      <alignment horizontal="left" vertical="top"/>
      <protection locked="0"/>
    </xf>
    <xf numFmtId="0" fontId="0" fillId="0" borderId="11" xfId="0" applyBorder="1" applyProtection="1">
      <protection locked="0"/>
    </xf>
    <xf numFmtId="0" fontId="8" fillId="0" borderId="89" xfId="0" applyFont="1" applyBorder="1" applyProtection="1">
      <protection locked="0"/>
    </xf>
    <xf numFmtId="0" fontId="0" fillId="0" borderId="127" xfId="0" applyBorder="1" applyAlignment="1" applyProtection="1">
      <alignment horizontal="left" indent="1"/>
      <protection locked="0"/>
    </xf>
    <xf numFmtId="0" fontId="0" fillId="0" borderId="0" xfId="0" quotePrefix="1" applyProtection="1">
      <protection locked="0"/>
    </xf>
    <xf numFmtId="0" fontId="8" fillId="0" borderId="0" xfId="0" applyFont="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7" xfId="0" applyFill="1" applyBorder="1" applyAlignment="1" applyProtection="1">
      <alignment horizontal="left" indent="1"/>
      <protection locked="0"/>
    </xf>
    <xf numFmtId="0" fontId="0" fillId="3" borderId="127" xfId="0" applyFill="1" applyBorder="1" applyAlignment="1" applyProtection="1">
      <alignment horizontal="center" vertical="center"/>
      <protection locked="0"/>
    </xf>
    <xf numFmtId="0" fontId="0" fillId="3" borderId="127" xfId="0" applyFill="1" applyBorder="1" applyProtection="1">
      <protection locked="0"/>
    </xf>
    <xf numFmtId="0" fontId="0" fillId="3" borderId="90" xfId="0" applyFill="1" applyBorder="1" applyProtection="1">
      <protection locked="0"/>
    </xf>
    <xf numFmtId="177" fontId="8"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8" fillId="51" borderId="59" xfId="1" applyNumberFormat="1" applyFont="1" applyFill="1" applyBorder="1" applyAlignment="1" applyProtection="1">
      <alignment horizontal="right" vertical="top"/>
    </xf>
    <xf numFmtId="170" fontId="10"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0" fillId="54" borderId="6" xfId="75" applyFont="1" applyFill="1" applyBorder="1" applyAlignment="1">
      <alignment horizontal="center" vertical="center"/>
    </xf>
    <xf numFmtId="351" fontId="0" fillId="52" borderId="6" xfId="0" applyNumberFormat="1" applyFill="1" applyBorder="1"/>
    <xf numFmtId="170" fontId="10" fillId="38" borderId="6" xfId="1" applyNumberFormat="1" applyFont="1" applyFill="1" applyBorder="1" applyProtection="1"/>
    <xf numFmtId="170" fontId="11" fillId="38" borderId="6" xfId="1" applyNumberFormat="1" applyFont="1" applyFill="1" applyBorder="1" applyProtection="1"/>
    <xf numFmtId="177" fontId="0" fillId="51" borderId="59" xfId="0" applyNumberFormat="1" applyFill="1" applyBorder="1" applyAlignment="1">
      <alignment horizontal="right" vertical="top"/>
    </xf>
    <xf numFmtId="170" fontId="11" fillId="38" borderId="11" xfId="1" applyNumberFormat="1" applyFont="1" applyFill="1" applyBorder="1" applyProtection="1"/>
    <xf numFmtId="170" fontId="11" fillId="52" borderId="6" xfId="1" applyNumberFormat="1" applyFont="1" applyFill="1" applyBorder="1" applyProtection="1"/>
    <xf numFmtId="0" fontId="30" fillId="47" borderId="116" xfId="90" applyFont="1" applyFill="1" applyBorder="1" applyAlignment="1" applyProtection="1">
      <alignment horizontal="center" vertical="center"/>
      <protection locked="0"/>
    </xf>
    <xf numFmtId="0" fontId="32" fillId="47" borderId="152" xfId="75" applyFont="1" applyFill="1" applyBorder="1" applyProtection="1">
      <protection locked="0"/>
    </xf>
    <xf numFmtId="1" fontId="8" fillId="2" borderId="71" xfId="0" applyNumberFormat="1" applyFont="1" applyFill="1" applyBorder="1" applyAlignment="1" applyProtection="1">
      <alignment horizontal="center" vertical="center"/>
      <protection locked="0"/>
    </xf>
    <xf numFmtId="1" fontId="8" fillId="2" borderId="72" xfId="0" applyNumberFormat="1" applyFont="1" applyFill="1" applyBorder="1" applyAlignment="1" applyProtection="1">
      <alignment horizontal="center" vertical="center"/>
      <protection locked="0"/>
    </xf>
    <xf numFmtId="1" fontId="8" fillId="2" borderId="73" xfId="0" applyNumberFormat="1" applyFont="1" applyFill="1" applyBorder="1" applyAlignment="1" applyProtection="1">
      <alignment horizontal="center" wrapText="1"/>
      <protection locked="0"/>
    </xf>
    <xf numFmtId="0" fontId="8"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69"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8"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2"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8" fillId="0" borderId="0" xfId="0" applyFont="1" applyAlignment="1" applyProtection="1">
      <alignment horizontal="center" vertical="center" wrapText="1"/>
      <protection locked="0"/>
    </xf>
    <xf numFmtId="0" fontId="8"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8"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8"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6"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0" fillId="52" borderId="59" xfId="2" applyNumberFormat="1" applyFont="1" applyFill="1" applyBorder="1" applyAlignment="1" applyProtection="1">
      <alignment vertical="center"/>
    </xf>
    <xf numFmtId="170" fontId="10" fillId="52" borderId="61" xfId="2" applyNumberFormat="1" applyFont="1" applyFill="1" applyBorder="1" applyAlignment="1" applyProtection="1">
      <alignment vertical="center"/>
    </xf>
    <xf numFmtId="170" fontId="10" fillId="52" borderId="68" xfId="2" applyNumberFormat="1" applyFont="1" applyFill="1" applyBorder="1" applyAlignment="1" applyProtection="1">
      <alignment vertical="center"/>
    </xf>
    <xf numFmtId="170" fontId="10"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0" fillId="52" borderId="100" xfId="2" applyNumberFormat="1" applyFont="1" applyFill="1" applyBorder="1" applyAlignment="1" applyProtection="1">
      <alignment vertical="center"/>
    </xf>
    <xf numFmtId="177" fontId="10" fillId="52" borderId="78" xfId="2" applyNumberFormat="1" applyFont="1" applyFill="1" applyBorder="1" applyAlignment="1" applyProtection="1">
      <alignment vertical="center"/>
    </xf>
    <xf numFmtId="177" fontId="10" fillId="52" borderId="101" xfId="2" applyNumberFormat="1" applyFont="1" applyFill="1" applyBorder="1" applyAlignment="1" applyProtection="1">
      <alignment vertical="center"/>
    </xf>
    <xf numFmtId="177" fontId="10" fillId="52" borderId="107"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0" fillId="52" borderId="101" xfId="2" applyNumberFormat="1" applyFont="1" applyFill="1" applyBorder="1" applyAlignment="1" applyProtection="1">
      <alignment vertical="top"/>
    </xf>
    <xf numFmtId="177" fontId="10" fillId="52" borderId="107" xfId="2" applyNumberFormat="1" applyFont="1" applyFill="1" applyBorder="1" applyAlignment="1" applyProtection="1">
      <alignment vertical="top"/>
    </xf>
    <xf numFmtId="177" fontId="8"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4" xfId="0" applyNumberFormat="1" applyFill="1" applyBorder="1" applyAlignment="1">
      <alignment horizontal="right" vertical="top"/>
    </xf>
    <xf numFmtId="177" fontId="0" fillId="52" borderId="126" xfId="0" applyNumberFormat="1" applyFill="1" applyBorder="1" applyAlignment="1">
      <alignment horizontal="right" vertical="top"/>
    </xf>
    <xf numFmtId="177" fontId="0" fillId="52" borderId="125" xfId="0" applyNumberFormat="1" applyFill="1" applyBorder="1" applyAlignment="1">
      <alignment horizontal="right" vertical="top"/>
    </xf>
    <xf numFmtId="170" fontId="10"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0" fontId="0" fillId="52" borderId="102" xfId="0" applyFill="1" applyBorder="1" applyAlignment="1">
      <alignment horizontal="right" vertical="top"/>
    </xf>
    <xf numFmtId="0" fontId="262" fillId="47" borderId="151" xfId="90" applyFont="1" applyFill="1" applyBorder="1" applyAlignment="1" applyProtection="1">
      <alignment horizontal="left"/>
      <protection locked="0"/>
    </xf>
    <xf numFmtId="0" fontId="263" fillId="47" borderId="116" xfId="90" applyFont="1" applyFill="1" applyBorder="1" applyAlignment="1" applyProtection="1">
      <alignment horizontal="left"/>
      <protection locked="0"/>
    </xf>
    <xf numFmtId="0" fontId="35" fillId="47" borderId="116" xfId="90" applyFont="1" applyFill="1" applyBorder="1" applyAlignment="1" applyProtection="1">
      <alignment horizontal="center" vertical="center"/>
      <protection locked="0"/>
    </xf>
    <xf numFmtId="0" fontId="35" fillId="47" borderId="116" xfId="90" applyFont="1" applyFill="1" applyBorder="1" applyAlignment="1" applyProtection="1">
      <alignment horizontal="left"/>
      <protection locked="0"/>
    </xf>
    <xf numFmtId="0" fontId="263" fillId="47" borderId="0" xfId="90" applyFont="1" applyFill="1" applyAlignment="1" applyProtection="1">
      <alignment horizontal="left"/>
      <protection locked="0"/>
    </xf>
    <xf numFmtId="0" fontId="35" fillId="47" borderId="0" xfId="90" applyFont="1" applyFill="1" applyAlignment="1" applyProtection="1">
      <alignment horizontal="center" vertical="center"/>
      <protection locked="0"/>
    </xf>
    <xf numFmtId="0" fontId="35" fillId="47" borderId="0" xfId="90" applyFont="1" applyFill="1" applyAlignment="1" applyProtection="1">
      <alignment horizontal="left"/>
      <protection locked="0"/>
    </xf>
    <xf numFmtId="0" fontId="35" fillId="47" borderId="127" xfId="90" applyFont="1" applyFill="1" applyBorder="1" applyAlignment="1" applyProtection="1">
      <alignment horizontal="center" vertical="center"/>
      <protection locked="0"/>
    </xf>
    <xf numFmtId="0" fontId="35" fillId="47" borderId="127" xfId="90" applyFont="1" applyFill="1" applyBorder="1" applyAlignment="1" applyProtection="1">
      <alignment horizontal="left"/>
      <protection locked="0"/>
    </xf>
    <xf numFmtId="0" fontId="267" fillId="53" borderId="0" xfId="0" applyFont="1" applyFill="1" applyAlignment="1" applyProtection="1">
      <alignment horizontal="left" vertical="top"/>
      <protection locked="0"/>
    </xf>
    <xf numFmtId="0" fontId="265"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0"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5"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5" fillId="41" borderId="6" xfId="75" applyFont="1" applyFill="1" applyBorder="1" applyProtection="1">
      <protection locked="0"/>
    </xf>
    <xf numFmtId="0" fontId="0" fillId="0" borderId="0" xfId="0" applyAlignment="1" applyProtection="1">
      <alignment horizontal="right"/>
      <protection locked="0"/>
    </xf>
    <xf numFmtId="173" fontId="37" fillId="48" borderId="0" xfId="94" applyProtection="1">
      <alignment vertical="center"/>
      <protection locked="0"/>
    </xf>
    <xf numFmtId="173" fontId="271" fillId="48" borderId="0" xfId="94" applyFont="1" applyProtection="1">
      <alignment vertical="center"/>
      <protection locked="0"/>
    </xf>
    <xf numFmtId="0" fontId="269"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8"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0" fillId="47" borderId="127" xfId="90" applyFont="1" applyFill="1" applyBorder="1" applyAlignment="1" applyProtection="1">
      <alignment horizontal="left"/>
      <protection locked="0"/>
    </xf>
    <xf numFmtId="0" fontId="262" fillId="47" borderId="127" xfId="90" applyFont="1" applyFill="1" applyBorder="1" applyAlignment="1" applyProtection="1">
      <alignment horizontal="left"/>
      <protection locked="0"/>
    </xf>
    <xf numFmtId="0" fontId="30" fillId="0" borderId="0" xfId="90" applyFont="1" applyAlignment="1" applyProtection="1">
      <alignment horizontal="left"/>
      <protection locked="0"/>
    </xf>
    <xf numFmtId="0" fontId="32" fillId="0" borderId="0" xfId="75" applyFont="1" applyProtection="1">
      <protection locked="0"/>
    </xf>
    <xf numFmtId="1" fontId="8" fillId="2" borderId="73" xfId="0" applyNumberFormat="1" applyFont="1" applyFill="1" applyBorder="1" applyAlignment="1" applyProtection="1">
      <alignment horizontal="center" vertical="center"/>
      <protection locked="0"/>
    </xf>
    <xf numFmtId="1" fontId="8" fillId="2" borderId="85" xfId="0" applyNumberFormat="1" applyFont="1" applyFill="1" applyBorder="1" applyAlignment="1" applyProtection="1">
      <alignment horizontal="center" vertical="center" wrapText="1"/>
      <protection locked="0"/>
    </xf>
    <xf numFmtId="1" fontId="8" fillId="2" borderId="73" xfId="0" applyNumberFormat="1" applyFont="1" applyFill="1" applyBorder="1" applyAlignment="1" applyProtection="1">
      <alignment horizontal="center" vertical="center" wrapText="1"/>
      <protection locked="0"/>
    </xf>
    <xf numFmtId="1" fontId="8" fillId="2" borderId="6" xfId="0" applyNumberFormat="1" applyFont="1" applyFill="1" applyBorder="1" applyAlignment="1" applyProtection="1">
      <alignment horizontal="center" vertical="center"/>
      <protection locked="0"/>
    </xf>
    <xf numFmtId="173" fontId="11" fillId="0" borderId="0" xfId="0" applyNumberFormat="1" applyFont="1" applyAlignment="1" applyProtection="1">
      <alignment horizontal="left" vertical="center"/>
      <protection locked="0"/>
    </xf>
    <xf numFmtId="0" fontId="27" fillId="0" borderId="0" xfId="0" applyFont="1" applyProtection="1">
      <protection locked="0"/>
    </xf>
    <xf numFmtId="178" fontId="0" fillId="0" borderId="0" xfId="0" applyNumberFormat="1" applyAlignment="1" applyProtection="1">
      <alignment horizontal="left" vertical="top"/>
      <protection locked="0"/>
    </xf>
    <xf numFmtId="173" fontId="10" fillId="0" borderId="0" xfId="0" applyNumberFormat="1" applyFont="1" applyAlignment="1" applyProtection="1">
      <alignment horizontal="left" vertical="center" indent="1"/>
      <protection locked="0"/>
    </xf>
    <xf numFmtId="0" fontId="11" fillId="0" borderId="0" xfId="85" applyFont="1" applyAlignment="1" applyProtection="1">
      <alignment horizontal="left" vertical="center" wrapText="1"/>
      <protection locked="0"/>
    </xf>
    <xf numFmtId="0" fontId="10" fillId="0" borderId="0" xfId="85" applyFont="1" applyAlignment="1" applyProtection="1">
      <alignment horizontal="left" vertical="center" wrapText="1" indent="1"/>
      <protection locked="0"/>
    </xf>
    <xf numFmtId="177" fontId="10" fillId="3" borderId="62" xfId="2" applyNumberFormat="1" applyFont="1" applyFill="1" applyBorder="1" applyProtection="1">
      <protection locked="0"/>
    </xf>
    <xf numFmtId="0" fontId="10" fillId="42" borderId="0" xfId="75" applyFont="1" applyFill="1" applyAlignment="1" applyProtection="1">
      <alignment horizontal="center" vertical="top"/>
      <protection locked="0"/>
    </xf>
    <xf numFmtId="177" fontId="10" fillId="0" borderId="0" xfId="2" applyNumberFormat="1" applyFont="1" applyFill="1" applyBorder="1" applyProtection="1">
      <protection locked="0"/>
    </xf>
    <xf numFmtId="0" fontId="10" fillId="0" borderId="0" xfId="7" applyFont="1" applyAlignment="1" applyProtection="1">
      <alignment horizontal="left" vertical="center" wrapText="1" indent="1"/>
      <protection locked="0"/>
    </xf>
    <xf numFmtId="177" fontId="10" fillId="0" borderId="0" xfId="1" applyNumberFormat="1" applyFont="1" applyFill="1" applyBorder="1" applyProtection="1">
      <protection locked="0"/>
    </xf>
    <xf numFmtId="177" fontId="10"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0" fillId="42" borderId="0" xfId="0" applyNumberFormat="1" applyFont="1" applyFill="1" applyAlignment="1" applyProtection="1">
      <alignment horizontal="left" vertical="center" indent="1"/>
      <protection locked="0"/>
    </xf>
    <xf numFmtId="177" fontId="11" fillId="42" borderId="28" xfId="1" applyNumberFormat="1" applyFont="1" applyFill="1" applyBorder="1" applyProtection="1">
      <protection locked="0"/>
    </xf>
    <xf numFmtId="177" fontId="11" fillId="42" borderId="28" xfId="2" applyNumberFormat="1" applyFont="1" applyFill="1" applyBorder="1" applyAlignment="1" applyProtection="1">
      <alignment horizontal="right" vertical="center"/>
      <protection locked="0"/>
    </xf>
    <xf numFmtId="173" fontId="11" fillId="0" borderId="0" xfId="0" applyNumberFormat="1" applyFont="1" applyAlignment="1" applyProtection="1">
      <alignment horizontal="left" vertical="center" indent="1"/>
      <protection locked="0"/>
    </xf>
    <xf numFmtId="0" fontId="8" fillId="53" borderId="0" xfId="0" applyFont="1" applyFill="1" applyProtection="1">
      <protection locked="0"/>
    </xf>
    <xf numFmtId="0" fontId="247"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8"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7" fillId="116" borderId="0" xfId="0" applyFont="1" applyFill="1" applyAlignment="1" applyProtection="1">
      <alignment horizontal="left" vertical="top"/>
      <protection locked="0"/>
    </xf>
    <xf numFmtId="0" fontId="247" fillId="0" borderId="0" xfId="0" applyFont="1" applyAlignment="1" applyProtection="1">
      <alignment horizontal="left" vertical="top"/>
      <protection locked="0"/>
    </xf>
    <xf numFmtId="177" fontId="10"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8"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0" fillId="52" borderId="71" xfId="2" applyNumberFormat="1" applyFont="1" applyFill="1" applyBorder="1" applyAlignment="1" applyProtection="1">
      <alignment horizontal="right" vertical="center"/>
    </xf>
    <xf numFmtId="177" fontId="10" fillId="52" borderId="73" xfId="2" applyNumberFormat="1" applyFont="1" applyFill="1" applyBorder="1" applyAlignment="1" applyProtection="1">
      <alignment horizontal="right" vertical="center"/>
    </xf>
    <xf numFmtId="177" fontId="10" fillId="3" borderId="6" xfId="2" applyNumberFormat="1" applyFont="1" applyFill="1" applyBorder="1" applyProtection="1">
      <protection locked="0"/>
    </xf>
    <xf numFmtId="0" fontId="29"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0" fillId="3" borderId="59" xfId="1" applyNumberFormat="1" applyFont="1" applyFill="1" applyBorder="1" applyProtection="1">
      <protection locked="0"/>
    </xf>
    <xf numFmtId="0" fontId="10" fillId="0" borderId="0" xfId="85" applyFont="1" applyAlignment="1" applyProtection="1">
      <alignment horizontal="left" vertical="center" wrapText="1"/>
      <protection locked="0"/>
    </xf>
    <xf numFmtId="0" fontId="10" fillId="0" borderId="0" xfId="75" applyFont="1" applyAlignment="1" applyProtection="1">
      <alignment horizontal="center" vertical="top"/>
      <protection locked="0"/>
    </xf>
    <xf numFmtId="177" fontId="8" fillId="51" borderId="71" xfId="1" applyNumberFormat="1" applyFont="1" applyFill="1" applyBorder="1" applyAlignment="1" applyProtection="1">
      <alignment horizontal="right"/>
    </xf>
    <xf numFmtId="177" fontId="10" fillId="51" borderId="59" xfId="1" applyNumberFormat="1" applyFont="1" applyFill="1" applyBorder="1" applyProtection="1"/>
    <xf numFmtId="177" fontId="10" fillId="51" borderId="62" xfId="1" applyNumberFormat="1" applyFont="1" applyFill="1" applyBorder="1" applyProtection="1"/>
    <xf numFmtId="177" fontId="8"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0" fillId="38" borderId="103" xfId="1" applyNumberFormat="1" applyFont="1" applyFill="1" applyBorder="1" applyProtection="1"/>
    <xf numFmtId="177" fontId="10" fillId="38" borderId="102" xfId="1" applyNumberFormat="1" applyFont="1" applyFill="1" applyBorder="1" applyProtection="1"/>
    <xf numFmtId="9" fontId="0" fillId="51" borderId="121" xfId="1" applyNumberFormat="1" applyFont="1" applyFill="1" applyBorder="1" applyAlignment="1" applyProtection="1">
      <alignment horizontal="right"/>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0" fillId="47" borderId="116" xfId="90" applyFont="1" applyFill="1" applyBorder="1" applyAlignment="1" applyProtection="1">
      <alignment horizontal="center"/>
      <protection locked="0"/>
    </xf>
    <xf numFmtId="0" fontId="30" fillId="47" borderId="0" xfId="90" applyFont="1" applyFill="1" applyAlignment="1" applyProtection="1">
      <alignment horizontal="center"/>
      <protection locked="0"/>
    </xf>
    <xf numFmtId="0" fontId="11" fillId="0" borderId="0" xfId="0" applyFont="1" applyAlignment="1" applyProtection="1">
      <alignment horizontal="left" vertical="top"/>
      <protection locked="0"/>
    </xf>
    <xf numFmtId="0" fontId="247"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0" fillId="131" borderId="60" xfId="2" applyNumberFormat="1" applyFont="1" applyFill="1" applyBorder="1" applyProtection="1">
      <protection locked="0"/>
    </xf>
    <xf numFmtId="177" fontId="10" fillId="131" borderId="68" xfId="2" applyNumberFormat="1" applyFont="1" applyFill="1" applyBorder="1" applyProtection="1">
      <protection locked="0"/>
    </xf>
    <xf numFmtId="177" fontId="10"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0" fillId="131" borderId="59" xfId="2" applyNumberFormat="1" applyFont="1" applyFill="1" applyBorder="1" applyProtection="1">
      <protection locked="0"/>
    </xf>
    <xf numFmtId="177" fontId="10" fillId="3" borderId="76" xfId="2" applyNumberFormat="1" applyFont="1" applyFill="1" applyBorder="1" applyProtection="1">
      <protection locked="0"/>
    </xf>
    <xf numFmtId="0" fontId="8" fillId="0" borderId="0" xfId="0" applyFont="1" applyAlignment="1" applyProtection="1">
      <alignment vertical="top"/>
      <protection locked="0"/>
    </xf>
    <xf numFmtId="177" fontId="10" fillId="131" borderId="6" xfId="2" applyNumberFormat="1" applyFont="1" applyFill="1" applyBorder="1" applyProtection="1">
      <protection locked="0"/>
    </xf>
    <xf numFmtId="177" fontId="11" fillId="0" borderId="0" xfId="2" applyNumberFormat="1" applyFont="1" applyFill="1" applyBorder="1" applyProtection="1">
      <protection locked="0"/>
    </xf>
    <xf numFmtId="352" fontId="10" fillId="0" borderId="0" xfId="2" applyNumberFormat="1" applyFont="1" applyFill="1" applyBorder="1" applyAlignment="1" applyProtection="1">
      <alignment horizontal="center"/>
      <protection locked="0"/>
    </xf>
    <xf numFmtId="177" fontId="269"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1" fillId="0" borderId="0" xfId="2" applyNumberFormat="1" applyFont="1" applyFill="1" applyBorder="1" applyProtection="1">
      <protection locked="0"/>
    </xf>
    <xf numFmtId="0" fontId="27"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11" fillId="52" borderId="59" xfId="2" applyNumberFormat="1" applyFont="1" applyFill="1" applyBorder="1" applyProtection="1"/>
    <xf numFmtId="177" fontId="11" fillId="52" borderId="60" xfId="2" applyNumberFormat="1" applyFont="1" applyFill="1" applyBorder="1" applyProtection="1"/>
    <xf numFmtId="177" fontId="11" fillId="52" borderId="74" xfId="2" applyNumberFormat="1" applyFont="1" applyFill="1" applyBorder="1" applyProtection="1"/>
    <xf numFmtId="177" fontId="11" fillId="52" borderId="121" xfId="2" applyNumberFormat="1" applyFont="1" applyFill="1" applyBorder="1" applyProtection="1"/>
    <xf numFmtId="177" fontId="11" fillId="52" borderId="71" xfId="2" applyNumberFormat="1" applyFont="1" applyFill="1" applyBorder="1" applyProtection="1"/>
    <xf numFmtId="177" fontId="11" fillId="52" borderId="149" xfId="2" applyNumberFormat="1" applyFont="1" applyFill="1" applyBorder="1" applyProtection="1"/>
    <xf numFmtId="177" fontId="11" fillId="52" borderId="123" xfId="2" applyNumberFormat="1" applyFont="1" applyFill="1" applyBorder="1" applyProtection="1"/>
    <xf numFmtId="352" fontId="10" fillId="54" borderId="71" xfId="2" applyNumberFormat="1" applyFont="1" applyFill="1" applyBorder="1" applyAlignment="1" applyProtection="1">
      <alignment horizontal="center"/>
    </xf>
    <xf numFmtId="352" fontId="10" fillId="54" borderId="149" xfId="2" applyNumberFormat="1" applyFont="1" applyFill="1" applyBorder="1" applyAlignment="1" applyProtection="1">
      <alignment horizontal="center"/>
    </xf>
    <xf numFmtId="352" fontId="10" fillId="54" borderId="123" xfId="2" applyNumberFormat="1" applyFont="1" applyFill="1" applyBorder="1" applyAlignment="1" applyProtection="1">
      <alignment horizontal="center"/>
    </xf>
    <xf numFmtId="351" fontId="11"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0" fillId="52" borderId="71" xfId="2" applyNumberFormat="1" applyFont="1" applyFill="1" applyBorder="1" applyProtection="1"/>
    <xf numFmtId="10" fontId="10" fillId="52" borderId="72" xfId="2" applyNumberFormat="1" applyFont="1" applyFill="1" applyBorder="1" applyProtection="1"/>
    <xf numFmtId="0" fontId="270" fillId="47" borderId="127" xfId="90" applyFont="1" applyFill="1" applyBorder="1" applyAlignment="1" applyProtection="1">
      <alignment horizontal="center"/>
      <protection locked="0"/>
    </xf>
    <xf numFmtId="0" fontId="244" fillId="0" borderId="0" xfId="90" applyFont="1" applyAlignment="1" applyProtection="1">
      <alignment horizontal="left"/>
      <protection locked="0"/>
    </xf>
    <xf numFmtId="0" fontId="245" fillId="0" borderId="0" xfId="0" applyFont="1" applyProtection="1">
      <protection locked="0"/>
    </xf>
    <xf numFmtId="0" fontId="247" fillId="116" borderId="0" xfId="0" applyFont="1" applyFill="1" applyAlignment="1" applyProtection="1">
      <alignment vertical="top"/>
      <protection locked="0"/>
    </xf>
    <xf numFmtId="0" fontId="8"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3" fillId="0" borderId="0" xfId="0" applyFont="1" applyProtection="1">
      <protection locked="0"/>
    </xf>
    <xf numFmtId="177" fontId="0" fillId="0" borderId="0" xfId="0" applyNumberFormat="1" applyAlignment="1" applyProtection="1">
      <alignment horizontal="right" vertical="center"/>
      <protection locked="0"/>
    </xf>
    <xf numFmtId="173" fontId="11" fillId="0" borderId="0" xfId="0" applyNumberFormat="1" applyFont="1" applyAlignment="1" applyProtection="1">
      <alignment vertical="center"/>
      <protection locked="0"/>
    </xf>
    <xf numFmtId="177" fontId="10" fillId="0" borderId="0" xfId="0" applyNumberFormat="1" applyFont="1" applyAlignment="1" applyProtection="1">
      <alignment horizontal="left" vertical="center" indent="1"/>
      <protection locked="0"/>
    </xf>
    <xf numFmtId="173" fontId="29" fillId="0" borderId="0" xfId="0" applyNumberFormat="1" applyFont="1" applyAlignment="1" applyProtection="1">
      <alignment horizontal="left" vertical="center" indent="1"/>
      <protection locked="0"/>
    </xf>
    <xf numFmtId="0" fontId="11" fillId="53" borderId="0" xfId="85" applyFont="1" applyFill="1" applyAlignment="1" applyProtection="1">
      <alignment horizontal="left" vertical="center" wrapText="1"/>
      <protection locked="0"/>
    </xf>
    <xf numFmtId="0" fontId="10" fillId="53" borderId="0" xfId="85" applyFont="1" applyFill="1" applyAlignment="1" applyProtection="1">
      <alignment horizontal="left" vertical="center" wrapText="1"/>
      <protection locked="0"/>
    </xf>
    <xf numFmtId="177" fontId="10" fillId="0" borderId="0" xfId="2" applyNumberFormat="1" applyFont="1" applyProtection="1">
      <protection locked="0"/>
    </xf>
    <xf numFmtId="1" fontId="8"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0" fillId="52" borderId="62" xfId="2" applyNumberFormat="1" applyFont="1" applyFill="1" applyBorder="1" applyProtection="1"/>
    <xf numFmtId="0" fontId="8"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8" fillId="0" borderId="0" xfId="0" applyNumberFormat="1" applyFont="1" applyProtection="1">
      <protection locked="0"/>
    </xf>
    <xf numFmtId="0" fontId="0" fillId="3" borderId="15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27" xfId="0" applyFill="1" applyBorder="1" applyAlignment="1" applyProtection="1">
      <alignment horizontal="left"/>
      <protection locked="0"/>
    </xf>
    <xf numFmtId="348" fontId="0" fillId="52" borderId="121"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8"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0" fillId="42" borderId="0" xfId="2" applyNumberFormat="1" applyFont="1" applyFill="1" applyBorder="1" applyProtection="1">
      <protection locked="0"/>
    </xf>
    <xf numFmtId="14" fontId="10" fillId="51" borderId="0" xfId="2" applyNumberFormat="1" applyFont="1" applyFill="1" applyBorder="1" applyAlignment="1" applyProtection="1">
      <alignment horizontal="center" vertical="center"/>
      <protection locked="0"/>
    </xf>
    <xf numFmtId="14" fontId="10"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0" fillId="0" borderId="0" xfId="0" applyNumberFormat="1" applyFont="1" applyAlignment="1" applyProtection="1">
      <alignment vertical="center"/>
      <protection locked="0"/>
    </xf>
    <xf numFmtId="0" fontId="0" fillId="52" borderId="138" xfId="0" applyFill="1" applyBorder="1" applyAlignment="1">
      <alignment horizontal="center"/>
    </xf>
    <xf numFmtId="0" fontId="0" fillId="52" borderId="64" xfId="0" applyFill="1" applyBorder="1" applyAlignment="1">
      <alignment horizontal="center"/>
    </xf>
    <xf numFmtId="0" fontId="0" fillId="52" borderId="140" xfId="0" applyFill="1" applyBorder="1" applyAlignment="1">
      <alignment horizontal="center"/>
    </xf>
    <xf numFmtId="10" fontId="0" fillId="52" borderId="93" xfId="0" applyNumberFormat="1" applyFill="1" applyBorder="1"/>
    <xf numFmtId="10" fontId="0" fillId="52" borderId="137" xfId="0" applyNumberFormat="1" applyFill="1" applyBorder="1"/>
    <xf numFmtId="10" fontId="0" fillId="52" borderId="95" xfId="0" applyNumberFormat="1" applyFill="1" applyBorder="1"/>
    <xf numFmtId="1" fontId="8" fillId="53" borderId="162" xfId="0" applyNumberFormat="1" applyFont="1" applyFill="1" applyBorder="1" applyAlignment="1">
      <alignment horizontal="center" vertical="center"/>
    </xf>
    <xf numFmtId="1" fontId="8"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8"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1"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8" fillId="53" borderId="175" xfId="0" applyNumberFormat="1" applyFont="1" applyFill="1" applyBorder="1" applyAlignment="1">
      <alignment horizontal="center" vertical="center"/>
    </xf>
    <xf numFmtId="1" fontId="8" fillId="53" borderId="176" xfId="0" applyNumberFormat="1" applyFont="1" applyFill="1" applyBorder="1" applyAlignment="1">
      <alignment horizontal="center" vertical="center"/>
    </xf>
    <xf numFmtId="1" fontId="8" fillId="53" borderId="177" xfId="0" applyNumberFormat="1" applyFont="1" applyFill="1" applyBorder="1" applyAlignment="1">
      <alignment horizontal="center" vertical="center"/>
    </xf>
    <xf numFmtId="1" fontId="8"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7"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5" xfId="0" applyNumberFormat="1" applyBorder="1"/>
    <xf numFmtId="10" fontId="0" fillId="0" borderId="77" xfId="0" applyNumberFormat="1" applyBorder="1"/>
    <xf numFmtId="169" fontId="0" fillId="0" borderId="0" xfId="1" applyFont="1"/>
    <xf numFmtId="0" fontId="25"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20" xfId="0" applyBorder="1" applyAlignment="1">
      <alignment horizontal="left" vertical="top" wrapText="1" indent="1"/>
    </xf>
    <xf numFmtId="169" fontId="10" fillId="52" borderId="59" xfId="1" applyFont="1" applyFill="1" applyBorder="1" applyAlignment="1" applyProtection="1">
      <alignment vertical="center"/>
    </xf>
    <xf numFmtId="169" fontId="10" fillId="52" borderId="61" xfId="1" applyFont="1" applyFill="1" applyBorder="1" applyAlignment="1" applyProtection="1">
      <alignment vertical="center"/>
    </xf>
    <xf numFmtId="43" fontId="0" fillId="0" borderId="0" xfId="0" applyNumberFormat="1"/>
    <xf numFmtId="0" fontId="0" fillId="54" borderId="0" xfId="0" applyFill="1"/>
    <xf numFmtId="0" fontId="247" fillId="54" borderId="0" xfId="0" applyFont="1" applyFill="1"/>
    <xf numFmtId="3" fontId="10"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3" fillId="0" borderId="0" xfId="93" applyFont="1"/>
    <xf numFmtId="0" fontId="0" fillId="54" borderId="0" xfId="0" applyFill="1" applyAlignment="1">
      <alignment horizontal="left" vertical="center"/>
    </xf>
    <xf numFmtId="0" fontId="0" fillId="0" borderId="151" xfId="0" applyBorder="1" applyAlignment="1">
      <alignment horizontal="left" vertical="top" wrapText="1" indent="1"/>
    </xf>
    <xf numFmtId="0" fontId="0" fillId="0" borderId="150" xfId="0" applyBorder="1" applyAlignment="1">
      <alignment vertical="top"/>
    </xf>
    <xf numFmtId="177" fontId="0" fillId="131" borderId="121"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37" borderId="0" xfId="0" applyFill="1" applyAlignment="1" applyProtection="1">
      <alignment horizontal="left" vertical="top"/>
      <protection locked="0"/>
    </xf>
    <xf numFmtId="0" fontId="0" fillId="0" borderId="150" xfId="0" applyBorder="1" applyAlignment="1">
      <alignment horizontal="left" vertical="top" wrapText="1" indent="1"/>
    </xf>
    <xf numFmtId="348" fontId="10" fillId="52" borderId="6" xfId="2" applyNumberFormat="1" applyFont="1" applyFill="1" applyBorder="1" applyProtection="1"/>
    <xf numFmtId="0" fontId="10" fillId="0" borderId="6" xfId="0" applyFont="1" applyBorder="1" applyAlignment="1">
      <alignment vertical="top" wrapText="1"/>
    </xf>
    <xf numFmtId="0" fontId="0" fillId="0" borderId="150" xfId="0" applyBorder="1" applyAlignment="1">
      <alignment vertical="top" wrapText="1"/>
    </xf>
    <xf numFmtId="0" fontId="0" fillId="0" borderId="123"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11" fillId="54" borderId="0" xfId="85" applyFont="1" applyFill="1" applyAlignment="1" applyProtection="1">
      <alignment horizontal="left" vertical="center" wrapText="1"/>
      <protection locked="0"/>
    </xf>
    <xf numFmtId="183" fontId="10" fillId="0" borderId="6" xfId="7" applyNumberFormat="1" applyFont="1" applyBorder="1" applyAlignment="1">
      <alignment horizontal="center" vertical="center"/>
    </xf>
    <xf numFmtId="0" fontId="0" fillId="54" borderId="0" xfId="0" applyFill="1" applyAlignment="1">
      <alignment wrapText="1"/>
    </xf>
    <xf numFmtId="0" fontId="0" fillId="0" borderId="6" xfId="0" applyBorder="1" applyAlignment="1">
      <alignment horizontal="left" vertical="center" wrapText="1" indent="1"/>
    </xf>
    <xf numFmtId="0" fontId="0" fillId="0" borderId="181" xfId="0" applyBorder="1" applyAlignment="1">
      <alignment vertical="top" wrapText="1"/>
    </xf>
    <xf numFmtId="0" fontId="0" fillId="0" borderId="182" xfId="0" applyBorder="1"/>
    <xf numFmtId="0" fontId="0" fillId="0" borderId="182" xfId="0" applyBorder="1" applyAlignment="1">
      <alignment horizontal="left" vertical="top" wrapText="1" indent="1"/>
    </xf>
    <xf numFmtId="0" fontId="0" fillId="0" borderId="123" xfId="0" applyBorder="1" applyAlignment="1">
      <alignment wrapText="1"/>
    </xf>
    <xf numFmtId="43" fontId="0" fillId="0" borderId="0" xfId="0" applyNumberFormat="1" applyAlignment="1" applyProtection="1">
      <alignment horizontal="center" vertical="top"/>
      <protection locked="0"/>
    </xf>
    <xf numFmtId="178" fontId="10" fillId="0" borderId="120" xfId="7" applyNumberFormat="1" applyFont="1" applyBorder="1" applyAlignment="1">
      <alignment horizontal="center" vertical="center"/>
    </xf>
    <xf numFmtId="0" fontId="8" fillId="2" borderId="150" xfId="0" applyFont="1" applyFill="1" applyBorder="1" applyAlignment="1">
      <alignment horizontal="center" vertical="center"/>
    </xf>
    <xf numFmtId="0" fontId="11" fillId="2" borderId="150" xfId="7" applyFont="1" applyFill="1" applyBorder="1" applyAlignment="1">
      <alignment horizontal="center" vertical="center"/>
    </xf>
    <xf numFmtId="178" fontId="0" fillId="52" borderId="6" xfId="0" applyNumberFormat="1" applyFill="1" applyBorder="1" applyAlignment="1">
      <alignment horizontal="right" indent="1"/>
    </xf>
    <xf numFmtId="0" fontId="0" fillId="0" borderId="119" xfId="0" applyBorder="1" applyAlignment="1">
      <alignment horizontal="left" vertical="center" wrapText="1" indent="1"/>
    </xf>
    <xf numFmtId="0" fontId="0" fillId="0" borderId="119" xfId="0" applyBorder="1" applyAlignment="1">
      <alignment wrapText="1"/>
    </xf>
    <xf numFmtId="0" fontId="0" fillId="0" borderId="119" xfId="0" applyBorder="1" applyAlignment="1">
      <alignment horizontal="left" vertical="center"/>
    </xf>
    <xf numFmtId="0" fontId="0" fillId="0" borderId="119" xfId="0" applyBorder="1" applyAlignment="1">
      <alignment vertical="center"/>
    </xf>
    <xf numFmtId="0" fontId="0" fillId="0" borderId="119"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19" xfId="0" applyBorder="1" applyAlignment="1">
      <alignment horizontal="left" vertical="center" wrapText="1"/>
    </xf>
    <xf numFmtId="0" fontId="0" fillId="0" borderId="150" xfId="0" applyBorder="1" applyAlignment="1">
      <alignment horizontal="center" vertical="top"/>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8" fillId="54" borderId="0" xfId="0" applyFont="1" applyFill="1"/>
    <xf numFmtId="0" fontId="0" fillId="54" borderId="6" xfId="0" applyFill="1" applyBorder="1" applyAlignment="1">
      <alignment horizontal="center" vertical="center" wrapText="1"/>
    </xf>
    <xf numFmtId="0" fontId="0" fillId="3" borderId="0" xfId="0" applyFill="1" applyAlignment="1" applyProtection="1">
      <alignment horizontal="left" vertical="top" wrapText="1" indent="1"/>
      <protection locked="0"/>
    </xf>
    <xf numFmtId="177" fontId="0" fillId="3" borderId="63" xfId="0" applyNumberFormat="1" applyFill="1" applyBorder="1" applyAlignment="1" applyProtection="1">
      <alignment horizontal="right" vertical="center"/>
      <protection locked="0"/>
    </xf>
    <xf numFmtId="177" fontId="10" fillId="38" borderId="65" xfId="1" applyNumberFormat="1" applyFont="1" applyFill="1" applyBorder="1" applyAlignment="1" applyProtection="1">
      <alignment vertical="center"/>
    </xf>
    <xf numFmtId="177" fontId="10" fillId="38" borderId="67" xfId="1" applyNumberFormat="1" applyFont="1" applyFill="1" applyBorder="1" applyAlignment="1" applyProtection="1">
      <alignment vertical="center"/>
    </xf>
    <xf numFmtId="177" fontId="0" fillId="3" borderId="59" xfId="0" applyNumberFormat="1" applyFill="1" applyBorder="1" applyAlignment="1" applyProtection="1">
      <alignment horizontal="right" vertical="center"/>
      <protection locked="0"/>
    </xf>
    <xf numFmtId="177" fontId="0" fillId="3" borderId="6" xfId="0" applyNumberFormat="1" applyFill="1" applyBorder="1" applyAlignment="1" applyProtection="1">
      <alignment horizontal="right" vertical="center"/>
      <protection locked="0"/>
    </xf>
    <xf numFmtId="43" fontId="0" fillId="0" borderId="0" xfId="0" applyNumberFormat="1" applyAlignment="1" applyProtection="1">
      <alignment horizontal="left" vertical="top"/>
      <protection locked="0"/>
    </xf>
    <xf numFmtId="0" fontId="0" fillId="3" borderId="157" xfId="0" applyFill="1" applyBorder="1" applyProtection="1">
      <protection locked="0"/>
    </xf>
    <xf numFmtId="0" fontId="0" fillId="54" borderId="150" xfId="0" applyFill="1" applyBorder="1" applyAlignment="1">
      <alignment horizontal="center" vertical="top"/>
    </xf>
    <xf numFmtId="0" fontId="0" fillId="0" borderId="182" xfId="0" applyBorder="1" applyAlignment="1">
      <alignment horizontal="left" vertical="center" wrapText="1" indent="1"/>
    </xf>
    <xf numFmtId="0" fontId="0" fillId="0" borderId="182" xfId="0" applyBorder="1" applyAlignment="1">
      <alignment vertical="top" wrapText="1"/>
    </xf>
    <xf numFmtId="0" fontId="0" fillId="0" borderId="182" xfId="0" applyBorder="1" applyAlignment="1">
      <alignment vertical="center"/>
    </xf>
    <xf numFmtId="177" fontId="10" fillId="39" borderId="6" xfId="75" applyNumberFormat="1" applyFont="1" applyFill="1" applyBorder="1"/>
    <xf numFmtId="14" fontId="10" fillId="3" borderId="6" xfId="2" applyNumberFormat="1" applyFont="1" applyFill="1" applyBorder="1" applyAlignment="1" applyProtection="1">
      <alignment horizontal="right"/>
      <protection locked="0"/>
    </xf>
    <xf numFmtId="0" fontId="10" fillId="3" borderId="6" xfId="2" applyNumberFormat="1" applyFont="1" applyFill="1" applyBorder="1" applyAlignment="1" applyProtection="1">
      <alignment horizontal="right" vertical="center"/>
      <protection locked="0"/>
    </xf>
    <xf numFmtId="0" fontId="0" fillId="3" borderId="0" xfId="0" applyFill="1" applyAlignment="1" applyProtection="1">
      <alignment horizontal="left" indent="2"/>
      <protection locked="0"/>
    </xf>
    <xf numFmtId="0" fontId="0" fillId="3" borderId="11" xfId="0" applyFill="1" applyBorder="1" applyAlignment="1" applyProtection="1">
      <alignment horizontal="left" indent="2"/>
      <protection locked="0"/>
    </xf>
    <xf numFmtId="0" fontId="0" fillId="3" borderId="157" xfId="0" applyFill="1" applyBorder="1" applyAlignment="1" applyProtection="1">
      <alignment horizontal="left" vertical="center" indent="2"/>
      <protection locked="0"/>
    </xf>
    <xf numFmtId="175" fontId="0" fillId="0" borderId="0" xfId="77" applyNumberFormat="1" applyFont="1" applyProtection="1">
      <protection locked="0"/>
    </xf>
    <xf numFmtId="0" fontId="0" fillId="3" borderId="6" xfId="0" applyFill="1" applyBorder="1" applyAlignment="1" applyProtection="1">
      <alignment horizontal="center"/>
      <protection locked="0"/>
    </xf>
    <xf numFmtId="0" fontId="0" fillId="0" borderId="6" xfId="0" applyBorder="1" applyAlignment="1">
      <alignment vertical="center"/>
    </xf>
    <xf numFmtId="0" fontId="0" fillId="0" borderId="6" xfId="0" quotePrefix="1" applyBorder="1" applyAlignment="1">
      <alignment wrapText="1"/>
    </xf>
    <xf numFmtId="0" fontId="0" fillId="0" borderId="0" xfId="0" applyAlignment="1">
      <alignment horizontal="center"/>
    </xf>
    <xf numFmtId="0" fontId="0" fillId="0" borderId="0" xfId="0" applyAlignment="1">
      <alignment horizontal="center"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inden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0" fontId="0" fillId="0" borderId="94" xfId="0" applyBorder="1" applyAlignment="1">
      <alignment horizontal="lef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47" xfId="0" applyBorder="1" applyAlignment="1">
      <alignment horizontal="left" vertical="center" wrapText="1" indent="1"/>
    </xf>
    <xf numFmtId="0" fontId="0" fillId="0" borderId="148" xfId="0" applyBorder="1" applyAlignment="1">
      <alignment horizontal="left" vertical="center" wrapText="1" indent="1"/>
    </xf>
    <xf numFmtId="1" fontId="8" fillId="0" borderId="159" xfId="0" applyNumberFormat="1" applyFont="1" applyBorder="1" applyAlignment="1">
      <alignment horizontal="center" vertical="center"/>
    </xf>
    <xf numFmtId="1" fontId="8" fillId="0" borderId="160" xfId="0" applyNumberFormat="1" applyFont="1" applyBorder="1" applyAlignment="1">
      <alignment horizontal="center" vertical="center"/>
    </xf>
    <xf numFmtId="1" fontId="8" fillId="0" borderId="161" xfId="0" applyNumberFormat="1" applyFont="1" applyBorder="1" applyAlignment="1">
      <alignment horizontal="center" vertical="center"/>
    </xf>
    <xf numFmtId="1" fontId="8" fillId="0" borderId="173" xfId="0" applyNumberFormat="1" applyFont="1" applyBorder="1" applyAlignment="1">
      <alignment horizontal="center" vertical="center"/>
    </xf>
    <xf numFmtId="1" fontId="8"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3" fontId="0" fillId="54" borderId="120"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0" xfId="0" applyAlignment="1">
      <alignment horizontal="left" vertical="center" wrapText="1" indent="1"/>
    </xf>
    <xf numFmtId="0" fontId="0" fillId="0" borderId="120" xfId="0" applyBorder="1" applyAlignment="1">
      <alignment horizontal="left" vertical="center" wrapText="1"/>
    </xf>
    <xf numFmtId="0" fontId="0" fillId="0" borderId="28" xfId="0" applyBorder="1" applyAlignment="1">
      <alignment horizontal="left" vertical="center" wrapText="1"/>
    </xf>
    <xf numFmtId="0" fontId="0" fillId="0" borderId="123" xfId="0" applyBorder="1" applyAlignment="1">
      <alignment horizontal="left" vertical="center" wrapText="1"/>
    </xf>
    <xf numFmtId="178" fontId="0" fillId="117" borderId="61" xfId="0" applyNumberFormat="1" applyFill="1" applyBorder="1" applyAlignment="1">
      <alignment horizontal="center"/>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51" xfId="0" applyFill="1" applyBorder="1" applyAlignment="1" applyProtection="1">
      <alignment horizontal="left" vertical="top" wrapText="1" indent="1"/>
      <protection locked="0"/>
    </xf>
    <xf numFmtId="0" fontId="0" fillId="3" borderId="116" xfId="0" applyFill="1" applyBorder="1" applyAlignment="1" applyProtection="1">
      <alignment horizontal="left" vertical="top" wrapText="1" indent="1"/>
      <protection locked="0"/>
    </xf>
    <xf numFmtId="0" fontId="0" fillId="3" borderId="152" xfId="0" applyFill="1" applyBorder="1" applyAlignment="1" applyProtection="1">
      <alignment horizontal="left" vertical="top" wrapText="1" indent="1"/>
      <protection locked="0"/>
    </xf>
    <xf numFmtId="0" fontId="0" fillId="3" borderId="157" xfId="0" applyFill="1" applyBorder="1" applyAlignment="1" applyProtection="1">
      <alignment horizontal="left" wrapText="1" indent="2"/>
      <protection locked="0"/>
    </xf>
    <xf numFmtId="0" fontId="0" fillId="3" borderId="0" xfId="0" applyFill="1" applyAlignment="1" applyProtection="1">
      <alignment horizontal="left" wrapText="1" indent="2"/>
      <protection locked="0"/>
    </xf>
    <xf numFmtId="0" fontId="0" fillId="3" borderId="11" xfId="0" applyFill="1" applyBorder="1" applyAlignment="1" applyProtection="1">
      <alignment horizontal="left" wrapText="1" indent="2"/>
      <protection locked="0"/>
    </xf>
    <xf numFmtId="0" fontId="0" fillId="0" borderId="0" xfId="0" applyAlignment="1" applyProtection="1">
      <alignment horizontal="center"/>
      <protection locked="0"/>
    </xf>
    <xf numFmtId="0" fontId="0" fillId="3" borderId="151" xfId="0" applyFill="1" applyBorder="1" applyAlignment="1" applyProtection="1">
      <alignment horizontal="left" vertical="top" wrapText="1"/>
      <protection locked="0"/>
    </xf>
    <xf numFmtId="0" fontId="0" fillId="3" borderId="116" xfId="0" applyFill="1" applyBorder="1" applyAlignment="1" applyProtection="1">
      <alignment wrapText="1"/>
      <protection locked="0"/>
    </xf>
    <xf numFmtId="0" fontId="0" fillId="3" borderId="152"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247" fillId="116" borderId="0" xfId="0" applyFont="1" applyFill="1" applyAlignment="1" applyProtection="1">
      <alignment horizontal="left" vertical="top" wrapText="1"/>
      <protection locked="0"/>
    </xf>
    <xf numFmtId="0" fontId="0" fillId="134" borderId="120"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3" xfId="0" applyFill="1" applyBorder="1" applyAlignment="1" applyProtection="1">
      <alignment horizontal="center"/>
      <protection locked="0"/>
    </xf>
    <xf numFmtId="0" fontId="0" fillId="3" borderId="116" xfId="0" applyFill="1" applyBorder="1" applyAlignment="1" applyProtection="1">
      <alignment horizontal="left" vertical="top" wrapText="1"/>
      <protection locked="0"/>
    </xf>
    <xf numFmtId="0" fontId="0" fillId="3" borderId="152" xfId="0" applyFill="1" applyBorder="1" applyAlignment="1" applyProtection="1">
      <alignment horizontal="left" vertical="top" wrapText="1"/>
      <protection locked="0"/>
    </xf>
    <xf numFmtId="0" fontId="0" fillId="3" borderId="157" xfId="0" applyFill="1" applyBorder="1" applyAlignment="1" applyProtection="1">
      <alignment horizontal="left" wrapText="1"/>
      <protection locked="0"/>
    </xf>
    <xf numFmtId="0" fontId="0" fillId="3" borderId="0" xfId="0" applyFill="1" applyAlignment="1" applyProtection="1">
      <alignment horizontal="left" wrapText="1"/>
      <protection locked="0"/>
    </xf>
    <xf numFmtId="0" fontId="0" fillId="3" borderId="11" xfId="0" applyFill="1" applyBorder="1" applyAlignment="1" applyProtection="1">
      <alignment horizontal="left" wrapText="1"/>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6"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1">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FFCC99"/>
      <color rgb="FFCCFFCC"/>
      <color rgb="FFFFFFAB"/>
      <color rgb="FFC0C0C0"/>
      <color rgb="FFFFFFCC"/>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activeCell="A2" sqref="A2"/>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785" customFormat="1" ht="56.9" customHeight="1"/>
    <row r="2" spans="1:10" ht="20">
      <c r="A2" s="95" t="s">
        <v>0</v>
      </c>
      <c r="B2" s="96"/>
      <c r="C2" s="96"/>
      <c r="D2" s="97"/>
      <c r="E2" s="98"/>
      <c r="F2" s="96"/>
      <c r="G2" s="99"/>
      <c r="H2" s="96"/>
      <c r="I2" s="96"/>
    </row>
    <row r="3" spans="1:10" ht="20">
      <c r="A3" s="95" t="str">
        <f>Licensee</f>
        <v>NPgY</v>
      </c>
      <c r="B3" s="96"/>
      <c r="C3" s="96"/>
      <c r="D3" s="98"/>
      <c r="E3" s="98"/>
      <c r="F3" s="96"/>
      <c r="G3" s="99"/>
      <c r="H3" s="96"/>
      <c r="I3" s="96"/>
    </row>
    <row r="4" spans="1:10" ht="20">
      <c r="A4" s="95" t="s">
        <v>1</v>
      </c>
      <c r="B4" s="96"/>
      <c r="C4" s="96"/>
      <c r="D4" s="98"/>
      <c r="E4" s="98"/>
      <c r="F4" s="96"/>
      <c r="G4" s="99"/>
      <c r="H4" s="96"/>
      <c r="I4" s="96"/>
    </row>
    <row r="5" spans="1:10" ht="20">
      <c r="A5" s="159"/>
      <c r="B5" s="160"/>
      <c r="C5" s="160"/>
      <c r="D5" s="161"/>
      <c r="E5" s="161"/>
      <c r="F5" s="160"/>
      <c r="G5" s="276"/>
      <c r="H5" s="160"/>
      <c r="I5" s="160"/>
    </row>
    <row r="6" spans="1:10" ht="14">
      <c r="A6" s="7"/>
      <c r="B6" s="193" t="s">
        <v>2</v>
      </c>
      <c r="C6" s="200" cm="1">
        <f t="array" ref="C6">INDEX(Data!$E$63:'Data'!$E$91,MATCH(Licensee,Data!$B$63:$B$91,0),0)</f>
        <v>2024</v>
      </c>
      <c r="D6" s="161"/>
      <c r="E6" s="161"/>
      <c r="H6" s="277"/>
    </row>
    <row r="7" spans="1:10" ht="13.5" customHeight="1">
      <c r="A7" s="7"/>
      <c r="B7" s="193" t="s">
        <v>3</v>
      </c>
      <c r="C7" s="194" t="s">
        <v>72</v>
      </c>
      <c r="D7" s="161"/>
      <c r="E7" s="161"/>
      <c r="F7" s="195"/>
      <c r="G7" s="278" t="s">
        <v>5</v>
      </c>
      <c r="H7" s="277"/>
    </row>
    <row r="8" spans="1:10" ht="13.5" customHeight="1">
      <c r="A8" s="7"/>
      <c r="B8" s="193" t="s">
        <v>6</v>
      </c>
      <c r="C8" s="711" t="str">
        <f>INDEX(Data!$A$63:$A$91,MATCH($C$7,Data!$B$63:$B$91,0),0)&amp;"2"</f>
        <v>ED2</v>
      </c>
      <c r="D8" s="161"/>
      <c r="E8" s="161"/>
      <c r="F8" s="197"/>
      <c r="G8" s="278" t="s">
        <v>7</v>
      </c>
      <c r="H8" s="277"/>
    </row>
    <row r="9" spans="1:10" ht="27">
      <c r="A9" s="7"/>
      <c r="B9" s="198" t="s">
        <v>8</v>
      </c>
      <c r="C9" s="199">
        <v>2024</v>
      </c>
      <c r="D9" s="161"/>
      <c r="E9" s="161"/>
      <c r="F9" s="200"/>
      <c r="G9" s="279" t="s">
        <v>9</v>
      </c>
      <c r="H9" s="277"/>
    </row>
    <row r="10" spans="1:10" ht="14">
      <c r="A10" s="7"/>
      <c r="B10" s="193" t="s">
        <v>10</v>
      </c>
      <c r="C10" s="199"/>
      <c r="D10" s="161"/>
      <c r="E10" s="161"/>
      <c r="F10" s="201"/>
      <c r="G10" s="278" t="s">
        <v>11</v>
      </c>
      <c r="H10" s="277"/>
    </row>
    <row r="11" spans="1:10" ht="14">
      <c r="A11" s="7"/>
      <c r="B11" s="193" t="s">
        <v>12</v>
      </c>
      <c r="C11" s="202"/>
      <c r="D11" s="161"/>
      <c r="E11" s="161"/>
      <c r="F11" s="203"/>
      <c r="G11" s="278" t="s">
        <v>13</v>
      </c>
      <c r="H11" s="277"/>
    </row>
    <row r="12" spans="1:10" ht="14">
      <c r="A12" s="7"/>
      <c r="D12" s="161"/>
      <c r="E12" s="161"/>
      <c r="F12" s="204"/>
      <c r="G12" s="278" t="s">
        <v>14</v>
      </c>
      <c r="H12" s="277"/>
    </row>
    <row r="13" spans="1:10" ht="14">
      <c r="A13" s="7"/>
      <c r="D13" s="161"/>
      <c r="E13" s="161"/>
      <c r="F13" s="205"/>
      <c r="G13" s="278" t="s">
        <v>15</v>
      </c>
      <c r="H13" s="277"/>
    </row>
    <row r="14" spans="1:10">
      <c r="A14" s="7"/>
      <c r="D14" s="161"/>
      <c r="E14" s="161"/>
      <c r="F14" s="2"/>
      <c r="G14" s="280"/>
    </row>
    <row r="15" spans="1:10">
      <c r="C15" s="161"/>
      <c r="F15" s="161"/>
      <c r="G15"/>
      <c r="H15" s="161"/>
      <c r="J15" s="161"/>
    </row>
    <row r="16" spans="1:10">
      <c r="C16" s="161"/>
      <c r="F16" s="161"/>
      <c r="G16"/>
      <c r="H16" s="161"/>
      <c r="J16" s="161"/>
    </row>
    <row r="17" spans="3:10">
      <c r="C17" s="161"/>
      <c r="F17" s="161"/>
      <c r="G17"/>
      <c r="H17" s="161"/>
      <c r="J17" s="161"/>
    </row>
    <row r="18" spans="3:10">
      <c r="C18" s="161"/>
      <c r="F18" s="161"/>
      <c r="G18"/>
      <c r="H18" s="161"/>
      <c r="J18" s="161"/>
    </row>
    <row r="19" spans="3:10">
      <c r="C19" s="161"/>
      <c r="F19" s="161"/>
      <c r="G19"/>
      <c r="H19" s="161"/>
      <c r="J19" s="161"/>
    </row>
    <row r="20" spans="3:10">
      <c r="C20" s="161"/>
      <c r="F20" s="161"/>
      <c r="G20"/>
      <c r="H20" s="161"/>
      <c r="J20" s="161"/>
    </row>
    <row r="21" spans="3:10">
      <c r="J21" s="161"/>
    </row>
    <row r="22" spans="3:10">
      <c r="C22" s="161"/>
      <c r="F22" s="161"/>
      <c r="G22"/>
      <c r="H22" s="161"/>
      <c r="J22" s="161"/>
    </row>
    <row r="23" spans="3:10">
      <c r="C23" s="161"/>
      <c r="F23" s="161"/>
      <c r="G23"/>
      <c r="H23" s="161"/>
      <c r="J23" s="161"/>
    </row>
    <row r="24" spans="3:10">
      <c r="C24" s="161"/>
      <c r="F24" s="161"/>
      <c r="G24"/>
      <c r="H24" s="161"/>
      <c r="J24" s="161"/>
    </row>
    <row r="25" spans="3:10">
      <c r="C25" s="161"/>
      <c r="F25" s="161"/>
      <c r="G25"/>
      <c r="H25" s="161"/>
      <c r="J25" s="161"/>
    </row>
    <row r="26" spans="3:10">
      <c r="C26" s="161"/>
      <c r="F26" s="161"/>
      <c r="G26"/>
      <c r="H26" s="161"/>
      <c r="J26" s="161"/>
    </row>
    <row r="27" spans="3:10">
      <c r="C27" s="161"/>
      <c r="F27" s="161"/>
      <c r="G27"/>
      <c r="H27" s="161"/>
      <c r="J27" s="161"/>
    </row>
    <row r="87" spans="1:1">
      <c r="A87" s="12"/>
    </row>
  </sheetData>
  <sheetProtection algorithmName="SHA-512" hashValue="j2LYrFSFZrKDxksWoGu6GUw7Ul6eS9ChOQnbTArTDFl16pR0mpgXOxQJTTjorCOF4tnzg37/gVakGwFrBdQwVA==" saltValue="jw9g2yfOqbVbcpqx0gFFIQ==" spinCount="100000" sheet="1" objects="1" scenarios="1"/>
  <mergeCells count="1">
    <mergeCell ref="A1:XFD1"/>
  </mergeCells>
  <pageMargins left="0.70866141732283472" right="0.70866141732283472" top="0.74803149606299213" bottom="0.74803149606299213" header="0.31496062992125984" footer="0.31496062992125984"/>
  <pageSetup scale="4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85" zoomScaleNormal="85" workbookViewId="0"/>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1.921875" customWidth="1"/>
    <col min="13" max="13" width="11.84375" customWidth="1"/>
    <col min="14" max="14" width="12.765625" customWidth="1"/>
  </cols>
  <sheetData>
    <row r="1" spans="1:14" ht="20">
      <c r="A1" s="240" t="s">
        <v>16</v>
      </c>
      <c r="B1" s="284"/>
      <c r="C1" s="284"/>
      <c r="D1" s="284"/>
      <c r="E1" s="284"/>
      <c r="F1" s="284"/>
      <c r="G1" s="284"/>
      <c r="H1" s="284"/>
      <c r="I1" s="284"/>
      <c r="J1" s="284"/>
      <c r="K1" s="284"/>
      <c r="L1" s="284"/>
      <c r="M1" s="284"/>
      <c r="N1" s="241"/>
    </row>
    <row r="2" spans="1:14" ht="20">
      <c r="A2" s="281" t="str">
        <f>Licensee</f>
        <v>NPgY</v>
      </c>
      <c r="B2" s="98"/>
      <c r="C2" s="98"/>
      <c r="D2" s="98"/>
      <c r="E2" s="98"/>
      <c r="F2" s="98"/>
      <c r="G2" s="98"/>
      <c r="H2" s="98"/>
      <c r="I2" s="98"/>
      <c r="J2" s="98"/>
      <c r="K2" s="98"/>
      <c r="L2" s="98"/>
      <c r="M2" s="98"/>
      <c r="N2" s="100"/>
    </row>
    <row r="3" spans="1:14" ht="20">
      <c r="A3" s="95">
        <f>Reporting_Year</f>
        <v>2024</v>
      </c>
      <c r="B3" s="206"/>
      <c r="C3" s="206"/>
      <c r="D3" s="206"/>
      <c r="E3" s="206"/>
      <c r="F3" s="206"/>
      <c r="G3" s="206"/>
      <c r="H3" s="206"/>
      <c r="I3" s="206"/>
      <c r="J3" s="206"/>
      <c r="K3" s="206"/>
      <c r="L3" s="206"/>
      <c r="M3" s="206"/>
      <c r="N3" s="101"/>
    </row>
    <row r="6" spans="1:14">
      <c r="B6" s="193" t="s">
        <v>17</v>
      </c>
      <c r="C6" s="209">
        <f>INDEX(O63:U91,MATCH(Licensee,Data!B63:B91,0),MATCH(Reporting_Year,Data!O62:U62,0))</f>
        <v>5.2833944000000001E-2</v>
      </c>
      <c r="F6" s="762" t="s">
        <v>18</v>
      </c>
      <c r="G6" s="34"/>
      <c r="H6" s="187" t="s">
        <v>19</v>
      </c>
      <c r="I6" s="208" t="s">
        <v>20</v>
      </c>
    </row>
    <row r="7" spans="1:14">
      <c r="B7" s="193" t="s">
        <v>21</v>
      </c>
      <c r="C7" s="209">
        <f>SUMIF(Data!$B$62:$B$91,'RFPR cover'!C7,Data!$C$62:$C$91)</f>
        <v>0.501</v>
      </c>
      <c r="F7" s="210">
        <v>0.1</v>
      </c>
      <c r="G7" s="72"/>
      <c r="H7" s="187" t="s">
        <v>22</v>
      </c>
      <c r="I7" s="188" t="s">
        <v>23</v>
      </c>
    </row>
    <row r="8" spans="1:14">
      <c r="B8" s="193" t="s">
        <v>24</v>
      </c>
      <c r="C8" s="207">
        <f>SUMIF(Data!$B$62:$B$91,'RFPR cover'!C7,Data!$D$62:$D$91)</f>
        <v>0.6</v>
      </c>
      <c r="H8" s="187" t="s">
        <v>25</v>
      </c>
      <c r="I8" s="188" t="s">
        <v>23</v>
      </c>
    </row>
    <row r="9" spans="1:14">
      <c r="B9" s="136" t="s">
        <v>26</v>
      </c>
      <c r="C9" s="196" t="str">
        <f>INDEX(Data!$F$63:$F$91,MATCH('RFPR cover'!$C$7,Data!$B$63:$B$91,0),0)</f>
        <v>£m 20/21</v>
      </c>
      <c r="H9" s="187" t="s">
        <v>27</v>
      </c>
      <c r="I9" s="188" t="s">
        <v>23</v>
      </c>
    </row>
    <row r="10" spans="1:14">
      <c r="B10" s="136" t="s">
        <v>28</v>
      </c>
      <c r="C10" s="268">
        <v>0</v>
      </c>
      <c r="H10" s="187" t="s">
        <v>29</v>
      </c>
      <c r="I10" s="188" t="s">
        <v>23</v>
      </c>
    </row>
    <row r="11" spans="1:14">
      <c r="B11" s="136" t="s">
        <v>30</v>
      </c>
      <c r="C11" s="268">
        <v>0</v>
      </c>
      <c r="H11" s="117"/>
      <c r="I11" s="265"/>
    </row>
    <row r="13" spans="1:14">
      <c r="A13" s="7"/>
      <c r="B13" s="211" t="s">
        <v>31</v>
      </c>
      <c r="C13" s="158">
        <v>0.19</v>
      </c>
      <c r="D13" s="226">
        <v>0.19</v>
      </c>
      <c r="E13" s="226">
        <v>0.19</v>
      </c>
      <c r="F13" s="226">
        <v>0.19</v>
      </c>
      <c r="G13" s="158">
        <v>0.19</v>
      </c>
      <c r="H13" s="158">
        <v>0.25</v>
      </c>
      <c r="I13" s="158">
        <v>0.25</v>
      </c>
      <c r="J13" s="158">
        <v>0.25</v>
      </c>
      <c r="K13" s="157">
        <v>0.25</v>
      </c>
      <c r="L13" s="157">
        <v>0.25</v>
      </c>
      <c r="M13" s="157">
        <v>0.25</v>
      </c>
      <c r="N13" s="157">
        <v>0.25</v>
      </c>
    </row>
    <row r="15" spans="1:14">
      <c r="A15" s="1" t="s">
        <v>32</v>
      </c>
      <c r="B15" s="761" t="s">
        <v>33</v>
      </c>
    </row>
    <row r="16" spans="1:14">
      <c r="B16" s="211" t="s">
        <v>34</v>
      </c>
      <c r="C16" s="212" t="str">
        <f t="shared" ref="C16:N16" si="0">IF(VALUE(C18)&lt;=Reporting_Year,"Actual","Forecast")</f>
        <v>Actual</v>
      </c>
      <c r="D16" s="212" t="str">
        <f t="shared" si="0"/>
        <v>Actual</v>
      </c>
      <c r="E16" s="212" t="str">
        <f t="shared" si="0"/>
        <v>Actual</v>
      </c>
      <c r="F16" s="212" t="str">
        <f t="shared" si="0"/>
        <v>Actual</v>
      </c>
      <c r="G16" s="212" t="str">
        <f t="shared" si="0"/>
        <v>Actual</v>
      </c>
      <c r="H16" s="212" t="str">
        <f t="shared" si="0"/>
        <v>Actual</v>
      </c>
      <c r="I16" s="212" t="str">
        <f t="shared" si="0"/>
        <v>Forecast</v>
      </c>
      <c r="J16" s="212" t="str">
        <f t="shared" si="0"/>
        <v>Forecast</v>
      </c>
      <c r="K16" s="212" t="str">
        <f t="shared" si="0"/>
        <v>Forecast</v>
      </c>
      <c r="L16" s="212" t="str">
        <f t="shared" si="0"/>
        <v>Forecast</v>
      </c>
      <c r="M16" s="212" t="str">
        <f t="shared" si="0"/>
        <v>Forecast</v>
      </c>
      <c r="N16" s="212" t="str">
        <f t="shared" si="0"/>
        <v>Forecast</v>
      </c>
    </row>
    <row r="17" spans="1:22">
      <c r="B17" s="211" t="s">
        <v>35</v>
      </c>
      <c r="C17" s="213">
        <v>43555</v>
      </c>
      <c r="D17" s="214">
        <v>43921</v>
      </c>
      <c r="E17" s="214">
        <v>44286</v>
      </c>
      <c r="F17" s="214">
        <v>44651</v>
      </c>
      <c r="G17" s="214">
        <v>45016</v>
      </c>
      <c r="H17" s="213">
        <v>45382</v>
      </c>
      <c r="I17" s="213">
        <v>45747</v>
      </c>
      <c r="J17" s="213">
        <v>46112</v>
      </c>
      <c r="K17" s="213">
        <v>46477</v>
      </c>
      <c r="L17" s="213">
        <v>46843</v>
      </c>
      <c r="M17" s="213">
        <v>47208</v>
      </c>
      <c r="N17" s="213">
        <v>47573</v>
      </c>
    </row>
    <row r="18" spans="1:22">
      <c r="B18" s="211" t="s">
        <v>36</v>
      </c>
      <c r="C18" s="215">
        <v>2019</v>
      </c>
      <c r="D18" s="216">
        <v>2020</v>
      </c>
      <c r="E18" s="215">
        <v>2021</v>
      </c>
      <c r="F18" s="216">
        <v>2022</v>
      </c>
      <c r="G18" s="215">
        <v>2023</v>
      </c>
      <c r="H18" s="216">
        <v>2024</v>
      </c>
      <c r="I18" s="215">
        <v>2025</v>
      </c>
      <c r="J18" s="216">
        <v>2026</v>
      </c>
      <c r="K18" s="215">
        <v>2027</v>
      </c>
      <c r="L18" s="216">
        <v>2028</v>
      </c>
      <c r="M18" s="215">
        <v>2029</v>
      </c>
      <c r="N18" s="216">
        <v>2030</v>
      </c>
    </row>
    <row r="19" spans="1:22">
      <c r="B19" s="217" t="s">
        <v>37</v>
      </c>
      <c r="C19" s="262">
        <v>283.30833333333334</v>
      </c>
      <c r="D19" s="263">
        <v>290.64166666666665</v>
      </c>
      <c r="E19" s="263">
        <v>294.16666666666669</v>
      </c>
      <c r="F19" s="263">
        <v>307.32821397646848</v>
      </c>
      <c r="G19" s="263">
        <v>334.29358180068937</v>
      </c>
      <c r="H19" s="263">
        <v>352.83651735739545</v>
      </c>
      <c r="I19" s="263">
        <v>362.76075213561671</v>
      </c>
      <c r="J19" s="263">
        <v>368.42590945714551</v>
      </c>
      <c r="K19" s="275">
        <f t="shared" ref="K19:N21" si="1">J19*(1+K$22)</f>
        <v>375.7944276462884</v>
      </c>
      <c r="L19" s="275">
        <f t="shared" si="1"/>
        <v>383.31031619921418</v>
      </c>
      <c r="M19" s="275">
        <f t="shared" si="1"/>
        <v>390.97652252319847</v>
      </c>
      <c r="N19" s="275">
        <f t="shared" si="1"/>
        <v>398.79605297366243</v>
      </c>
      <c r="O19" s="719"/>
    </row>
    <row r="20" spans="1:22">
      <c r="B20" s="217" t="s">
        <v>38</v>
      </c>
      <c r="C20" s="262">
        <v>286.64999999999998</v>
      </c>
      <c r="D20" s="263">
        <v>292.60000000000002</v>
      </c>
      <c r="E20" s="263">
        <v>298.42363263445759</v>
      </c>
      <c r="F20" s="263">
        <v>319.91658048382931</v>
      </c>
      <c r="G20" s="263">
        <v>346.54233410371501</v>
      </c>
      <c r="H20" s="263">
        <v>358.36090841458258</v>
      </c>
      <c r="I20" s="263">
        <v>365.56379133332484</v>
      </c>
      <c r="J20" s="263">
        <v>371.14521859707907</v>
      </c>
      <c r="K20" s="275">
        <f t="shared" si="1"/>
        <v>378.56812296902064</v>
      </c>
      <c r="L20" s="275">
        <f t="shared" si="1"/>
        <v>386.13948542840103</v>
      </c>
      <c r="M20" s="275">
        <f t="shared" si="1"/>
        <v>393.86227513696906</v>
      </c>
      <c r="N20" s="275">
        <f t="shared" si="1"/>
        <v>401.73952063970847</v>
      </c>
      <c r="O20" s="719"/>
    </row>
    <row r="21" spans="1:22">
      <c r="A21" s="7"/>
      <c r="B21" s="111" t="s">
        <v>39</v>
      </c>
      <c r="C21" s="264">
        <v>106.43333333333334</v>
      </c>
      <c r="D21" s="264">
        <v>108.24166666666663</v>
      </c>
      <c r="E21" s="264">
        <v>109.10833333333335</v>
      </c>
      <c r="F21" s="264">
        <v>113.11666666666667</v>
      </c>
      <c r="G21" s="264">
        <v>123.04166666666664</v>
      </c>
      <c r="H21" s="264">
        <v>129.86666666666665</v>
      </c>
      <c r="I21" s="264">
        <v>133.51942715619251</v>
      </c>
      <c r="J21" s="264">
        <v>135.60457158228363</v>
      </c>
      <c r="K21" s="275">
        <f t="shared" si="1"/>
        <v>138.31666301392931</v>
      </c>
      <c r="L21" s="275">
        <f t="shared" si="1"/>
        <v>141.08299627420791</v>
      </c>
      <c r="M21" s="275">
        <f t="shared" si="1"/>
        <v>143.90465619969208</v>
      </c>
      <c r="N21" s="275">
        <f t="shared" si="1"/>
        <v>146.78274932368592</v>
      </c>
      <c r="O21" s="719"/>
      <c r="U21" s="109"/>
      <c r="V21" s="109"/>
    </row>
    <row r="22" spans="1:22" ht="16">
      <c r="A22" s="7"/>
      <c r="B22" s="211" t="s">
        <v>40</v>
      </c>
      <c r="C22" s="111"/>
      <c r="D22" s="111"/>
      <c r="E22" s="111"/>
      <c r="F22" s="111"/>
      <c r="G22" s="111"/>
      <c r="H22" s="112"/>
      <c r="I22" s="111"/>
      <c r="J22" s="111"/>
      <c r="K22" s="158">
        <v>0.02</v>
      </c>
      <c r="L22" s="158">
        <v>0.02</v>
      </c>
      <c r="M22" s="158">
        <v>0.02</v>
      </c>
      <c r="N22" s="158">
        <v>0.02</v>
      </c>
      <c r="O22" s="123" t="s">
        <v>41</v>
      </c>
      <c r="U22" s="109"/>
      <c r="V22" s="109"/>
    </row>
    <row r="23" spans="1:22" ht="16">
      <c r="A23" s="7"/>
      <c r="H23" s="110"/>
      <c r="K23" s="722"/>
      <c r="L23" s="722"/>
      <c r="M23" s="722"/>
      <c r="N23" s="722"/>
      <c r="O23" s="123"/>
      <c r="U23" s="109"/>
      <c r="V23" s="109"/>
    </row>
    <row r="24" spans="1:22">
      <c r="A24" s="723" t="s">
        <v>42</v>
      </c>
      <c r="B24" s="761" t="s">
        <v>43</v>
      </c>
      <c r="U24" s="109"/>
      <c r="V24" s="109"/>
    </row>
    <row r="25" spans="1:22">
      <c r="A25" s="7"/>
      <c r="B25" s="211" t="s">
        <v>34</v>
      </c>
      <c r="C25" s="212" t="str">
        <f t="shared" ref="C25:N25" si="2">IF(VALUE(C27)&lt;=Reporting_Year,"Actual","Forecast")</f>
        <v>Actual</v>
      </c>
      <c r="D25" s="212" t="str">
        <f t="shared" si="2"/>
        <v>Actual</v>
      </c>
      <c r="E25" s="212" t="str">
        <f t="shared" si="2"/>
        <v>Actual</v>
      </c>
      <c r="F25" s="212" t="str">
        <f t="shared" si="2"/>
        <v>Actual</v>
      </c>
      <c r="G25" s="212" t="str">
        <f t="shared" si="2"/>
        <v>Actual</v>
      </c>
      <c r="H25" s="212" t="str">
        <f t="shared" si="2"/>
        <v>Actual</v>
      </c>
      <c r="I25" s="212" t="str">
        <f t="shared" si="2"/>
        <v>Forecast</v>
      </c>
      <c r="J25" s="212" t="str">
        <f t="shared" si="2"/>
        <v>Forecast</v>
      </c>
      <c r="K25" s="212" t="str">
        <f t="shared" si="2"/>
        <v>Forecast</v>
      </c>
      <c r="L25" s="212" t="str">
        <f t="shared" si="2"/>
        <v>Forecast</v>
      </c>
      <c r="M25" s="212" t="str">
        <f t="shared" si="2"/>
        <v>Forecast</v>
      </c>
      <c r="N25" s="212" t="str">
        <f t="shared" si="2"/>
        <v>Forecast</v>
      </c>
      <c r="U25" s="109"/>
      <c r="V25" s="109"/>
    </row>
    <row r="26" spans="1:22">
      <c r="A26" s="7"/>
      <c r="B26" s="211" t="s">
        <v>35</v>
      </c>
      <c r="C26" s="213">
        <v>43555</v>
      </c>
      <c r="D26" s="214">
        <v>43921</v>
      </c>
      <c r="E26" s="214">
        <v>44286</v>
      </c>
      <c r="F26" s="214">
        <v>44651</v>
      </c>
      <c r="G26" s="214">
        <v>45016</v>
      </c>
      <c r="H26" s="213">
        <v>45382</v>
      </c>
      <c r="I26" s="213">
        <v>45747</v>
      </c>
      <c r="J26" s="213">
        <v>46112</v>
      </c>
      <c r="K26" s="213">
        <v>46477</v>
      </c>
      <c r="L26" s="213">
        <v>46843</v>
      </c>
      <c r="M26" s="213">
        <v>47208</v>
      </c>
      <c r="N26" s="213">
        <v>47573</v>
      </c>
      <c r="U26" s="109"/>
      <c r="V26" s="109"/>
    </row>
    <row r="27" spans="1:22">
      <c r="A27" s="7"/>
      <c r="B27" s="211" t="s">
        <v>36</v>
      </c>
      <c r="C27" s="215">
        <v>2019</v>
      </c>
      <c r="D27" s="216">
        <v>2020</v>
      </c>
      <c r="E27" s="215">
        <v>2021</v>
      </c>
      <c r="F27" s="216">
        <v>2022</v>
      </c>
      <c r="G27" s="215">
        <v>2023</v>
      </c>
      <c r="H27" s="216">
        <v>2024</v>
      </c>
      <c r="I27" s="215">
        <v>2025</v>
      </c>
      <c r="J27" s="216">
        <v>2026</v>
      </c>
      <c r="K27" s="747">
        <v>2027</v>
      </c>
      <c r="L27" s="748">
        <v>2028</v>
      </c>
      <c r="M27" s="747">
        <v>2029</v>
      </c>
      <c r="N27" s="748">
        <v>2030</v>
      </c>
      <c r="U27" s="109"/>
      <c r="V27" s="109"/>
    </row>
    <row r="28" spans="1:22">
      <c r="A28" s="7"/>
      <c r="B28" s="217" t="s">
        <v>37</v>
      </c>
      <c r="C28" s="262">
        <v>283.30833333333334</v>
      </c>
      <c r="D28" s="263">
        <v>290.64166666666665</v>
      </c>
      <c r="E28" s="263">
        <v>294.16666666666669</v>
      </c>
      <c r="F28" s="263">
        <v>311.1583333333333</v>
      </c>
      <c r="G28" s="263">
        <v>351.2166666666667</v>
      </c>
      <c r="H28" s="263">
        <v>376.71650221738128</v>
      </c>
      <c r="I28" s="263">
        <v>387.31240946880854</v>
      </c>
      <c r="J28" s="746">
        <v>393.36098478822686</v>
      </c>
      <c r="K28" s="746">
        <v>400.10713081968424</v>
      </c>
      <c r="L28" s="746">
        <v>407.86168457870718</v>
      </c>
      <c r="M28" s="749">
        <f t="shared" ref="M28:M29" si="3">L28*(1+M$22)</f>
        <v>416.01891827028135</v>
      </c>
      <c r="N28" s="749">
        <f t="shared" ref="N28:N29" si="4">M28*(1+N$22)</f>
        <v>424.33929663568699</v>
      </c>
      <c r="O28" s="719"/>
      <c r="U28" s="109"/>
      <c r="V28" s="109"/>
    </row>
    <row r="29" spans="1:22">
      <c r="A29" s="7"/>
      <c r="B29" s="211" t="s">
        <v>38</v>
      </c>
      <c r="C29" s="262">
        <v>286.64999999999998</v>
      </c>
      <c r="D29" s="263">
        <v>292.60000000000002</v>
      </c>
      <c r="E29" s="263">
        <v>299</v>
      </c>
      <c r="F29" s="263">
        <v>329.05</v>
      </c>
      <c r="G29" s="263">
        <v>369.68596214511041</v>
      </c>
      <c r="H29" s="263">
        <v>382.61478420795106</v>
      </c>
      <c r="I29" s="263">
        <v>390.30515843381772</v>
      </c>
      <c r="J29" s="263">
        <v>396.53092678776676</v>
      </c>
      <c r="K29" s="263">
        <v>403.89717347988523</v>
      </c>
      <c r="L29" s="263">
        <v>411.56717534019282</v>
      </c>
      <c r="M29" s="749">
        <f t="shared" si="3"/>
        <v>419.79851884699667</v>
      </c>
      <c r="N29" s="749">
        <f t="shared" si="4"/>
        <v>428.19448922393661</v>
      </c>
      <c r="O29" s="719"/>
      <c r="U29" s="109"/>
      <c r="V29" s="109"/>
    </row>
    <row r="31" spans="1:22" ht="14.25" customHeight="1">
      <c r="B31" s="761" t="s">
        <v>44</v>
      </c>
      <c r="M31" s="10"/>
    </row>
    <row r="32" spans="1:22" ht="48.65" customHeight="1">
      <c r="E32" s="212" t="str">
        <f>IF(E33&lt;='RFPR cover'!$C$9,"Actuals","Forecast")</f>
        <v>Actuals</v>
      </c>
      <c r="F32" s="212" t="str">
        <f>IF(F33&lt;='RFPR cover'!$C$9,"Actuals","Forecast")</f>
        <v>Actuals</v>
      </c>
      <c r="G32" s="212" t="str">
        <f>IF(G33&lt;='RFPR cover'!$C$9,"Actuals","Forecast")</f>
        <v>Actuals</v>
      </c>
      <c r="H32" s="212" t="str">
        <f>IF(H33&lt;='RFPR cover'!$C$9,"Actuals","Forecast")</f>
        <v>Actuals</v>
      </c>
      <c r="I32" s="212" t="str">
        <f>IF(I33&lt;='RFPR cover'!$C$9,"Actuals","Forecast")</f>
        <v>Forecast</v>
      </c>
      <c r="J32" s="212" t="str">
        <f>IF(J33&lt;='RFPR cover'!$C$9,"Actuals","Forecast")</f>
        <v>Forecast</v>
      </c>
      <c r="K32" s="212" t="str">
        <f>IF(K33&lt;='RFPR cover'!$C$9,"Actuals","Forecast")</f>
        <v>Forecast</v>
      </c>
      <c r="L32" s="212" t="str">
        <f>IF(L33&lt;='RFPR cover'!$C$9,"Actuals","Forecast")</f>
        <v>Forecast</v>
      </c>
      <c r="M32" s="117"/>
      <c r="N32" s="302"/>
      <c r="O32" s="302"/>
      <c r="P32" s="302"/>
      <c r="Q32" s="302"/>
      <c r="R32" s="302"/>
      <c r="S32" s="302"/>
    </row>
    <row r="33" spans="1:23" ht="58.5" customHeight="1">
      <c r="E33" s="137">
        <v>2021</v>
      </c>
      <c r="F33" s="138">
        <f t="shared" ref="F33:L33" si="5">E33+1</f>
        <v>2022</v>
      </c>
      <c r="G33" s="138">
        <f t="shared" si="5"/>
        <v>2023</v>
      </c>
      <c r="H33" s="138">
        <f t="shared" si="5"/>
        <v>2024</v>
      </c>
      <c r="I33" s="138">
        <f t="shared" si="5"/>
        <v>2025</v>
      </c>
      <c r="J33" s="138">
        <f t="shared" si="5"/>
        <v>2026</v>
      </c>
      <c r="K33" s="138">
        <f t="shared" si="5"/>
        <v>2027</v>
      </c>
      <c r="L33" s="138">
        <f t="shared" si="5"/>
        <v>2028</v>
      </c>
      <c r="M33" s="117"/>
    </row>
    <row r="34" spans="1:23" ht="71.150000000000006" customHeight="1">
      <c r="A34" s="108"/>
      <c r="D34" s="218" t="s">
        <v>45</v>
      </c>
      <c r="E34" s="738">
        <f>IF(SectorCov="ED2",E28/INDEX($C$28:$N$28,MATCH($E$27,$C$27:$N$27,0)),E19/INDEX($C$19:$N$19,MATCH($C$18,$C$18:$N$18,0)))</f>
        <v>1</v>
      </c>
      <c r="F34" s="738">
        <f t="shared" ref="F34:L34" si="6">IF(SectorCov="ED2",F28/INDEX($C$28:$N$28,MATCH($E$27,$C$27:$N$27,0)),F19/INDEX($C$19:$N$19,MATCH($C$18,$C$18:$N$18,0)))</f>
        <v>1.0577620396600564</v>
      </c>
      <c r="G34" s="738">
        <f t="shared" si="6"/>
        <v>1.1939376770538244</v>
      </c>
      <c r="H34" s="738">
        <f t="shared" si="6"/>
        <v>1.2806226704273584</v>
      </c>
      <c r="I34" s="738">
        <f t="shared" si="6"/>
        <v>1.3166427517353263</v>
      </c>
      <c r="J34" s="738">
        <f t="shared" si="6"/>
        <v>1.3372044808664936</v>
      </c>
      <c r="K34" s="738">
        <f t="shared" si="6"/>
        <v>1.3601375551943939</v>
      </c>
      <c r="L34" s="738">
        <f t="shared" si="6"/>
        <v>1.3864986444601943</v>
      </c>
      <c r="M34" s="724"/>
    </row>
    <row r="35" spans="1:23" ht="40.5">
      <c r="A35" s="108"/>
      <c r="B35" s="108"/>
      <c r="C35" s="108"/>
      <c r="D35" s="125" t="s">
        <v>46</v>
      </c>
      <c r="E35" s="738">
        <f>IF(Sector="ED2",INDEX(Data!$C$28:$N$28,MATCH(E$33,Data!$C$27:$N$27,0))/INDEX(Data!$C$28:$N$28,MATCH(E$33-1,Data!$C$27:$N$27,0)),INDEX(Data!$C$19:$N$19,MATCH(E$33,Data!$C$18:$N$18,0))/INDEX(Data!$C$19:$N$19,MATCH(E$33-1,Data!$C$18:$N$18,0)))</f>
        <v>1.0121283367262093</v>
      </c>
      <c r="F35" s="738">
        <f>IF(Sector="ED2",INDEX(Data!$C$28:$N$28,MATCH(F$33,Data!$C$27:$N$27,0))/INDEX(Data!$C$28:$N$28,MATCH(F$33-1,Data!$C$27:$N$27,0)),INDEX(Data!$C$19:$N$19,MATCH(F$33,Data!$C$18:$N$18,0))/INDEX(Data!$C$19:$N$19,MATCH(F$33-1,Data!$C$18:$N$18,0)))</f>
        <v>1.0577620396600564</v>
      </c>
      <c r="G35" s="738">
        <f>IF(Sector="ED2",INDEX(Data!$C$28:$N$28,MATCH(G$33,Data!$C$27:$N$27,0))/INDEX(Data!$C$28:$N$28,MATCH(G$33-1,Data!$C$27:$N$27,0)),INDEX(Data!$C$19:$N$19,MATCH(G$33,Data!$C$18:$N$18,0))/INDEX(Data!$C$19:$N$19,MATCH(G$33-1,Data!$C$18:$N$18,0)))</f>
        <v>1.1287393877714991</v>
      </c>
      <c r="H35" s="738">
        <f>IF(Sector="ED2",INDEX(Data!$C$28:$N$28,MATCH(H$33,Data!$C$27:$N$27,0))/INDEX(Data!$C$28:$N$28,MATCH(H$33-1,Data!$C$27:$N$27,0)),INDEX(Data!$C$19:$N$19,MATCH(H$33,Data!$C$18:$N$18,0))/INDEX(Data!$C$19:$N$19,MATCH(H$33-1,Data!$C$18:$N$18,0)))</f>
        <v>1.0726042866721812</v>
      </c>
      <c r="I35" s="738">
        <f>IF(Sector="ED2",INDEX(Data!$C$28:$N$28,MATCH(I$33,Data!$C$27:$N$27,0))/INDEX(Data!$C$28:$N$28,MATCH(I$33-1,Data!$C$27:$N$27,0)),INDEX(Data!$C$19:$N$19,MATCH(I$33,Data!$C$18:$N$18,0))/INDEX(Data!$C$19:$N$19,MATCH(I$33-1,Data!$C$18:$N$18,0)))</f>
        <v>1.0281270058228376</v>
      </c>
      <c r="J35" s="738">
        <f>IF(Sector="ED2",INDEX(Data!$C$28:$N$28,MATCH(J$33,Data!$C$27:$N$27,0))/INDEX(Data!$C$28:$N$28,MATCH(J$33-1,Data!$C$27:$N$27,0)),INDEX(Data!$C$19:$N$19,MATCH(J$33,Data!$C$18:$N$18,0))/INDEX(Data!$C$19:$N$19,MATCH(J$33-1,Data!$C$18:$N$18,0)))</f>
        <v>1.015616786789026</v>
      </c>
      <c r="K35" s="738">
        <f>IF(Sector="ED2",INDEX(Data!$C$28:$N$28,MATCH(K$33,Data!$C$27:$N$27,0))/INDEX(Data!$C$28:$N$28,MATCH(K$33-1,Data!$C$27:$N$27,0)),INDEX(Data!$C$19:$N$19,MATCH(K$33,Data!$C$18:$N$18,0))/INDEX(Data!$C$19:$N$19,MATCH(K$33-1,Data!$C$18:$N$18,0)))</f>
        <v>1.017150013072825</v>
      </c>
      <c r="L35" s="738">
        <f>IF(Sector="ED2",INDEX(Data!$C$28:$N$28,MATCH(L$33,Data!$C$27:$N$27,0))/INDEX(Data!$C$28:$N$28,MATCH(L$33-1,Data!$C$27:$N$27,0)),INDEX(Data!$C$19:$N$19,MATCH(L$33,Data!$C$18:$N$18,0))/INDEX(Data!$C$19:$N$19,MATCH(L$33-1,Data!$C$18:$N$18,0)))</f>
        <v>1.0193811935896679</v>
      </c>
      <c r="M35" s="117"/>
      <c r="N35" s="110"/>
      <c r="O35" s="110"/>
      <c r="P35" s="110"/>
      <c r="Q35" s="110"/>
      <c r="R35" s="110"/>
      <c r="S35" s="110"/>
      <c r="T35" s="110"/>
      <c r="U35" s="110"/>
      <c r="V35" s="110"/>
      <c r="W35" s="110"/>
    </row>
    <row r="36" spans="1:23" ht="67.5">
      <c r="A36" s="108"/>
      <c r="D36" s="125" t="s">
        <v>47</v>
      </c>
      <c r="E36" s="738">
        <f>IF(SectorCov="ED2",INDEX(Data!$C$29:$N$29,MATCH(E$33,Data!$C$27:$N$27,0))/Data!$E$28,INDEX(Data!$C$20:$N$20,MATCH(E$33,Data!$C$18:$N$18,0))/Data!$C$19)</f>
        <v>1.0164305949008499</v>
      </c>
      <c r="F36" s="738">
        <f>IF(SectorCov="ED2",INDEX(Data!$C$29:$N$29,MATCH(F$33,Data!$C$27:$N$27,0))/Data!$E$28,INDEX(Data!$C$20:$N$20,MATCH(F$33,Data!$C$18:$N$18,0))/Data!$C$19)</f>
        <v>1.1185835694050992</v>
      </c>
      <c r="G36" s="738">
        <f>IF(SectorCov="ED2",INDEX(Data!$C$29:$N$29,MATCH(G$33,Data!$C$27:$N$27,0))/Data!$E$28,INDEX(Data!$C$20:$N$20,MATCH(G$33,Data!$C$18:$N$18,0))/Data!$C$19)</f>
        <v>1.2567228174904603</v>
      </c>
      <c r="H36" s="738">
        <f>IF(SectorCov="ED2",INDEX(Data!$C$29:$N$29,MATCH(H$33,Data!$C$27:$N$27,0))/Data!$E$28,INDEX(Data!$C$20:$N$20,MATCH(H$33,Data!$C$18:$N$18,0))/Data!$C$19)</f>
        <v>1.3006734873924681</v>
      </c>
      <c r="I36" s="738">
        <f>IF(SectorCov="ED2",INDEX(Data!$C$29:$N$29,MATCH(I$33,Data!$C$27:$N$27,0))/Data!$E$28,INDEX(Data!$C$20:$N$20,MATCH(I$33,Data!$C$18:$N$18,0))/Data!$C$19)</f>
        <v>1.3268164026078788</v>
      </c>
      <c r="J36" s="738">
        <f>IF(SectorCov="ED2",INDEX(Data!$C$29:$N$29,MATCH(J$33,Data!$C$27:$N$27,0))/Data!$E$28,INDEX(Data!$C$20:$N$20,MATCH(J$33,Data!$C$18:$N$18,0))/Data!$C$19)</f>
        <v>1.3479804876637962</v>
      </c>
      <c r="K36" s="738">
        <f>IF(SectorCov="ED2",INDEX(Data!$C$29:$N$29,MATCH(K$33,Data!$C$27:$N$27,0))/Data!$E$28,INDEX(Data!$C$20:$N$20,MATCH(K$33,Data!$C$18:$N$18,0))/Data!$C$19)</f>
        <v>1.3730215529061254</v>
      </c>
      <c r="L36" s="738">
        <f>IF(SectorCov="ED2",INDEX(Data!$C$29:$N$29,MATCH(L$33,Data!$C$27:$N$27,0))/Data!$E$28,INDEX(Data!$C$20:$N$20,MATCH(L$33,Data!$C$18:$N$18,0))/Data!$C$19)</f>
        <v>1.3990952136210519</v>
      </c>
      <c r="M36" s="117"/>
    </row>
    <row r="37" spans="1:23" ht="54" customHeight="1">
      <c r="A37" s="108"/>
      <c r="B37" s="786" t="s">
        <v>48</v>
      </c>
      <c r="C37" s="786"/>
      <c r="D37" s="786"/>
      <c r="E37" s="786"/>
      <c r="F37" s="786"/>
      <c r="G37" s="786"/>
      <c r="H37" s="786"/>
      <c r="I37" s="786"/>
      <c r="J37" s="786"/>
      <c r="K37" s="786"/>
      <c r="L37" s="786"/>
      <c r="M37" s="786"/>
      <c r="N37" s="786"/>
      <c r="O37" s="786"/>
      <c r="P37" s="786"/>
      <c r="Q37" s="37"/>
    </row>
    <row r="38" spans="1:23">
      <c r="B38" s="88"/>
      <c r="C38" s="108"/>
      <c r="D38" s="108"/>
      <c r="E38" s="108"/>
      <c r="F38" s="108"/>
      <c r="G38" s="108"/>
      <c r="H38" s="108"/>
      <c r="I38" s="108"/>
      <c r="J38" s="108"/>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7">
        <v>2022</v>
      </c>
      <c r="D41" s="138">
        <f t="shared" ref="D41" si="7">C41+1</f>
        <v>2023</v>
      </c>
      <c r="E41" s="138">
        <f t="shared" ref="E41" si="8">D41+1</f>
        <v>2024</v>
      </c>
      <c r="F41" s="138">
        <f t="shared" ref="F41" si="9">E41+1</f>
        <v>2025</v>
      </c>
      <c r="G41" s="138">
        <f t="shared" ref="G41" si="10">F41+1</f>
        <v>2026</v>
      </c>
      <c r="H41" s="138">
        <f t="shared" ref="H41" si="11">G41+1</f>
        <v>2027</v>
      </c>
      <c r="I41" s="138">
        <f t="shared" ref="I41" si="12">H41+1</f>
        <v>2028</v>
      </c>
    </row>
    <row r="42" spans="1:23">
      <c r="B42" s="135" t="s">
        <v>50</v>
      </c>
      <c r="C42" s="126"/>
      <c r="D42" s="127"/>
      <c r="E42" s="119">
        <v>3.04E-2</v>
      </c>
      <c r="F42" s="119">
        <v>3.1099999999999999E-2</v>
      </c>
      <c r="G42" s="119">
        <v>3.1699999999999999E-2</v>
      </c>
      <c r="H42" s="119">
        <v>3.1800000000000002E-2</v>
      </c>
      <c r="I42" s="120">
        <v>3.2000000000000001E-2</v>
      </c>
      <c r="J42" s="719"/>
    </row>
    <row r="43" spans="1:23">
      <c r="B43" s="705" t="s">
        <v>51</v>
      </c>
      <c r="C43" s="706"/>
      <c r="D43" s="707"/>
      <c r="E43" s="708">
        <v>3.04E-2</v>
      </c>
      <c r="F43" s="708">
        <v>3.1099999999999999E-2</v>
      </c>
      <c r="G43" s="708">
        <v>3.1699999999999999E-2</v>
      </c>
      <c r="H43" s="708">
        <v>3.1800000000000002E-2</v>
      </c>
      <c r="I43" s="709">
        <v>3.2000000000000001E-2</v>
      </c>
      <c r="J43" s="719"/>
    </row>
    <row r="44" spans="1:23">
      <c r="B44" s="705" t="s">
        <v>52</v>
      </c>
      <c r="C44" s="706"/>
      <c r="D44" s="707"/>
      <c r="E44" s="708">
        <v>3.04E-2</v>
      </c>
      <c r="F44" s="708">
        <v>3.1099999999999999E-2</v>
      </c>
      <c r="G44" s="708">
        <v>3.1699999999999999E-2</v>
      </c>
      <c r="H44" s="708">
        <v>3.1800000000000002E-2</v>
      </c>
      <c r="I44" s="709">
        <v>3.2000000000000001E-2</v>
      </c>
      <c r="J44" s="719"/>
    </row>
    <row r="45" spans="1:23">
      <c r="A45" s="113"/>
      <c r="B45" s="129" t="s">
        <v>53</v>
      </c>
      <c r="C45" s="128"/>
      <c r="D45" s="73"/>
      <c r="E45" s="121">
        <v>3.1E-2</v>
      </c>
      <c r="F45" s="121">
        <v>3.1699999999999999E-2</v>
      </c>
      <c r="G45" s="121">
        <v>3.2300000000000002E-2</v>
      </c>
      <c r="H45" s="121">
        <v>3.2399999999999998E-2</v>
      </c>
      <c r="I45" s="51">
        <v>3.2599999999999997E-2</v>
      </c>
      <c r="J45" s="719"/>
    </row>
    <row r="46" spans="1:23">
      <c r="A46" s="113"/>
      <c r="B46" s="129" t="s">
        <v>54</v>
      </c>
      <c r="C46" s="129">
        <v>1.8184707641684131E-2</v>
      </c>
      <c r="D46" s="121">
        <v>1.5809503423148775E-2</v>
      </c>
      <c r="E46" s="121">
        <v>1.8000565597912722E-2</v>
      </c>
      <c r="F46" s="121">
        <v>2.3276186478151731E-2</v>
      </c>
      <c r="G46" s="121">
        <v>2.7418061040625063E-2</v>
      </c>
      <c r="H46" s="73"/>
      <c r="I46" s="130"/>
      <c r="J46" s="719"/>
    </row>
    <row r="47" spans="1:23">
      <c r="A47" s="114"/>
      <c r="B47" s="129" t="s">
        <v>55</v>
      </c>
      <c r="C47" s="129">
        <v>2.0500000000000001E-2</v>
      </c>
      <c r="D47" s="121">
        <v>1.9E-2</v>
      </c>
      <c r="E47" s="121">
        <v>1.9199999999999998E-2</v>
      </c>
      <c r="F47" s="121">
        <v>2.1100000000000001E-2</v>
      </c>
      <c r="G47" s="121">
        <v>2.29E-2</v>
      </c>
      <c r="H47" s="73"/>
      <c r="I47" s="130"/>
      <c r="J47" s="719"/>
      <c r="N47" s="102"/>
      <c r="O47" s="102"/>
      <c r="P47" s="102"/>
      <c r="Q47" s="102"/>
      <c r="R47" s="102"/>
    </row>
    <row r="48" spans="1:23">
      <c r="A48" s="113"/>
      <c r="B48" s="129" t="s">
        <v>25</v>
      </c>
      <c r="C48" s="129">
        <v>2.0500000000000001E-2</v>
      </c>
      <c r="D48" s="121">
        <v>1.9E-2</v>
      </c>
      <c r="E48" s="121">
        <v>1.9199999999999998E-2</v>
      </c>
      <c r="F48" s="121">
        <v>2.1100000000000001E-2</v>
      </c>
      <c r="G48" s="121">
        <v>2.29E-2</v>
      </c>
      <c r="H48" s="73"/>
      <c r="I48" s="130"/>
      <c r="J48" s="719"/>
    </row>
    <row r="49" spans="1:23">
      <c r="A49" s="113"/>
      <c r="B49" s="129" t="s">
        <v>56</v>
      </c>
      <c r="C49" s="129">
        <v>2.1100000000000001E-2</v>
      </c>
      <c r="D49" s="121">
        <v>1.9599999999999999E-2</v>
      </c>
      <c r="E49" s="121">
        <v>1.9799999999999998E-2</v>
      </c>
      <c r="F49" s="121">
        <v>2.1700000000000001E-2</v>
      </c>
      <c r="G49" s="121">
        <v>2.35E-2</v>
      </c>
      <c r="H49" s="73"/>
      <c r="I49" s="130"/>
      <c r="J49" s="719"/>
    </row>
    <row r="50" spans="1:23">
      <c r="A50" s="113"/>
      <c r="B50" s="129" t="s">
        <v>27</v>
      </c>
      <c r="C50" s="129">
        <v>2.0500000000000001E-2</v>
      </c>
      <c r="D50" s="121">
        <v>1.9E-2</v>
      </c>
      <c r="E50" s="121">
        <v>1.9199999999999998E-2</v>
      </c>
      <c r="F50" s="121">
        <v>2.1100000000000001E-2</v>
      </c>
      <c r="G50" s="121">
        <v>2.29E-2</v>
      </c>
      <c r="H50" s="73"/>
      <c r="I50" s="130"/>
      <c r="J50" s="719"/>
    </row>
    <row r="51" spans="1:23">
      <c r="A51" s="113"/>
      <c r="B51" s="131" t="s">
        <v>29</v>
      </c>
      <c r="C51" s="131">
        <v>-5.9999999999999995E-4</v>
      </c>
      <c r="D51" s="132">
        <v>2.12E-2</v>
      </c>
      <c r="E51" s="132">
        <v>5.0099999999999999E-2</v>
      </c>
      <c r="F51" s="132">
        <v>4.7300000000000002E-2</v>
      </c>
      <c r="G51" s="132">
        <v>4.19E-2</v>
      </c>
      <c r="H51" s="133"/>
      <c r="I51" s="134"/>
      <c r="J51" s="719"/>
    </row>
    <row r="52" spans="1:23">
      <c r="C52" s="168"/>
      <c r="D52" s="168"/>
      <c r="E52" s="168"/>
      <c r="F52" s="168"/>
      <c r="G52" s="168"/>
      <c r="H52" s="14"/>
    </row>
    <row r="53" spans="1:23">
      <c r="B53" s="52" t="s">
        <v>57</v>
      </c>
      <c r="C53" s="34"/>
      <c r="D53" s="34"/>
      <c r="E53" s="34"/>
      <c r="F53" s="34"/>
      <c r="G53" s="34"/>
      <c r="I53" s="14"/>
    </row>
    <row r="54" spans="1:23">
      <c r="A54" s="12" t="s">
        <v>6</v>
      </c>
      <c r="C54" s="137">
        <v>2022</v>
      </c>
      <c r="D54" s="138">
        <f t="shared" ref="D54:I54" si="13">C54+1</f>
        <v>2023</v>
      </c>
      <c r="E54" s="138">
        <f t="shared" si="13"/>
        <v>2024</v>
      </c>
      <c r="F54" s="138">
        <f t="shared" si="13"/>
        <v>2025</v>
      </c>
      <c r="G54" s="138">
        <f t="shared" si="13"/>
        <v>2026</v>
      </c>
      <c r="H54" s="138">
        <f t="shared" si="13"/>
        <v>2027</v>
      </c>
      <c r="I54" s="138">
        <f t="shared" si="13"/>
        <v>2028</v>
      </c>
    </row>
    <row r="55" spans="1:23">
      <c r="A55" s="12" t="s">
        <v>42</v>
      </c>
      <c r="B55" s="129" t="s">
        <v>19</v>
      </c>
      <c r="C55" s="128"/>
      <c r="D55" s="73"/>
      <c r="E55" s="121">
        <v>5.2833944000000001E-2</v>
      </c>
      <c r="F55" s="121">
        <v>5.5875458000000003E-2</v>
      </c>
      <c r="G55" s="121">
        <v>5.5175427000000006E-2</v>
      </c>
      <c r="H55" s="121">
        <v>5.5320261000000003E-2</v>
      </c>
      <c r="I55" s="51">
        <v>5.5489234000000012E-2</v>
      </c>
    </row>
    <row r="56" spans="1:23">
      <c r="A56" s="12" t="s">
        <v>58</v>
      </c>
      <c r="B56" s="129" t="s">
        <v>22</v>
      </c>
      <c r="C56" s="129">
        <v>4.2439449777777784E-2</v>
      </c>
      <c r="D56" s="121">
        <v>4.2616093333333334E-2</v>
      </c>
      <c r="E56" s="121">
        <v>4.909683911111111E-2</v>
      </c>
      <c r="F56" s="121">
        <v>5.2011518222222233E-2</v>
      </c>
      <c r="G56" s="121">
        <v>5.158926844444444E-2</v>
      </c>
      <c r="H56" s="73"/>
      <c r="I56" s="130"/>
      <c r="N56" s="102"/>
      <c r="O56" s="102"/>
      <c r="P56" s="102"/>
      <c r="Q56" s="102"/>
      <c r="R56" s="102"/>
    </row>
    <row r="57" spans="1:23">
      <c r="A57" s="12" t="s">
        <v>59</v>
      </c>
      <c r="B57" s="129" t="s">
        <v>25</v>
      </c>
      <c r="C57" s="129">
        <v>4.5181881000000007E-2</v>
      </c>
      <c r="D57" s="121">
        <v>4.5568104999999998E-2</v>
      </c>
      <c r="E57" s="121">
        <v>5.2833943999999994E-2</v>
      </c>
      <c r="F57" s="121">
        <v>5.5875458000000003E-2</v>
      </c>
      <c r="G57" s="121">
        <v>5.5175426999999992E-2</v>
      </c>
      <c r="H57" s="73"/>
      <c r="I57" s="130"/>
    </row>
    <row r="58" spans="1:23">
      <c r="A58" s="12" t="s">
        <v>60</v>
      </c>
      <c r="B58" s="129" t="s">
        <v>27</v>
      </c>
      <c r="C58" s="227">
        <v>4.5181881000000007E-2</v>
      </c>
      <c r="D58" s="228">
        <v>4.5568104999999991E-2</v>
      </c>
      <c r="E58" s="228">
        <v>5.2833943999999994E-2</v>
      </c>
      <c r="F58" s="228">
        <v>5.587545800000001E-2</v>
      </c>
      <c r="G58" s="228">
        <v>5.5175426999999992E-2</v>
      </c>
      <c r="H58" s="73"/>
      <c r="I58" s="130"/>
    </row>
    <row r="59" spans="1:23">
      <c r="A59" s="12" t="s">
        <v>61</v>
      </c>
      <c r="B59" s="131" t="s">
        <v>29</v>
      </c>
      <c r="C59" s="229">
        <v>7.5718976000000007E-2</v>
      </c>
      <c r="D59" s="229">
        <v>7.5510080000000007E-2</v>
      </c>
      <c r="E59" s="229">
        <v>7.1580223999999998E-2</v>
      </c>
      <c r="F59" s="229">
        <v>6.9935168000000006E-2</v>
      </c>
      <c r="G59" s="229">
        <v>7.0313792E-2</v>
      </c>
      <c r="H59" s="170"/>
      <c r="I59" s="134"/>
    </row>
    <row r="60" spans="1:23" ht="14" thickBot="1">
      <c r="A60" s="113"/>
      <c r="B60" s="168"/>
      <c r="C60" s="168"/>
      <c r="D60" s="168"/>
      <c r="E60" s="168"/>
      <c r="F60" s="168"/>
      <c r="G60" s="168"/>
      <c r="H60" s="169"/>
      <c r="I60" s="169"/>
    </row>
    <row r="61" spans="1:23" s="110" customFormat="1" ht="41" thickBot="1">
      <c r="A61"/>
      <c r="B61" s="3"/>
      <c r="C61" s="185" t="s">
        <v>62</v>
      </c>
      <c r="D61" s="185" t="s">
        <v>63</v>
      </c>
      <c r="E61" s="185" t="s">
        <v>64</v>
      </c>
      <c r="F61" s="185" t="s">
        <v>65</v>
      </c>
      <c r="G61" s="186" t="s">
        <v>66</v>
      </c>
      <c r="H61" s="820" t="s">
        <v>67</v>
      </c>
      <c r="I61" s="821"/>
      <c r="J61" s="821"/>
      <c r="K61" s="821"/>
      <c r="L61" s="821"/>
      <c r="M61" s="821"/>
      <c r="N61" s="821"/>
      <c r="O61" s="817" t="s">
        <v>68</v>
      </c>
      <c r="P61" s="818"/>
      <c r="Q61" s="818"/>
      <c r="R61" s="818"/>
      <c r="S61" s="818"/>
      <c r="T61" s="818"/>
      <c r="U61" s="819"/>
      <c r="V61"/>
      <c r="W61"/>
    </row>
    <row r="62" spans="1:23" ht="14" thickBot="1">
      <c r="A62" s="48" t="s">
        <v>6</v>
      </c>
      <c r="B62" s="181" t="s">
        <v>69</v>
      </c>
      <c r="C62" s="182"/>
      <c r="D62" s="182"/>
      <c r="E62" s="183"/>
      <c r="F62" s="184"/>
      <c r="G62" s="696"/>
      <c r="H62" s="700">
        <v>2022</v>
      </c>
      <c r="I62" s="701">
        <f t="shared" ref="I62:N62" si="14">H62+1</f>
        <v>2023</v>
      </c>
      <c r="J62" s="701">
        <f t="shared" si="14"/>
        <v>2024</v>
      </c>
      <c r="K62" s="702">
        <f t="shared" si="14"/>
        <v>2025</v>
      </c>
      <c r="L62" s="702">
        <f t="shared" si="14"/>
        <v>2026</v>
      </c>
      <c r="M62" s="702">
        <f t="shared" si="14"/>
        <v>2027</v>
      </c>
      <c r="N62" s="703">
        <f t="shared" si="14"/>
        <v>2028</v>
      </c>
      <c r="O62" s="685">
        <v>2022</v>
      </c>
      <c r="P62" s="172">
        <f t="shared" ref="P62:U62" si="15">O62+1</f>
        <v>2023</v>
      </c>
      <c r="Q62" s="172">
        <f t="shared" si="15"/>
        <v>2024</v>
      </c>
      <c r="R62" s="173">
        <f t="shared" si="15"/>
        <v>2025</v>
      </c>
      <c r="S62" s="173">
        <f t="shared" si="15"/>
        <v>2026</v>
      </c>
      <c r="T62" s="173">
        <f t="shared" si="15"/>
        <v>2027</v>
      </c>
      <c r="U62" s="686">
        <f t="shared" si="15"/>
        <v>2028</v>
      </c>
    </row>
    <row r="63" spans="1:23">
      <c r="A63" s="12" t="s">
        <v>19</v>
      </c>
      <c r="B63" s="176" t="s">
        <v>70</v>
      </c>
      <c r="C63" s="175">
        <v>0.50600000000000001</v>
      </c>
      <c r="D63" s="121">
        <v>0.6</v>
      </c>
      <c r="E63" s="177">
        <v>2024</v>
      </c>
      <c r="F63" s="679" t="str">
        <f t="shared" ref="F63:F91" si="16">VLOOKUP($A63,$H$6:$I$10,2,FALSE)</f>
        <v>£m 20/21</v>
      </c>
      <c r="G63" s="697" t="s">
        <v>53</v>
      </c>
      <c r="H63" s="704"/>
      <c r="I63" s="174"/>
      <c r="J63" s="683">
        <f t="shared" ref="J63:N76" si="17">INDEX($C$42:$I$51,MATCH($G63,$B$42:$B$51,0),MATCH(J$62,$C$41:$I$41))</f>
        <v>3.1E-2</v>
      </c>
      <c r="K63" s="683">
        <f t="shared" si="17"/>
        <v>3.1699999999999999E-2</v>
      </c>
      <c r="L63" s="683">
        <f t="shared" si="17"/>
        <v>3.2300000000000002E-2</v>
      </c>
      <c r="M63" s="682">
        <f t="shared" si="17"/>
        <v>3.2399999999999998E-2</v>
      </c>
      <c r="N63" s="688">
        <f t="shared" si="17"/>
        <v>3.2599999999999997E-2</v>
      </c>
      <c r="O63" s="687"/>
      <c r="P63" s="127"/>
      <c r="Q63" s="684">
        <f t="shared" ref="Q63:U76" si="18">INDEX($C$55:$I$59,MATCH($A63,$B$55:$B$59,0),MATCH(Q$62,$C$54:$I$54))</f>
        <v>5.2833944000000001E-2</v>
      </c>
      <c r="R63" s="684">
        <f t="shared" si="18"/>
        <v>5.5875458000000003E-2</v>
      </c>
      <c r="S63" s="684">
        <f t="shared" si="18"/>
        <v>5.5175427000000006E-2</v>
      </c>
      <c r="T63" s="682">
        <f t="shared" si="18"/>
        <v>5.5320261000000003E-2</v>
      </c>
      <c r="U63" s="688">
        <f t="shared" si="18"/>
        <v>5.5489234000000012E-2</v>
      </c>
    </row>
    <row r="64" spans="1:23">
      <c r="A64" s="12" t="s">
        <v>19</v>
      </c>
      <c r="B64" s="178" t="s">
        <v>71</v>
      </c>
      <c r="C64" s="121">
        <v>0.501</v>
      </c>
      <c r="D64" s="121">
        <v>0.6</v>
      </c>
      <c r="E64" s="49">
        <v>2024</v>
      </c>
      <c r="F64" s="680" t="str">
        <f t="shared" si="16"/>
        <v>£m 20/21</v>
      </c>
      <c r="G64" s="698" t="s">
        <v>53</v>
      </c>
      <c r="H64" s="689"/>
      <c r="I64" s="73"/>
      <c r="J64" s="682">
        <f t="shared" si="17"/>
        <v>3.1E-2</v>
      </c>
      <c r="K64" s="682">
        <f t="shared" si="17"/>
        <v>3.1699999999999999E-2</v>
      </c>
      <c r="L64" s="682">
        <f t="shared" si="17"/>
        <v>3.2300000000000002E-2</v>
      </c>
      <c r="M64" s="682">
        <f t="shared" si="17"/>
        <v>3.2399999999999998E-2</v>
      </c>
      <c r="N64" s="688">
        <f t="shared" si="17"/>
        <v>3.2599999999999997E-2</v>
      </c>
      <c r="O64" s="689"/>
      <c r="P64" s="73"/>
      <c r="Q64" s="682">
        <f t="shared" si="18"/>
        <v>5.2833944000000001E-2</v>
      </c>
      <c r="R64" s="682">
        <f t="shared" si="18"/>
        <v>5.5875458000000003E-2</v>
      </c>
      <c r="S64" s="682">
        <f t="shared" si="18"/>
        <v>5.5175427000000006E-2</v>
      </c>
      <c r="T64" s="682">
        <f t="shared" si="18"/>
        <v>5.5320261000000003E-2</v>
      </c>
      <c r="U64" s="688">
        <f t="shared" si="18"/>
        <v>5.5489234000000012E-2</v>
      </c>
    </row>
    <row r="65" spans="1:21">
      <c r="A65" s="12" t="s">
        <v>19</v>
      </c>
      <c r="B65" s="178" t="s">
        <v>72</v>
      </c>
      <c r="C65" s="121">
        <v>0.501</v>
      </c>
      <c r="D65" s="121">
        <v>0.6</v>
      </c>
      <c r="E65" s="49">
        <v>2024</v>
      </c>
      <c r="F65" s="680" t="str">
        <f t="shared" si="16"/>
        <v>£m 20/21</v>
      </c>
      <c r="G65" s="698" t="s">
        <v>53</v>
      </c>
      <c r="H65" s="689"/>
      <c r="I65" s="73"/>
      <c r="J65" s="682">
        <f t="shared" si="17"/>
        <v>3.1E-2</v>
      </c>
      <c r="K65" s="682">
        <f t="shared" si="17"/>
        <v>3.1699999999999999E-2</v>
      </c>
      <c r="L65" s="682">
        <f t="shared" si="17"/>
        <v>3.2300000000000002E-2</v>
      </c>
      <c r="M65" s="682">
        <f t="shared" si="17"/>
        <v>3.2399999999999998E-2</v>
      </c>
      <c r="N65" s="688">
        <f t="shared" si="17"/>
        <v>3.2599999999999997E-2</v>
      </c>
      <c r="O65" s="689"/>
      <c r="P65" s="73"/>
      <c r="Q65" s="682">
        <f t="shared" si="18"/>
        <v>5.2833944000000001E-2</v>
      </c>
      <c r="R65" s="682">
        <f t="shared" si="18"/>
        <v>5.5875458000000003E-2</v>
      </c>
      <c r="S65" s="682">
        <f t="shared" si="18"/>
        <v>5.5175427000000006E-2</v>
      </c>
      <c r="T65" s="682">
        <f t="shared" si="18"/>
        <v>5.5320261000000003E-2</v>
      </c>
      <c r="U65" s="688">
        <f t="shared" si="18"/>
        <v>5.5489234000000012E-2</v>
      </c>
    </row>
    <row r="66" spans="1:21">
      <c r="A66" s="12" t="s">
        <v>19</v>
      </c>
      <c r="B66" s="178" t="s">
        <v>52</v>
      </c>
      <c r="C66" s="121">
        <v>0.5</v>
      </c>
      <c r="D66" s="121">
        <v>0.6</v>
      </c>
      <c r="E66" s="49">
        <v>2024</v>
      </c>
      <c r="F66" s="680" t="str">
        <f t="shared" si="16"/>
        <v>£m 20/21</v>
      </c>
      <c r="G66" s="698" t="s">
        <v>52</v>
      </c>
      <c r="H66" s="689"/>
      <c r="I66" s="73"/>
      <c r="J66" s="682">
        <f t="shared" si="17"/>
        <v>3.04E-2</v>
      </c>
      <c r="K66" s="682">
        <f t="shared" si="17"/>
        <v>3.1099999999999999E-2</v>
      </c>
      <c r="L66" s="682">
        <f t="shared" si="17"/>
        <v>3.1699999999999999E-2</v>
      </c>
      <c r="M66" s="682">
        <f t="shared" si="17"/>
        <v>3.1800000000000002E-2</v>
      </c>
      <c r="N66" s="688">
        <f t="shared" si="17"/>
        <v>3.2000000000000001E-2</v>
      </c>
      <c r="O66" s="689"/>
      <c r="P66" s="73"/>
      <c r="Q66" s="682">
        <f t="shared" si="18"/>
        <v>5.2833944000000001E-2</v>
      </c>
      <c r="R66" s="682">
        <f t="shared" si="18"/>
        <v>5.5875458000000003E-2</v>
      </c>
      <c r="S66" s="682">
        <f t="shared" si="18"/>
        <v>5.5175427000000006E-2</v>
      </c>
      <c r="T66" s="682">
        <f t="shared" si="18"/>
        <v>5.5320261000000003E-2</v>
      </c>
      <c r="U66" s="688">
        <f t="shared" si="18"/>
        <v>5.5489234000000012E-2</v>
      </c>
    </row>
    <row r="67" spans="1:21">
      <c r="A67" s="12" t="s">
        <v>19</v>
      </c>
      <c r="B67" s="178" t="s">
        <v>4</v>
      </c>
      <c r="C67" s="121">
        <v>0.5</v>
      </c>
      <c r="D67" s="121">
        <v>0.6</v>
      </c>
      <c r="E67" s="49">
        <v>2024</v>
      </c>
      <c r="F67" s="680" t="str">
        <f t="shared" si="16"/>
        <v>£m 20/21</v>
      </c>
      <c r="G67" s="698" t="s">
        <v>53</v>
      </c>
      <c r="H67" s="689"/>
      <c r="I67" s="73"/>
      <c r="J67" s="682">
        <f t="shared" si="17"/>
        <v>3.1E-2</v>
      </c>
      <c r="K67" s="682">
        <f t="shared" si="17"/>
        <v>3.1699999999999999E-2</v>
      </c>
      <c r="L67" s="682">
        <f t="shared" si="17"/>
        <v>3.2300000000000002E-2</v>
      </c>
      <c r="M67" s="682">
        <f t="shared" si="17"/>
        <v>3.2399999999999998E-2</v>
      </c>
      <c r="N67" s="688">
        <f t="shared" si="17"/>
        <v>3.2599999999999997E-2</v>
      </c>
      <c r="O67" s="689"/>
      <c r="P67" s="73"/>
      <c r="Q67" s="682">
        <f t="shared" si="18"/>
        <v>5.2833944000000001E-2</v>
      </c>
      <c r="R67" s="682">
        <f t="shared" si="18"/>
        <v>5.5875458000000003E-2</v>
      </c>
      <c r="S67" s="682">
        <f t="shared" si="18"/>
        <v>5.5175427000000006E-2</v>
      </c>
      <c r="T67" s="682">
        <f t="shared" si="18"/>
        <v>5.5320261000000003E-2</v>
      </c>
      <c r="U67" s="688">
        <f t="shared" si="18"/>
        <v>5.5489234000000012E-2</v>
      </c>
    </row>
    <row r="68" spans="1:21">
      <c r="A68" s="12" t="s">
        <v>19</v>
      </c>
      <c r="B68" s="178" t="s">
        <v>73</v>
      </c>
      <c r="C68" s="121">
        <v>0.5</v>
      </c>
      <c r="D68" s="121">
        <v>0.6</v>
      </c>
      <c r="E68" s="49">
        <v>2024</v>
      </c>
      <c r="F68" s="680" t="str">
        <f t="shared" si="16"/>
        <v>£m 20/21</v>
      </c>
      <c r="G68" s="698" t="s">
        <v>53</v>
      </c>
      <c r="H68" s="689"/>
      <c r="I68" s="73"/>
      <c r="J68" s="682">
        <f t="shared" si="17"/>
        <v>3.1E-2</v>
      </c>
      <c r="K68" s="682">
        <f t="shared" si="17"/>
        <v>3.1699999999999999E-2</v>
      </c>
      <c r="L68" s="682">
        <f t="shared" si="17"/>
        <v>3.2300000000000002E-2</v>
      </c>
      <c r="M68" s="682">
        <f t="shared" si="17"/>
        <v>3.2399999999999998E-2</v>
      </c>
      <c r="N68" s="688">
        <f t="shared" si="17"/>
        <v>3.2599999999999997E-2</v>
      </c>
      <c r="O68" s="689"/>
      <c r="P68" s="73"/>
      <c r="Q68" s="682">
        <f t="shared" si="18"/>
        <v>5.2833944000000001E-2</v>
      </c>
      <c r="R68" s="682">
        <f t="shared" si="18"/>
        <v>5.5875458000000003E-2</v>
      </c>
      <c r="S68" s="682">
        <f t="shared" si="18"/>
        <v>5.5175427000000006E-2</v>
      </c>
      <c r="T68" s="682">
        <f t="shared" si="18"/>
        <v>5.5320261000000003E-2</v>
      </c>
      <c r="U68" s="688">
        <f t="shared" si="18"/>
        <v>5.5489234000000012E-2</v>
      </c>
    </row>
    <row r="69" spans="1:21">
      <c r="A69" s="12" t="s">
        <v>19</v>
      </c>
      <c r="B69" s="178" t="s">
        <v>74</v>
      </c>
      <c r="C69" s="121">
        <v>0.5</v>
      </c>
      <c r="D69" s="121">
        <v>0.6</v>
      </c>
      <c r="E69" s="49">
        <v>2024</v>
      </c>
      <c r="F69" s="680" t="str">
        <f t="shared" si="16"/>
        <v>£m 20/21</v>
      </c>
      <c r="G69" s="698" t="s">
        <v>53</v>
      </c>
      <c r="H69" s="689"/>
      <c r="I69" s="73"/>
      <c r="J69" s="682">
        <f t="shared" si="17"/>
        <v>3.1E-2</v>
      </c>
      <c r="K69" s="682">
        <f t="shared" si="17"/>
        <v>3.1699999999999999E-2</v>
      </c>
      <c r="L69" s="682">
        <f t="shared" si="17"/>
        <v>3.2300000000000002E-2</v>
      </c>
      <c r="M69" s="682">
        <f t="shared" si="17"/>
        <v>3.2399999999999998E-2</v>
      </c>
      <c r="N69" s="688">
        <f t="shared" si="17"/>
        <v>3.2599999999999997E-2</v>
      </c>
      <c r="O69" s="689"/>
      <c r="P69" s="73"/>
      <c r="Q69" s="682">
        <f t="shared" si="18"/>
        <v>5.2833944000000001E-2</v>
      </c>
      <c r="R69" s="682">
        <f t="shared" si="18"/>
        <v>5.5875458000000003E-2</v>
      </c>
      <c r="S69" s="682">
        <f t="shared" si="18"/>
        <v>5.5175427000000006E-2</v>
      </c>
      <c r="T69" s="682">
        <f t="shared" si="18"/>
        <v>5.5320261000000003E-2</v>
      </c>
      <c r="U69" s="688">
        <f t="shared" si="18"/>
        <v>5.5489234000000012E-2</v>
      </c>
    </row>
    <row r="70" spans="1:21">
      <c r="A70" s="12" t="s">
        <v>19</v>
      </c>
      <c r="B70" s="178" t="s">
        <v>75</v>
      </c>
      <c r="C70" s="121">
        <v>0.5</v>
      </c>
      <c r="D70" s="121">
        <v>0.6</v>
      </c>
      <c r="E70" s="49">
        <v>2024</v>
      </c>
      <c r="F70" s="680" t="str">
        <f t="shared" si="16"/>
        <v>£m 20/21</v>
      </c>
      <c r="G70" s="698" t="s">
        <v>53</v>
      </c>
      <c r="H70" s="689"/>
      <c r="I70" s="73"/>
      <c r="J70" s="682">
        <f t="shared" si="17"/>
        <v>3.1E-2</v>
      </c>
      <c r="K70" s="682">
        <f t="shared" si="17"/>
        <v>3.1699999999999999E-2</v>
      </c>
      <c r="L70" s="682">
        <f t="shared" si="17"/>
        <v>3.2300000000000002E-2</v>
      </c>
      <c r="M70" s="682">
        <f t="shared" si="17"/>
        <v>3.2399999999999998E-2</v>
      </c>
      <c r="N70" s="688">
        <f t="shared" si="17"/>
        <v>3.2599999999999997E-2</v>
      </c>
      <c r="O70" s="689"/>
      <c r="P70" s="73"/>
      <c r="Q70" s="682">
        <f t="shared" si="18"/>
        <v>5.2833944000000001E-2</v>
      </c>
      <c r="R70" s="682">
        <f t="shared" si="18"/>
        <v>5.5875458000000003E-2</v>
      </c>
      <c r="S70" s="682">
        <f t="shared" si="18"/>
        <v>5.5175427000000006E-2</v>
      </c>
      <c r="T70" s="682">
        <f t="shared" si="18"/>
        <v>5.5320261000000003E-2</v>
      </c>
      <c r="U70" s="688">
        <f t="shared" si="18"/>
        <v>5.5489234000000012E-2</v>
      </c>
    </row>
    <row r="71" spans="1:21">
      <c r="A71" s="12" t="s">
        <v>19</v>
      </c>
      <c r="B71" s="178" t="s">
        <v>76</v>
      </c>
      <c r="C71" s="121">
        <v>0.50700000000000001</v>
      </c>
      <c r="D71" s="121">
        <v>0.6</v>
      </c>
      <c r="E71" s="49">
        <v>2024</v>
      </c>
      <c r="F71" s="680" t="str">
        <f t="shared" si="16"/>
        <v>£m 20/21</v>
      </c>
      <c r="G71" s="698" t="s">
        <v>53</v>
      </c>
      <c r="H71" s="689"/>
      <c r="I71" s="73"/>
      <c r="J71" s="682">
        <f t="shared" si="17"/>
        <v>3.1E-2</v>
      </c>
      <c r="K71" s="682">
        <f t="shared" si="17"/>
        <v>3.1699999999999999E-2</v>
      </c>
      <c r="L71" s="682">
        <f t="shared" si="17"/>
        <v>3.2300000000000002E-2</v>
      </c>
      <c r="M71" s="682">
        <f t="shared" si="17"/>
        <v>3.2399999999999998E-2</v>
      </c>
      <c r="N71" s="688">
        <f t="shared" si="17"/>
        <v>3.2599999999999997E-2</v>
      </c>
      <c r="O71" s="689"/>
      <c r="P71" s="73"/>
      <c r="Q71" s="682">
        <f t="shared" si="18"/>
        <v>5.2833944000000001E-2</v>
      </c>
      <c r="R71" s="682">
        <f t="shared" si="18"/>
        <v>5.5875458000000003E-2</v>
      </c>
      <c r="S71" s="682">
        <f t="shared" si="18"/>
        <v>5.5175427000000006E-2</v>
      </c>
      <c r="T71" s="682">
        <f t="shared" si="18"/>
        <v>5.5320261000000003E-2</v>
      </c>
      <c r="U71" s="688">
        <f t="shared" si="18"/>
        <v>5.5489234000000012E-2</v>
      </c>
    </row>
    <row r="72" spans="1:21">
      <c r="A72" s="12" t="s">
        <v>19</v>
      </c>
      <c r="B72" s="178" t="s">
        <v>50</v>
      </c>
      <c r="C72" s="121">
        <v>0.50700000000000001</v>
      </c>
      <c r="D72" s="121">
        <v>0.6</v>
      </c>
      <c r="E72" s="49">
        <v>2024</v>
      </c>
      <c r="F72" s="680" t="str">
        <f t="shared" si="16"/>
        <v>£m 20/21</v>
      </c>
      <c r="G72" s="698" t="s">
        <v>50</v>
      </c>
      <c r="H72" s="689"/>
      <c r="I72" s="73"/>
      <c r="J72" s="682">
        <f t="shared" si="17"/>
        <v>3.04E-2</v>
      </c>
      <c r="K72" s="682">
        <f t="shared" si="17"/>
        <v>3.1099999999999999E-2</v>
      </c>
      <c r="L72" s="682">
        <f t="shared" si="17"/>
        <v>3.1699999999999999E-2</v>
      </c>
      <c r="M72" s="682">
        <f t="shared" si="17"/>
        <v>3.1800000000000002E-2</v>
      </c>
      <c r="N72" s="688">
        <f t="shared" si="17"/>
        <v>3.2000000000000001E-2</v>
      </c>
      <c r="O72" s="689"/>
      <c r="P72" s="73"/>
      <c r="Q72" s="682">
        <f t="shared" si="18"/>
        <v>5.2833944000000001E-2</v>
      </c>
      <c r="R72" s="682">
        <f t="shared" si="18"/>
        <v>5.5875458000000003E-2</v>
      </c>
      <c r="S72" s="682">
        <f t="shared" si="18"/>
        <v>5.5175427000000006E-2</v>
      </c>
      <c r="T72" s="682">
        <f t="shared" si="18"/>
        <v>5.5320261000000003E-2</v>
      </c>
      <c r="U72" s="688">
        <f t="shared" si="18"/>
        <v>5.5489234000000012E-2</v>
      </c>
    </row>
    <row r="73" spans="1:21">
      <c r="A73" s="12" t="s">
        <v>19</v>
      </c>
      <c r="B73" s="178" t="s">
        <v>51</v>
      </c>
      <c r="C73" s="121">
        <v>0.5</v>
      </c>
      <c r="D73" s="121">
        <v>0.6</v>
      </c>
      <c r="E73" s="49">
        <v>2024</v>
      </c>
      <c r="F73" s="680" t="str">
        <f t="shared" si="16"/>
        <v>£m 20/21</v>
      </c>
      <c r="G73" s="698" t="s">
        <v>51</v>
      </c>
      <c r="H73" s="689"/>
      <c r="I73" s="73"/>
      <c r="J73" s="682">
        <f t="shared" si="17"/>
        <v>3.04E-2</v>
      </c>
      <c r="K73" s="682">
        <f t="shared" si="17"/>
        <v>3.1099999999999999E-2</v>
      </c>
      <c r="L73" s="682">
        <f t="shared" si="17"/>
        <v>3.1699999999999999E-2</v>
      </c>
      <c r="M73" s="682">
        <f t="shared" si="17"/>
        <v>3.1800000000000002E-2</v>
      </c>
      <c r="N73" s="688">
        <f t="shared" si="17"/>
        <v>3.2000000000000001E-2</v>
      </c>
      <c r="O73" s="689"/>
      <c r="P73" s="73"/>
      <c r="Q73" s="682">
        <f t="shared" si="18"/>
        <v>5.2833944000000001E-2</v>
      </c>
      <c r="R73" s="682">
        <f t="shared" si="18"/>
        <v>5.5875458000000003E-2</v>
      </c>
      <c r="S73" s="682">
        <f t="shared" si="18"/>
        <v>5.5175427000000006E-2</v>
      </c>
      <c r="T73" s="682">
        <f t="shared" si="18"/>
        <v>5.5320261000000003E-2</v>
      </c>
      <c r="U73" s="688">
        <f t="shared" si="18"/>
        <v>5.5489234000000012E-2</v>
      </c>
    </row>
    <row r="74" spans="1:21">
      <c r="A74" s="12" t="s">
        <v>19</v>
      </c>
      <c r="B74" s="178" t="s">
        <v>77</v>
      </c>
      <c r="C74" s="121">
        <v>0.5</v>
      </c>
      <c r="D74" s="121">
        <v>0.6</v>
      </c>
      <c r="E74" s="49">
        <v>2024</v>
      </c>
      <c r="F74" s="680" t="str">
        <f t="shared" si="16"/>
        <v>£m 20/21</v>
      </c>
      <c r="G74" s="698" t="s">
        <v>53</v>
      </c>
      <c r="H74" s="689"/>
      <c r="I74" s="73"/>
      <c r="J74" s="682">
        <f t="shared" si="17"/>
        <v>3.1E-2</v>
      </c>
      <c r="K74" s="682">
        <f t="shared" si="17"/>
        <v>3.1699999999999999E-2</v>
      </c>
      <c r="L74" s="682">
        <f t="shared" si="17"/>
        <v>3.2300000000000002E-2</v>
      </c>
      <c r="M74" s="682">
        <f t="shared" si="17"/>
        <v>3.2399999999999998E-2</v>
      </c>
      <c r="N74" s="688">
        <f t="shared" si="17"/>
        <v>3.2599999999999997E-2</v>
      </c>
      <c r="O74" s="689"/>
      <c r="P74" s="73"/>
      <c r="Q74" s="682">
        <f t="shared" si="18"/>
        <v>5.2833944000000001E-2</v>
      </c>
      <c r="R74" s="682">
        <f t="shared" si="18"/>
        <v>5.5875458000000003E-2</v>
      </c>
      <c r="S74" s="682">
        <f t="shared" si="18"/>
        <v>5.5175427000000006E-2</v>
      </c>
      <c r="T74" s="682">
        <f t="shared" si="18"/>
        <v>5.5320261000000003E-2</v>
      </c>
      <c r="U74" s="688">
        <f t="shared" si="18"/>
        <v>5.5489234000000012E-2</v>
      </c>
    </row>
    <row r="75" spans="1:21">
      <c r="A75" s="12" t="s">
        <v>19</v>
      </c>
      <c r="B75" s="178" t="s">
        <v>78</v>
      </c>
      <c r="C75" s="121">
        <v>0.5</v>
      </c>
      <c r="D75" s="121">
        <v>0.6</v>
      </c>
      <c r="E75" s="49">
        <v>2024</v>
      </c>
      <c r="F75" s="680" t="str">
        <f t="shared" si="16"/>
        <v>£m 20/21</v>
      </c>
      <c r="G75" s="698" t="s">
        <v>53</v>
      </c>
      <c r="H75" s="689"/>
      <c r="I75" s="73"/>
      <c r="J75" s="682">
        <f t="shared" si="17"/>
        <v>3.1E-2</v>
      </c>
      <c r="K75" s="682">
        <f t="shared" si="17"/>
        <v>3.1699999999999999E-2</v>
      </c>
      <c r="L75" s="682">
        <f t="shared" si="17"/>
        <v>3.2300000000000002E-2</v>
      </c>
      <c r="M75" s="682">
        <f t="shared" si="17"/>
        <v>3.2399999999999998E-2</v>
      </c>
      <c r="N75" s="688">
        <f t="shared" si="17"/>
        <v>3.2599999999999997E-2</v>
      </c>
      <c r="O75" s="689"/>
      <c r="P75" s="73"/>
      <c r="Q75" s="682">
        <f t="shared" si="18"/>
        <v>5.2833944000000001E-2</v>
      </c>
      <c r="R75" s="682">
        <f t="shared" si="18"/>
        <v>5.5875458000000003E-2</v>
      </c>
      <c r="S75" s="682">
        <f t="shared" si="18"/>
        <v>5.5175427000000006E-2</v>
      </c>
      <c r="T75" s="682">
        <f t="shared" si="18"/>
        <v>5.5320261000000003E-2</v>
      </c>
      <c r="U75" s="688">
        <f t="shared" si="18"/>
        <v>5.5489234000000012E-2</v>
      </c>
    </row>
    <row r="76" spans="1:21">
      <c r="A76" s="12" t="s">
        <v>19</v>
      </c>
      <c r="B76" s="178" t="s">
        <v>79</v>
      </c>
      <c r="C76" s="121">
        <v>0.5</v>
      </c>
      <c r="D76" s="121">
        <v>0.6</v>
      </c>
      <c r="E76" s="49">
        <v>2024</v>
      </c>
      <c r="F76" s="680" t="str">
        <f t="shared" si="16"/>
        <v>£m 20/21</v>
      </c>
      <c r="G76" s="698" t="s">
        <v>53</v>
      </c>
      <c r="H76" s="689"/>
      <c r="I76" s="73"/>
      <c r="J76" s="682">
        <f t="shared" si="17"/>
        <v>3.1E-2</v>
      </c>
      <c r="K76" s="682">
        <f t="shared" si="17"/>
        <v>3.1699999999999999E-2</v>
      </c>
      <c r="L76" s="682">
        <f t="shared" si="17"/>
        <v>3.2300000000000002E-2</v>
      </c>
      <c r="M76" s="682">
        <f t="shared" si="17"/>
        <v>3.2399999999999998E-2</v>
      </c>
      <c r="N76" s="688">
        <f t="shared" si="17"/>
        <v>3.2599999999999997E-2</v>
      </c>
      <c r="O76" s="689"/>
      <c r="P76" s="73"/>
      <c r="Q76" s="682">
        <f t="shared" si="18"/>
        <v>5.2833944000000001E-2</v>
      </c>
      <c r="R76" s="682">
        <f t="shared" si="18"/>
        <v>5.5875458000000003E-2</v>
      </c>
      <c r="S76" s="682">
        <f t="shared" si="18"/>
        <v>5.5175427000000006E-2</v>
      </c>
      <c r="T76" s="682">
        <f t="shared" si="18"/>
        <v>5.5320261000000003E-2</v>
      </c>
      <c r="U76" s="688">
        <f t="shared" si="18"/>
        <v>5.5489234000000012E-2</v>
      </c>
    </row>
    <row r="77" spans="1:21">
      <c r="A77" s="12" t="s">
        <v>25</v>
      </c>
      <c r="B77" s="178" t="s">
        <v>80</v>
      </c>
      <c r="C77" s="121">
        <v>0.5</v>
      </c>
      <c r="D77" s="121">
        <v>0.6</v>
      </c>
      <c r="E77" s="49">
        <v>2022</v>
      </c>
      <c r="F77" s="680" t="str">
        <f t="shared" si="16"/>
        <v>£m 18/19</v>
      </c>
      <c r="G77" s="698" t="s">
        <v>25</v>
      </c>
      <c r="H77" s="690">
        <f t="shared" ref="H77:L91" si="19">INDEX($C$42:$I$51,MATCH($G77,$B$42:$B$51,0),MATCH(H$62,$C$41:$I$41))</f>
        <v>2.0500000000000001E-2</v>
      </c>
      <c r="I77" s="682">
        <f t="shared" si="19"/>
        <v>1.9E-2</v>
      </c>
      <c r="J77" s="682">
        <f t="shared" si="19"/>
        <v>1.9199999999999998E-2</v>
      </c>
      <c r="K77" s="682">
        <f t="shared" si="19"/>
        <v>2.1100000000000001E-2</v>
      </c>
      <c r="L77" s="682">
        <f t="shared" si="19"/>
        <v>2.29E-2</v>
      </c>
      <c r="M77" s="73"/>
      <c r="N77" s="691"/>
      <c r="O77" s="690">
        <f t="shared" ref="O77:S91" si="20">INDEX($C$55:$I$59,MATCH($A77,$B$55:$B$59,0),MATCH(O$62,$C$54:$I$54))</f>
        <v>4.5181881000000007E-2</v>
      </c>
      <c r="P77" s="682">
        <f t="shared" si="20"/>
        <v>4.5568104999999998E-2</v>
      </c>
      <c r="Q77" s="682">
        <f t="shared" si="20"/>
        <v>5.2833943999999994E-2</v>
      </c>
      <c r="R77" s="682">
        <f t="shared" si="20"/>
        <v>5.5875458000000003E-2</v>
      </c>
      <c r="S77" s="682">
        <f t="shared" si="20"/>
        <v>5.5175426999999992E-2</v>
      </c>
      <c r="T77" s="73"/>
      <c r="U77" s="691"/>
    </row>
    <row r="78" spans="1:21">
      <c r="A78" s="12" t="s">
        <v>25</v>
      </c>
      <c r="B78" s="178" t="s">
        <v>81</v>
      </c>
      <c r="C78" s="121">
        <v>0.5</v>
      </c>
      <c r="D78" s="121">
        <v>0.6</v>
      </c>
      <c r="E78" s="49">
        <v>2022</v>
      </c>
      <c r="F78" s="680" t="str">
        <f t="shared" si="16"/>
        <v>£m 18/19</v>
      </c>
      <c r="G78" s="698" t="s">
        <v>25</v>
      </c>
      <c r="H78" s="690">
        <f t="shared" si="19"/>
        <v>2.0500000000000001E-2</v>
      </c>
      <c r="I78" s="682">
        <f t="shared" si="19"/>
        <v>1.9E-2</v>
      </c>
      <c r="J78" s="682">
        <f t="shared" si="19"/>
        <v>1.9199999999999998E-2</v>
      </c>
      <c r="K78" s="682">
        <f t="shared" si="19"/>
        <v>2.1100000000000001E-2</v>
      </c>
      <c r="L78" s="682">
        <f t="shared" si="19"/>
        <v>2.29E-2</v>
      </c>
      <c r="M78" s="73"/>
      <c r="N78" s="691"/>
      <c r="O78" s="690">
        <f t="shared" si="20"/>
        <v>4.5181881000000007E-2</v>
      </c>
      <c r="P78" s="682">
        <f t="shared" si="20"/>
        <v>4.5568104999999998E-2</v>
      </c>
      <c r="Q78" s="682">
        <f t="shared" si="20"/>
        <v>5.2833943999999994E-2</v>
      </c>
      <c r="R78" s="682">
        <f t="shared" si="20"/>
        <v>5.5875458000000003E-2</v>
      </c>
      <c r="S78" s="682">
        <f t="shared" si="20"/>
        <v>5.5175426999999992E-2</v>
      </c>
      <c r="T78" s="73"/>
      <c r="U78" s="691"/>
    </row>
    <row r="79" spans="1:21">
      <c r="A79" s="12" t="s">
        <v>25</v>
      </c>
      <c r="B79" s="178" t="s">
        <v>82</v>
      </c>
      <c r="C79" s="121">
        <v>0.5</v>
      </c>
      <c r="D79" s="121">
        <v>0.6</v>
      </c>
      <c r="E79" s="49">
        <v>2022</v>
      </c>
      <c r="F79" s="680" t="str">
        <f t="shared" si="16"/>
        <v>£m 18/19</v>
      </c>
      <c r="G79" s="698" t="s">
        <v>25</v>
      </c>
      <c r="H79" s="690">
        <f t="shared" si="19"/>
        <v>2.0500000000000001E-2</v>
      </c>
      <c r="I79" s="682">
        <f t="shared" si="19"/>
        <v>1.9E-2</v>
      </c>
      <c r="J79" s="682">
        <f t="shared" si="19"/>
        <v>1.9199999999999998E-2</v>
      </c>
      <c r="K79" s="682">
        <f t="shared" si="19"/>
        <v>2.1100000000000001E-2</v>
      </c>
      <c r="L79" s="682">
        <f t="shared" si="19"/>
        <v>2.29E-2</v>
      </c>
      <c r="M79" s="73"/>
      <c r="N79" s="691"/>
      <c r="O79" s="690">
        <f t="shared" si="20"/>
        <v>4.5181881000000007E-2</v>
      </c>
      <c r="P79" s="682">
        <f t="shared" si="20"/>
        <v>4.5568104999999998E-2</v>
      </c>
      <c r="Q79" s="682">
        <f t="shared" si="20"/>
        <v>5.2833943999999994E-2</v>
      </c>
      <c r="R79" s="682">
        <f t="shared" si="20"/>
        <v>5.5875458000000003E-2</v>
      </c>
      <c r="S79" s="682">
        <f t="shared" si="20"/>
        <v>5.5175426999999992E-2</v>
      </c>
      <c r="T79" s="73"/>
      <c r="U79" s="691"/>
    </row>
    <row r="80" spans="1:21">
      <c r="A80" s="12" t="s">
        <v>25</v>
      </c>
      <c r="B80" s="178" t="s">
        <v>83</v>
      </c>
      <c r="C80" s="121">
        <v>0.5</v>
      </c>
      <c r="D80" s="121">
        <v>0.6</v>
      </c>
      <c r="E80" s="49">
        <v>2022</v>
      </c>
      <c r="F80" s="680" t="str">
        <f t="shared" si="16"/>
        <v>£m 18/19</v>
      </c>
      <c r="G80" s="698" t="s">
        <v>25</v>
      </c>
      <c r="H80" s="690">
        <f t="shared" si="19"/>
        <v>2.0500000000000001E-2</v>
      </c>
      <c r="I80" s="682">
        <f t="shared" si="19"/>
        <v>1.9E-2</v>
      </c>
      <c r="J80" s="682">
        <f t="shared" si="19"/>
        <v>1.9199999999999998E-2</v>
      </c>
      <c r="K80" s="682">
        <f t="shared" si="19"/>
        <v>2.1100000000000001E-2</v>
      </c>
      <c r="L80" s="682">
        <f t="shared" si="19"/>
        <v>2.29E-2</v>
      </c>
      <c r="M80" s="73"/>
      <c r="N80" s="691"/>
      <c r="O80" s="690">
        <f t="shared" si="20"/>
        <v>4.5181881000000007E-2</v>
      </c>
      <c r="P80" s="682">
        <f t="shared" si="20"/>
        <v>4.5568104999999998E-2</v>
      </c>
      <c r="Q80" s="682">
        <f t="shared" si="20"/>
        <v>5.2833943999999994E-2</v>
      </c>
      <c r="R80" s="682">
        <f t="shared" si="20"/>
        <v>5.5875458000000003E-2</v>
      </c>
      <c r="S80" s="682">
        <f t="shared" si="20"/>
        <v>5.5175426999999992E-2</v>
      </c>
      <c r="T80" s="73"/>
      <c r="U80" s="691"/>
    </row>
    <row r="81" spans="1:21">
      <c r="A81" s="12" t="s">
        <v>25</v>
      </c>
      <c r="B81" s="178" t="s">
        <v>84</v>
      </c>
      <c r="C81" s="121">
        <v>0.51</v>
      </c>
      <c r="D81" s="121">
        <v>0.6</v>
      </c>
      <c r="E81" s="49">
        <v>2022</v>
      </c>
      <c r="F81" s="680" t="str">
        <f t="shared" si="16"/>
        <v>£m 18/19</v>
      </c>
      <c r="G81" s="698" t="s">
        <v>56</v>
      </c>
      <c r="H81" s="690">
        <f t="shared" si="19"/>
        <v>2.1100000000000001E-2</v>
      </c>
      <c r="I81" s="682">
        <f t="shared" si="19"/>
        <v>1.9599999999999999E-2</v>
      </c>
      <c r="J81" s="682">
        <f t="shared" si="19"/>
        <v>1.9799999999999998E-2</v>
      </c>
      <c r="K81" s="682">
        <f t="shared" si="19"/>
        <v>2.1700000000000001E-2</v>
      </c>
      <c r="L81" s="682">
        <f t="shared" si="19"/>
        <v>2.35E-2</v>
      </c>
      <c r="M81" s="73"/>
      <c r="N81" s="691"/>
      <c r="O81" s="690">
        <f t="shared" si="20"/>
        <v>4.5181881000000007E-2</v>
      </c>
      <c r="P81" s="682">
        <f t="shared" si="20"/>
        <v>4.5568104999999998E-2</v>
      </c>
      <c r="Q81" s="682">
        <f t="shared" si="20"/>
        <v>5.2833943999999994E-2</v>
      </c>
      <c r="R81" s="682">
        <f t="shared" si="20"/>
        <v>5.5875458000000003E-2</v>
      </c>
      <c r="S81" s="682">
        <f t="shared" si="20"/>
        <v>5.5175426999999992E-2</v>
      </c>
      <c r="T81" s="73"/>
      <c r="U81" s="691"/>
    </row>
    <row r="82" spans="1:21">
      <c r="A82" s="12" t="s">
        <v>25</v>
      </c>
      <c r="B82" s="178" t="s">
        <v>85</v>
      </c>
      <c r="C82" s="121">
        <v>0.51</v>
      </c>
      <c r="D82" s="121">
        <v>0.6</v>
      </c>
      <c r="E82" s="49">
        <v>2022</v>
      </c>
      <c r="F82" s="680" t="str">
        <f t="shared" si="16"/>
        <v>£m 18/19</v>
      </c>
      <c r="G82" s="698" t="s">
        <v>56</v>
      </c>
      <c r="H82" s="690">
        <f t="shared" si="19"/>
        <v>2.1100000000000001E-2</v>
      </c>
      <c r="I82" s="682">
        <f t="shared" si="19"/>
        <v>1.9599999999999999E-2</v>
      </c>
      <c r="J82" s="682">
        <f t="shared" si="19"/>
        <v>1.9799999999999998E-2</v>
      </c>
      <c r="K82" s="682">
        <f t="shared" si="19"/>
        <v>2.1700000000000001E-2</v>
      </c>
      <c r="L82" s="682">
        <f t="shared" si="19"/>
        <v>2.35E-2</v>
      </c>
      <c r="M82" s="73"/>
      <c r="N82" s="691"/>
      <c r="O82" s="690">
        <f t="shared" si="20"/>
        <v>4.5181881000000007E-2</v>
      </c>
      <c r="P82" s="682">
        <f t="shared" si="20"/>
        <v>4.5568104999999998E-2</v>
      </c>
      <c r="Q82" s="682">
        <f t="shared" si="20"/>
        <v>5.2833943999999994E-2</v>
      </c>
      <c r="R82" s="682">
        <f t="shared" si="20"/>
        <v>5.5875458000000003E-2</v>
      </c>
      <c r="S82" s="682">
        <f t="shared" si="20"/>
        <v>5.5175426999999992E-2</v>
      </c>
      <c r="T82" s="73"/>
      <c r="U82" s="691"/>
    </row>
    <row r="83" spans="1:21">
      <c r="A83" s="12" t="s">
        <v>25</v>
      </c>
      <c r="B83" s="178" t="s">
        <v>86</v>
      </c>
      <c r="C83" s="121">
        <v>0.5</v>
      </c>
      <c r="D83" s="121">
        <v>0.6</v>
      </c>
      <c r="E83" s="49">
        <v>2022</v>
      </c>
      <c r="F83" s="680" t="str">
        <f t="shared" si="16"/>
        <v>£m 18/19</v>
      </c>
      <c r="G83" s="698" t="s">
        <v>25</v>
      </c>
      <c r="H83" s="690">
        <f t="shared" si="19"/>
        <v>2.0500000000000001E-2</v>
      </c>
      <c r="I83" s="682">
        <f t="shared" si="19"/>
        <v>1.9E-2</v>
      </c>
      <c r="J83" s="682">
        <f t="shared" si="19"/>
        <v>1.9199999999999998E-2</v>
      </c>
      <c r="K83" s="682">
        <f t="shared" si="19"/>
        <v>2.1100000000000001E-2</v>
      </c>
      <c r="L83" s="682">
        <f t="shared" si="19"/>
        <v>2.29E-2</v>
      </c>
      <c r="M83" s="73"/>
      <c r="N83" s="691"/>
      <c r="O83" s="690">
        <f t="shared" si="20"/>
        <v>4.5181881000000007E-2</v>
      </c>
      <c r="P83" s="682">
        <f t="shared" si="20"/>
        <v>4.5568104999999998E-2</v>
      </c>
      <c r="Q83" s="682">
        <f t="shared" si="20"/>
        <v>5.2833943999999994E-2</v>
      </c>
      <c r="R83" s="682">
        <f t="shared" si="20"/>
        <v>5.5875458000000003E-2</v>
      </c>
      <c r="S83" s="682">
        <f t="shared" si="20"/>
        <v>5.5175426999999992E-2</v>
      </c>
      <c r="T83" s="73"/>
      <c r="U83" s="691"/>
    </row>
    <row r="84" spans="1:21">
      <c r="A84" s="12" t="s">
        <v>25</v>
      </c>
      <c r="B84" s="178" t="s">
        <v>87</v>
      </c>
      <c r="C84" s="121">
        <v>0.5</v>
      </c>
      <c r="D84" s="121">
        <v>0.6</v>
      </c>
      <c r="E84" s="49">
        <v>2022</v>
      </c>
      <c r="F84" s="680" t="str">
        <f t="shared" si="16"/>
        <v>£m 18/19</v>
      </c>
      <c r="G84" s="698" t="s">
        <v>56</v>
      </c>
      <c r="H84" s="690">
        <f t="shared" si="19"/>
        <v>2.1100000000000001E-2</v>
      </c>
      <c r="I84" s="682">
        <f t="shared" si="19"/>
        <v>1.9599999999999999E-2</v>
      </c>
      <c r="J84" s="682">
        <f t="shared" si="19"/>
        <v>1.9799999999999998E-2</v>
      </c>
      <c r="K84" s="682">
        <f t="shared" si="19"/>
        <v>2.1700000000000001E-2</v>
      </c>
      <c r="L84" s="682">
        <f t="shared" si="19"/>
        <v>2.35E-2</v>
      </c>
      <c r="M84" s="73"/>
      <c r="N84" s="691"/>
      <c r="O84" s="690">
        <f t="shared" si="20"/>
        <v>4.5181881000000007E-2</v>
      </c>
      <c r="P84" s="682">
        <f t="shared" si="20"/>
        <v>4.5568104999999998E-2</v>
      </c>
      <c r="Q84" s="682">
        <f t="shared" si="20"/>
        <v>5.2833943999999994E-2</v>
      </c>
      <c r="R84" s="682">
        <f t="shared" si="20"/>
        <v>5.5875458000000003E-2</v>
      </c>
      <c r="S84" s="682">
        <f t="shared" si="20"/>
        <v>5.5175426999999992E-2</v>
      </c>
      <c r="T84" s="73"/>
      <c r="U84" s="691"/>
    </row>
    <row r="85" spans="1:21">
      <c r="A85" s="12" t="s">
        <v>27</v>
      </c>
      <c r="B85" s="178" t="s">
        <v>88</v>
      </c>
      <c r="C85" s="121">
        <v>0.61</v>
      </c>
      <c r="D85" s="121">
        <v>0.6</v>
      </c>
      <c r="E85" s="49">
        <v>2022</v>
      </c>
      <c r="F85" s="680" t="str">
        <f t="shared" si="16"/>
        <v>£m 18/19</v>
      </c>
      <c r="G85" s="698" t="s">
        <v>27</v>
      </c>
      <c r="H85" s="690">
        <f t="shared" si="19"/>
        <v>2.0500000000000001E-2</v>
      </c>
      <c r="I85" s="682">
        <f t="shared" si="19"/>
        <v>1.9E-2</v>
      </c>
      <c r="J85" s="682">
        <f t="shared" si="19"/>
        <v>1.9199999999999998E-2</v>
      </c>
      <c r="K85" s="682">
        <f t="shared" si="19"/>
        <v>2.1100000000000001E-2</v>
      </c>
      <c r="L85" s="682">
        <f t="shared" si="19"/>
        <v>2.29E-2</v>
      </c>
      <c r="M85" s="73"/>
      <c r="N85" s="691"/>
      <c r="O85" s="690">
        <f t="shared" si="20"/>
        <v>4.5181881000000007E-2</v>
      </c>
      <c r="P85" s="682">
        <f t="shared" si="20"/>
        <v>4.5568104999999991E-2</v>
      </c>
      <c r="Q85" s="682">
        <f t="shared" si="20"/>
        <v>5.2833943999999994E-2</v>
      </c>
      <c r="R85" s="682">
        <f t="shared" si="20"/>
        <v>5.587545800000001E-2</v>
      </c>
      <c r="S85" s="682">
        <f t="shared" si="20"/>
        <v>5.5175426999999992E-2</v>
      </c>
      <c r="T85" s="73"/>
      <c r="U85" s="691"/>
    </row>
    <row r="86" spans="1:21">
      <c r="A86" s="12" t="s">
        <v>27</v>
      </c>
      <c r="B86" s="178" t="s">
        <v>89</v>
      </c>
      <c r="C86" s="121">
        <v>0.61</v>
      </c>
      <c r="D86" s="121">
        <v>0.6</v>
      </c>
      <c r="E86" s="49">
        <v>2022</v>
      </c>
      <c r="F86" s="680" t="str">
        <f t="shared" si="16"/>
        <v>£m 18/19</v>
      </c>
      <c r="G86" s="698" t="s">
        <v>27</v>
      </c>
      <c r="H86" s="690">
        <f t="shared" si="19"/>
        <v>2.0500000000000001E-2</v>
      </c>
      <c r="I86" s="682">
        <f t="shared" si="19"/>
        <v>1.9E-2</v>
      </c>
      <c r="J86" s="682">
        <f t="shared" si="19"/>
        <v>1.9199999999999998E-2</v>
      </c>
      <c r="K86" s="682">
        <f t="shared" si="19"/>
        <v>2.1100000000000001E-2</v>
      </c>
      <c r="L86" s="682">
        <f t="shared" si="19"/>
        <v>2.29E-2</v>
      </c>
      <c r="M86" s="73"/>
      <c r="N86" s="691"/>
      <c r="O86" s="690">
        <f t="shared" si="20"/>
        <v>4.5181881000000007E-2</v>
      </c>
      <c r="P86" s="682">
        <f t="shared" si="20"/>
        <v>4.5568104999999991E-2</v>
      </c>
      <c r="Q86" s="682">
        <f t="shared" si="20"/>
        <v>5.2833943999999994E-2</v>
      </c>
      <c r="R86" s="682">
        <f t="shared" si="20"/>
        <v>5.587545800000001E-2</v>
      </c>
      <c r="S86" s="682">
        <f t="shared" si="20"/>
        <v>5.5175426999999992E-2</v>
      </c>
      <c r="T86" s="73"/>
      <c r="U86" s="691"/>
    </row>
    <row r="87" spans="1:21">
      <c r="A87" s="12" t="s">
        <v>27</v>
      </c>
      <c r="B87" s="178" t="s">
        <v>90</v>
      </c>
      <c r="C87" s="121">
        <v>0.61</v>
      </c>
      <c r="D87" s="121">
        <v>0.6</v>
      </c>
      <c r="E87" s="49">
        <v>2022</v>
      </c>
      <c r="F87" s="680" t="str">
        <f t="shared" si="16"/>
        <v>£m 18/19</v>
      </c>
      <c r="G87" s="698" t="s">
        <v>27</v>
      </c>
      <c r="H87" s="690">
        <f t="shared" si="19"/>
        <v>2.0500000000000001E-2</v>
      </c>
      <c r="I87" s="682">
        <f t="shared" si="19"/>
        <v>1.9E-2</v>
      </c>
      <c r="J87" s="682">
        <f t="shared" si="19"/>
        <v>1.9199999999999998E-2</v>
      </c>
      <c r="K87" s="682">
        <f t="shared" si="19"/>
        <v>2.1100000000000001E-2</v>
      </c>
      <c r="L87" s="682">
        <f t="shared" si="19"/>
        <v>2.29E-2</v>
      </c>
      <c r="M87" s="73"/>
      <c r="N87" s="691"/>
      <c r="O87" s="690">
        <f t="shared" si="20"/>
        <v>4.5181881000000007E-2</v>
      </c>
      <c r="P87" s="682">
        <f t="shared" si="20"/>
        <v>4.5568104999999991E-2</v>
      </c>
      <c r="Q87" s="682">
        <f t="shared" si="20"/>
        <v>5.2833943999999994E-2</v>
      </c>
      <c r="R87" s="682">
        <f t="shared" si="20"/>
        <v>5.587545800000001E-2</v>
      </c>
      <c r="S87" s="682">
        <f t="shared" si="20"/>
        <v>5.5175426999999992E-2</v>
      </c>
      <c r="T87" s="73"/>
      <c r="U87" s="691"/>
    </row>
    <row r="88" spans="1:21">
      <c r="A88" s="12" t="s">
        <v>22</v>
      </c>
      <c r="B88" s="178" t="s">
        <v>91</v>
      </c>
      <c r="C88" s="121">
        <v>0.67</v>
      </c>
      <c r="D88" s="121">
        <v>0.55000000000000004</v>
      </c>
      <c r="E88" s="49">
        <v>2022</v>
      </c>
      <c r="F88" s="680" t="str">
        <f t="shared" si="16"/>
        <v>£m 18/19</v>
      </c>
      <c r="G88" s="698" t="s">
        <v>55</v>
      </c>
      <c r="H88" s="690">
        <f t="shared" si="19"/>
        <v>2.0500000000000001E-2</v>
      </c>
      <c r="I88" s="682">
        <f t="shared" si="19"/>
        <v>1.9E-2</v>
      </c>
      <c r="J88" s="682">
        <f t="shared" si="19"/>
        <v>1.9199999999999998E-2</v>
      </c>
      <c r="K88" s="682">
        <f t="shared" si="19"/>
        <v>2.1100000000000001E-2</v>
      </c>
      <c r="L88" s="682">
        <f t="shared" si="19"/>
        <v>2.29E-2</v>
      </c>
      <c r="M88" s="73"/>
      <c r="N88" s="691"/>
      <c r="O88" s="690">
        <f t="shared" si="20"/>
        <v>4.2439449777777784E-2</v>
      </c>
      <c r="P88" s="682">
        <f t="shared" si="20"/>
        <v>4.2616093333333334E-2</v>
      </c>
      <c r="Q88" s="682">
        <f t="shared" si="20"/>
        <v>4.909683911111111E-2</v>
      </c>
      <c r="R88" s="682">
        <f t="shared" si="20"/>
        <v>5.2011518222222233E-2</v>
      </c>
      <c r="S88" s="682">
        <f t="shared" si="20"/>
        <v>5.158926844444444E-2</v>
      </c>
      <c r="T88" s="73"/>
      <c r="U88" s="691"/>
    </row>
    <row r="89" spans="1:21">
      <c r="A89" s="12" t="s">
        <v>29</v>
      </c>
      <c r="B89" s="178" t="s">
        <v>29</v>
      </c>
      <c r="C89" s="121">
        <v>1</v>
      </c>
      <c r="D89" s="121">
        <v>0.55000000000000004</v>
      </c>
      <c r="E89" s="49">
        <v>2022</v>
      </c>
      <c r="F89" s="680" t="str">
        <f t="shared" si="16"/>
        <v>£m 18/19</v>
      </c>
      <c r="G89" s="698" t="s">
        <v>29</v>
      </c>
      <c r="H89" s="690">
        <f>INDEX($C$42:$I$51,MATCH($G89,$B$42:$B$51,0),MATCH(H$62,$C$41:$I$41))</f>
        <v>-5.9999999999999995E-4</v>
      </c>
      <c r="I89" s="682">
        <f t="shared" si="19"/>
        <v>2.12E-2</v>
      </c>
      <c r="J89" s="682">
        <f t="shared" si="19"/>
        <v>5.0099999999999999E-2</v>
      </c>
      <c r="K89" s="682">
        <f t="shared" si="19"/>
        <v>4.7300000000000002E-2</v>
      </c>
      <c r="L89" s="682">
        <f t="shared" si="19"/>
        <v>4.19E-2</v>
      </c>
      <c r="M89" s="73"/>
      <c r="N89" s="691"/>
      <c r="O89" s="690">
        <f t="shared" si="20"/>
        <v>7.5718976000000007E-2</v>
      </c>
      <c r="P89" s="682">
        <f t="shared" si="20"/>
        <v>7.5510080000000007E-2</v>
      </c>
      <c r="Q89" s="682">
        <f t="shared" si="20"/>
        <v>7.1580223999999998E-2</v>
      </c>
      <c r="R89" s="682">
        <f t="shared" si="20"/>
        <v>6.9935168000000006E-2</v>
      </c>
      <c r="S89" s="682">
        <f t="shared" si="20"/>
        <v>7.0313792E-2</v>
      </c>
      <c r="T89" s="73"/>
      <c r="U89" s="691"/>
    </row>
    <row r="90" spans="1:21">
      <c r="A90" s="12" t="s">
        <v>22</v>
      </c>
      <c r="B90" s="178" t="s">
        <v>92</v>
      </c>
      <c r="C90" s="121">
        <v>0.51</v>
      </c>
      <c r="D90" s="121">
        <v>0.55000000000000004</v>
      </c>
      <c r="E90" s="49">
        <v>2022</v>
      </c>
      <c r="F90" s="680" t="str">
        <f t="shared" si="16"/>
        <v>£m 18/19</v>
      </c>
      <c r="G90" s="698" t="s">
        <v>55</v>
      </c>
      <c r="H90" s="690">
        <f t="shared" si="19"/>
        <v>2.0500000000000001E-2</v>
      </c>
      <c r="I90" s="682">
        <f t="shared" si="19"/>
        <v>1.9E-2</v>
      </c>
      <c r="J90" s="682">
        <f t="shared" si="19"/>
        <v>1.9199999999999998E-2</v>
      </c>
      <c r="K90" s="682">
        <f t="shared" si="19"/>
        <v>2.1100000000000001E-2</v>
      </c>
      <c r="L90" s="682">
        <f t="shared" si="19"/>
        <v>2.29E-2</v>
      </c>
      <c r="M90" s="73"/>
      <c r="N90" s="691"/>
      <c r="O90" s="690">
        <f t="shared" si="20"/>
        <v>4.2439449777777784E-2</v>
      </c>
      <c r="P90" s="682">
        <f t="shared" si="20"/>
        <v>4.2616093333333334E-2</v>
      </c>
      <c r="Q90" s="682">
        <f t="shared" si="20"/>
        <v>4.909683911111111E-2</v>
      </c>
      <c r="R90" s="682">
        <f t="shared" si="20"/>
        <v>5.2011518222222233E-2</v>
      </c>
      <c r="S90" s="682">
        <f t="shared" si="20"/>
        <v>5.158926844444444E-2</v>
      </c>
      <c r="T90" s="73"/>
      <c r="U90" s="691"/>
    </row>
    <row r="91" spans="1:21" ht="14" thickBot="1">
      <c r="A91" s="12" t="s">
        <v>22</v>
      </c>
      <c r="B91" s="179" t="s">
        <v>54</v>
      </c>
      <c r="C91" s="171">
        <v>0.64</v>
      </c>
      <c r="D91" s="171">
        <v>0.55000000000000004</v>
      </c>
      <c r="E91" s="180">
        <v>2022</v>
      </c>
      <c r="F91" s="681" t="str">
        <f t="shared" si="16"/>
        <v>£m 18/19</v>
      </c>
      <c r="G91" s="699" t="s">
        <v>54</v>
      </c>
      <c r="H91" s="692">
        <f t="shared" si="19"/>
        <v>1.8184707641684131E-2</v>
      </c>
      <c r="I91" s="693">
        <f t="shared" si="19"/>
        <v>1.5809503423148775E-2</v>
      </c>
      <c r="J91" s="693">
        <f t="shared" si="19"/>
        <v>1.8000565597912722E-2</v>
      </c>
      <c r="K91" s="693">
        <f t="shared" si="19"/>
        <v>2.3276186478151731E-2</v>
      </c>
      <c r="L91" s="693">
        <f t="shared" si="19"/>
        <v>2.7418061040625063E-2</v>
      </c>
      <c r="M91" s="694"/>
      <c r="N91" s="695"/>
      <c r="O91" s="692">
        <f t="shared" si="20"/>
        <v>4.2439449777777784E-2</v>
      </c>
      <c r="P91" s="693">
        <f t="shared" si="20"/>
        <v>4.2616093333333334E-2</v>
      </c>
      <c r="Q91" s="693">
        <f t="shared" si="20"/>
        <v>4.909683911111111E-2</v>
      </c>
      <c r="R91" s="693">
        <f t="shared" si="20"/>
        <v>5.2011518222222233E-2</v>
      </c>
      <c r="S91" s="693">
        <f t="shared" si="20"/>
        <v>5.158926844444444E-2</v>
      </c>
      <c r="T91" s="694"/>
      <c r="U91" s="695"/>
    </row>
    <row r="92" spans="1:21">
      <c r="I92" s="14"/>
    </row>
    <row r="93" spans="1:21">
      <c r="I93" s="14"/>
    </row>
    <row r="94" spans="1:21">
      <c r="I94" s="14"/>
    </row>
    <row r="95" spans="1:21">
      <c r="B95" s="1"/>
      <c r="D95" s="115"/>
      <c r="E95" s="115"/>
      <c r="F95" s="115"/>
      <c r="G95" s="115"/>
      <c r="H95" s="115"/>
      <c r="I95" s="115"/>
      <c r="J95" s="115"/>
    </row>
    <row r="97" spans="2:14" ht="15.5">
      <c r="B97" s="104"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05" t="s">
        <v>70</v>
      </c>
      <c r="C98" s="73"/>
      <c r="D98" s="73"/>
      <c r="E98" s="106">
        <v>0</v>
      </c>
      <c r="F98" s="106">
        <v>0</v>
      </c>
      <c r="G98" s="106">
        <v>0</v>
      </c>
      <c r="H98" s="106">
        <v>0</v>
      </c>
      <c r="I98" s="106">
        <v>0</v>
      </c>
      <c r="J98" s="719"/>
    </row>
    <row r="99" spans="2:14">
      <c r="B99" s="105" t="s">
        <v>71</v>
      </c>
      <c r="C99" s="73"/>
      <c r="D99" s="73"/>
      <c r="E99" s="106">
        <v>0</v>
      </c>
      <c r="F99" s="106">
        <v>0</v>
      </c>
      <c r="G99" s="106">
        <v>0</v>
      </c>
      <c r="H99" s="106">
        <v>0</v>
      </c>
      <c r="I99" s="106">
        <v>0</v>
      </c>
      <c r="J99" s="719"/>
    </row>
    <row r="100" spans="2:14">
      <c r="B100" s="105" t="s">
        <v>72</v>
      </c>
      <c r="C100" s="73"/>
      <c r="D100" s="73"/>
      <c r="E100" s="106">
        <v>0</v>
      </c>
      <c r="F100" s="106">
        <v>0</v>
      </c>
      <c r="G100" s="106">
        <v>0</v>
      </c>
      <c r="H100" s="106">
        <v>0</v>
      </c>
      <c r="I100" s="106">
        <v>0</v>
      </c>
      <c r="J100" s="720"/>
      <c r="K100" s="84"/>
      <c r="L100" s="84"/>
      <c r="M100" s="84"/>
      <c r="N100" s="84"/>
    </row>
    <row r="101" spans="2:14">
      <c r="B101" s="105" t="s">
        <v>52</v>
      </c>
      <c r="C101" s="73"/>
      <c r="D101" s="73"/>
      <c r="E101" s="106">
        <v>0</v>
      </c>
      <c r="F101" s="106">
        <v>0</v>
      </c>
      <c r="G101" s="106">
        <v>0</v>
      </c>
      <c r="H101" s="106">
        <v>0</v>
      </c>
      <c r="I101" s="106">
        <v>0</v>
      </c>
      <c r="J101" s="719"/>
    </row>
    <row r="102" spans="2:14">
      <c r="B102" s="105" t="s">
        <v>4</v>
      </c>
      <c r="C102" s="73"/>
      <c r="D102" s="73"/>
      <c r="E102" s="106">
        <v>0.95193542636815776</v>
      </c>
      <c r="F102" s="106">
        <v>0.95193542636815776</v>
      </c>
      <c r="G102" s="106">
        <v>0.95193542636815776</v>
      </c>
      <c r="H102" s="106">
        <v>0.95193542636815776</v>
      </c>
      <c r="I102" s="106">
        <v>0.95193542636815776</v>
      </c>
      <c r="J102" s="719"/>
    </row>
    <row r="103" spans="2:14">
      <c r="B103" s="105" t="s">
        <v>73</v>
      </c>
      <c r="C103" s="73"/>
      <c r="D103" s="73"/>
      <c r="E103" s="106">
        <v>4.1422258913848848</v>
      </c>
      <c r="F103" s="106">
        <v>4.1422258913848848</v>
      </c>
      <c r="G103" s="106">
        <v>4.1422258913848848</v>
      </c>
      <c r="H103" s="106">
        <v>4.1422258913848848</v>
      </c>
      <c r="I103" s="106">
        <v>4.1422258913848848</v>
      </c>
      <c r="J103" s="719"/>
    </row>
    <row r="104" spans="2:14">
      <c r="B104" s="105" t="s">
        <v>74</v>
      </c>
      <c r="C104" s="73"/>
      <c r="D104" s="73"/>
      <c r="E104" s="106">
        <v>0</v>
      </c>
      <c r="F104" s="106">
        <v>0</v>
      </c>
      <c r="G104" s="106">
        <v>0</v>
      </c>
      <c r="H104" s="106">
        <v>0</v>
      </c>
      <c r="I104" s="106">
        <v>0</v>
      </c>
      <c r="J104" s="719"/>
    </row>
    <row r="105" spans="2:14">
      <c r="B105" s="105" t="s">
        <v>75</v>
      </c>
      <c r="C105" s="73"/>
      <c r="D105" s="73"/>
      <c r="E105" s="106">
        <v>0</v>
      </c>
      <c r="F105" s="106">
        <v>0</v>
      </c>
      <c r="G105" s="106">
        <v>0</v>
      </c>
      <c r="H105" s="106">
        <v>0</v>
      </c>
      <c r="I105" s="106">
        <v>0</v>
      </c>
      <c r="J105" s="719"/>
    </row>
    <row r="106" spans="2:14">
      <c r="B106" s="105" t="s">
        <v>76</v>
      </c>
      <c r="C106" s="73"/>
      <c r="D106" s="73"/>
      <c r="E106" s="106">
        <v>1.2350000000000001</v>
      </c>
      <c r="F106" s="106">
        <v>0</v>
      </c>
      <c r="G106" s="106">
        <v>0</v>
      </c>
      <c r="H106" s="106">
        <v>0</v>
      </c>
      <c r="I106" s="106">
        <v>0</v>
      </c>
      <c r="J106" s="719"/>
    </row>
    <row r="107" spans="2:14">
      <c r="B107" s="105" t="s">
        <v>50</v>
      </c>
      <c r="C107" s="73"/>
      <c r="D107" s="73"/>
      <c r="E107" s="106">
        <v>2.3050000000000002</v>
      </c>
      <c r="F107" s="106">
        <v>0</v>
      </c>
      <c r="G107" s="106">
        <v>0</v>
      </c>
      <c r="H107" s="106">
        <v>0</v>
      </c>
      <c r="I107" s="106">
        <v>0</v>
      </c>
      <c r="J107" s="719"/>
    </row>
    <row r="108" spans="2:14">
      <c r="B108" s="105" t="s">
        <v>51</v>
      </c>
      <c r="C108" s="73"/>
      <c r="D108" s="73"/>
      <c r="E108" s="106">
        <v>1.38</v>
      </c>
      <c r="F108" s="106">
        <v>0</v>
      </c>
      <c r="G108" s="106">
        <v>0</v>
      </c>
      <c r="H108" s="106">
        <v>0</v>
      </c>
      <c r="I108" s="106">
        <v>0</v>
      </c>
      <c r="J108" s="719"/>
    </row>
    <row r="109" spans="2:14">
      <c r="B109" s="105" t="s">
        <v>77</v>
      </c>
      <c r="C109" s="73"/>
      <c r="D109" s="73"/>
      <c r="E109" s="106">
        <v>1.38</v>
      </c>
      <c r="F109" s="106">
        <v>0</v>
      </c>
      <c r="G109" s="106">
        <v>0</v>
      </c>
      <c r="H109" s="106">
        <v>0</v>
      </c>
      <c r="I109" s="106">
        <v>0</v>
      </c>
      <c r="J109" s="719"/>
    </row>
    <row r="110" spans="2:14">
      <c r="B110" s="105" t="s">
        <v>78</v>
      </c>
      <c r="C110" s="73"/>
      <c r="D110" s="73"/>
      <c r="E110" s="106">
        <v>0.69</v>
      </c>
      <c r="F110" s="106">
        <v>0</v>
      </c>
      <c r="G110" s="106">
        <v>0</v>
      </c>
      <c r="H110" s="106">
        <v>0</v>
      </c>
      <c r="I110" s="106">
        <v>0</v>
      </c>
      <c r="J110" s="719"/>
    </row>
    <row r="111" spans="2:14">
      <c r="B111" s="105" t="s">
        <v>79</v>
      </c>
      <c r="C111" s="73"/>
      <c r="D111" s="73"/>
      <c r="E111" s="106">
        <v>1.1499999999999999</v>
      </c>
      <c r="F111" s="106">
        <v>0</v>
      </c>
      <c r="G111" s="106">
        <v>0</v>
      </c>
      <c r="H111" s="106">
        <v>0</v>
      </c>
      <c r="I111" s="106">
        <v>0</v>
      </c>
      <c r="J111" s="719"/>
    </row>
    <row r="112" spans="2:14">
      <c r="B112" s="105" t="s">
        <v>80</v>
      </c>
      <c r="C112" s="712">
        <v>0.23941679646380071</v>
      </c>
      <c r="D112" s="712">
        <v>0.23941679646380071</v>
      </c>
      <c r="E112" s="712">
        <v>0.23941679646380071</v>
      </c>
      <c r="F112" s="712">
        <v>0.23941679646380071</v>
      </c>
      <c r="G112" s="712">
        <v>0.23941679646380071</v>
      </c>
      <c r="H112" s="73"/>
      <c r="I112" s="73"/>
      <c r="J112" s="719"/>
    </row>
    <row r="113" spans="2:12">
      <c r="B113" s="105" t="s">
        <v>81</v>
      </c>
      <c r="C113" s="712">
        <v>-1.1368683772161603E-15</v>
      </c>
      <c r="D113" s="712">
        <v>-1.1368683772161603E-15</v>
      </c>
      <c r="E113" s="712">
        <v>-1.1368683772161603E-15</v>
      </c>
      <c r="F113" s="712">
        <v>-1.1368683772161603E-15</v>
      </c>
      <c r="G113" s="712">
        <v>-1.1368683772161603E-15</v>
      </c>
      <c r="H113" s="73"/>
      <c r="I113" s="73"/>
      <c r="J113" s="719"/>
    </row>
    <row r="114" spans="2:12">
      <c r="B114" s="105" t="s">
        <v>82</v>
      </c>
      <c r="C114" s="712">
        <v>-7.0993072540795777E-3</v>
      </c>
      <c r="D114" s="712">
        <v>-7.0993072540795777E-3</v>
      </c>
      <c r="E114" s="712">
        <v>-7.0993072540795777E-3</v>
      </c>
      <c r="F114" s="712">
        <v>-7.0993072540795777E-3</v>
      </c>
      <c r="G114" s="712">
        <v>-7.0993072540795777E-3</v>
      </c>
      <c r="H114" s="73"/>
      <c r="I114" s="73"/>
      <c r="J114" s="719"/>
    </row>
    <row r="115" spans="2:12">
      <c r="B115" s="105" t="s">
        <v>83</v>
      </c>
      <c r="C115" s="712">
        <v>-7.2862331602607357E-3</v>
      </c>
      <c r="D115" s="712">
        <v>-7.2862331602607357E-3</v>
      </c>
      <c r="E115" s="712">
        <v>-7.2862331602607357E-3</v>
      </c>
      <c r="F115" s="712">
        <v>-7.2862331602607357E-3</v>
      </c>
      <c r="G115" s="712">
        <v>-7.2862331602607357E-3</v>
      </c>
      <c r="H115" s="73"/>
      <c r="I115" s="73"/>
      <c r="J115" s="719"/>
    </row>
    <row r="116" spans="2:12">
      <c r="B116" s="105" t="s">
        <v>84</v>
      </c>
      <c r="C116" s="713">
        <v>1.149006</v>
      </c>
      <c r="D116" s="713">
        <v>1.149006</v>
      </c>
      <c r="E116" s="712">
        <v>1.149006</v>
      </c>
      <c r="F116" s="712">
        <v>1.149006</v>
      </c>
      <c r="G116" s="713">
        <v>1.149006</v>
      </c>
      <c r="H116" s="73"/>
      <c r="I116" s="73"/>
      <c r="J116" s="719"/>
    </row>
    <row r="117" spans="2:12">
      <c r="B117" s="105" t="s">
        <v>85</v>
      </c>
      <c r="C117" s="712">
        <v>0</v>
      </c>
      <c r="D117" s="712">
        <v>0</v>
      </c>
      <c r="E117" s="712">
        <v>0</v>
      </c>
      <c r="F117" s="712">
        <v>0</v>
      </c>
      <c r="G117" s="712">
        <v>0</v>
      </c>
      <c r="H117" s="73"/>
      <c r="I117" s="73"/>
      <c r="J117" s="719"/>
    </row>
    <row r="118" spans="2:12">
      <c r="B118" s="105" t="s">
        <v>86</v>
      </c>
      <c r="C118" s="712">
        <v>0</v>
      </c>
      <c r="D118" s="712">
        <v>0</v>
      </c>
      <c r="E118" s="712">
        <v>0</v>
      </c>
      <c r="F118" s="712">
        <v>0</v>
      </c>
      <c r="G118" s="712">
        <v>0</v>
      </c>
      <c r="H118" s="73"/>
      <c r="I118" s="73"/>
      <c r="J118" s="719"/>
    </row>
    <row r="119" spans="2:12">
      <c r="B119" s="105" t="s">
        <v>87</v>
      </c>
      <c r="C119" s="712">
        <v>0</v>
      </c>
      <c r="D119" s="712">
        <v>0</v>
      </c>
      <c r="E119" s="712">
        <v>0</v>
      </c>
      <c r="F119" s="712">
        <v>0</v>
      </c>
      <c r="G119" s="712">
        <v>0</v>
      </c>
      <c r="H119" s="73"/>
      <c r="I119" s="73"/>
      <c r="J119" s="719"/>
    </row>
    <row r="120" spans="2:12">
      <c r="B120" s="105" t="s">
        <v>88</v>
      </c>
      <c r="C120" s="712">
        <v>-4.3390000000000004</v>
      </c>
      <c r="D120" s="712">
        <v>-4.3390000000000004</v>
      </c>
      <c r="E120" s="712">
        <v>-4.3390000000000004</v>
      </c>
      <c r="F120" s="712">
        <v>-4.3390000000000004</v>
      </c>
      <c r="G120" s="712">
        <v>-4.3390000000000004</v>
      </c>
      <c r="H120" s="73"/>
      <c r="I120" s="73"/>
      <c r="J120" s="719"/>
    </row>
    <row r="121" spans="2:12">
      <c r="B121" s="105" t="s">
        <v>89</v>
      </c>
      <c r="C121" s="712">
        <v>0</v>
      </c>
      <c r="D121" s="712">
        <v>0</v>
      </c>
      <c r="E121" s="712">
        <v>0</v>
      </c>
      <c r="F121" s="712">
        <v>0</v>
      </c>
      <c r="G121" s="712">
        <v>0</v>
      </c>
      <c r="H121" s="73"/>
      <c r="I121" s="73"/>
      <c r="J121" s="719"/>
    </row>
    <row r="122" spans="2:12">
      <c r="B122" s="105" t="s">
        <v>90</v>
      </c>
      <c r="C122" s="712">
        <v>-4.3390000000000004</v>
      </c>
      <c r="D122" s="712">
        <v>-4.3390000000000004</v>
      </c>
      <c r="E122" s="712">
        <v>-4.3390000000000004</v>
      </c>
      <c r="F122" s="712">
        <v>-4.3390000000000004</v>
      </c>
      <c r="G122" s="712">
        <v>-4.3390000000000004</v>
      </c>
      <c r="H122" s="73"/>
      <c r="I122" s="73"/>
      <c r="J122" s="719"/>
    </row>
    <row r="123" spans="2:12">
      <c r="B123" s="105" t="s">
        <v>91</v>
      </c>
      <c r="C123" s="712">
        <v>-13</v>
      </c>
      <c r="D123" s="712">
        <v>-13</v>
      </c>
      <c r="E123" s="712">
        <v>-13</v>
      </c>
      <c r="F123" s="712">
        <v>-13</v>
      </c>
      <c r="G123" s="712">
        <v>-13</v>
      </c>
      <c r="H123" s="73"/>
      <c r="I123" s="73"/>
      <c r="J123" s="719"/>
    </row>
    <row r="124" spans="2:12">
      <c r="B124" s="105" t="s">
        <v>29</v>
      </c>
      <c r="C124" s="712">
        <v>0</v>
      </c>
      <c r="D124" s="712">
        <v>0</v>
      </c>
      <c r="E124" s="712">
        <v>0</v>
      </c>
      <c r="F124" s="712">
        <v>0</v>
      </c>
      <c r="G124" s="712">
        <v>0</v>
      </c>
      <c r="H124" s="73"/>
      <c r="I124" s="73"/>
      <c r="J124" s="719"/>
    </row>
    <row r="125" spans="2:12">
      <c r="B125" s="105" t="s">
        <v>92</v>
      </c>
      <c r="C125" s="712">
        <v>1</v>
      </c>
      <c r="D125" s="712">
        <v>1</v>
      </c>
      <c r="E125" s="712">
        <v>1</v>
      </c>
      <c r="F125" s="712">
        <v>1</v>
      </c>
      <c r="G125" s="712">
        <v>1</v>
      </c>
      <c r="H125" s="73"/>
      <c r="I125" s="73"/>
      <c r="J125" s="719"/>
    </row>
    <row r="126" spans="2:12">
      <c r="B126" s="107" t="s">
        <v>54</v>
      </c>
      <c r="C126" s="712">
        <v>4.3620000000000001</v>
      </c>
      <c r="D126" s="712">
        <v>4.3620000000000001</v>
      </c>
      <c r="E126" s="714">
        <v>4.3620000000000001</v>
      </c>
      <c r="F126" s="714">
        <v>4.3620000000000001</v>
      </c>
      <c r="G126" s="714">
        <v>4.3620000000000001</v>
      </c>
      <c r="H126" s="73"/>
      <c r="I126" s="73"/>
      <c r="J126" s="719"/>
    </row>
    <row r="127" spans="2:12">
      <c r="B127" s="34"/>
    </row>
    <row r="128" spans="2:12">
      <c r="B128" s="139" t="str">
        <f>LEFT('RFPR cover'!C8,2)</f>
        <v>ED</v>
      </c>
      <c r="C128" s="219"/>
      <c r="D128" s="219"/>
      <c r="E128" s="219"/>
      <c r="F128" s="219"/>
      <c r="G128" s="219"/>
      <c r="H128" s="219"/>
      <c r="I128" s="219"/>
      <c r="J128" s="219"/>
      <c r="K128" s="219"/>
      <c r="L128" s="140"/>
    </row>
    <row r="129" spans="1:14">
      <c r="A129" s="36"/>
      <c r="B129" s="58" t="s">
        <v>94</v>
      </c>
      <c r="C129" s="59"/>
      <c r="D129" s="59"/>
      <c r="E129" s="59"/>
      <c r="F129" s="57"/>
      <c r="G129" s="57"/>
      <c r="H129" s="57"/>
      <c r="I129" s="57"/>
      <c r="J129" s="57"/>
      <c r="K129" s="57"/>
      <c r="L129" s="57"/>
      <c r="M129" s="57"/>
      <c r="N129" s="57"/>
    </row>
    <row r="130" spans="1:14">
      <c r="A130" s="36"/>
      <c r="B130" s="82"/>
      <c r="C130" s="83"/>
      <c r="D130" s="83"/>
      <c r="E130" s="83"/>
      <c r="F130" s="84"/>
      <c r="G130" s="84"/>
      <c r="H130" s="84"/>
      <c r="I130" s="84"/>
    </row>
    <row r="131" spans="1:14">
      <c r="A131" s="35"/>
      <c r="B131" s="220" t="s">
        <v>95</v>
      </c>
      <c r="C131" s="37"/>
      <c r="D131" s="37"/>
      <c r="E131" s="242" t="b">
        <f>OR((LEFT('RFPR cover'!$C$8,2)=Data!G131),'RFPR cover'!$C$7=Data!G131)</f>
        <v>1</v>
      </c>
      <c r="F131" s="285">
        <f t="shared" ref="F131:F133" si="22">IF(E131,1,0)</f>
        <v>1</v>
      </c>
      <c r="G131" s="243" t="str">
        <f>B141</f>
        <v>ED</v>
      </c>
    </row>
    <row r="132" spans="1:14" ht="16.5" customHeight="1">
      <c r="A132" s="35"/>
      <c r="B132" s="86" t="str">
        <f>IF(SUM($F$131:$F$138)=0,"",CHOOSE(MATCH(TRUE,$E$131:$E$138,0),B142,B153,B164,E164,B175,E175,B185,E185)&amp;"")</f>
        <v>Time to connect ODI</v>
      </c>
      <c r="C132" s="37"/>
      <c r="D132" s="37"/>
      <c r="E132" s="282" t="b">
        <f>OR((LEFT('RFPR cover'!$C$8,2)=Data!G132),'RFPR cover'!$C$7=Data!G132)</f>
        <v>0</v>
      </c>
      <c r="F132" s="232">
        <f t="shared" si="22"/>
        <v>0</v>
      </c>
      <c r="G132" s="233" t="str">
        <f>B152</f>
        <v>GD</v>
      </c>
    </row>
    <row r="133" spans="1:14">
      <c r="A133" s="35"/>
      <c r="B133" s="86" t="str">
        <f t="shared" ref="B133:B139" si="23">IF(SUM($F$131:$F$138)=0,"",CHOOSE(MATCH(TRUE,$E$131:$E$138,0),B143,B154,B165,E165,B176,E176,B186,E186)&amp;"")</f>
        <v>Broad Measure of Customer Service ODI</v>
      </c>
      <c r="C133" s="37"/>
      <c r="D133" s="37"/>
      <c r="E133" s="282" t="b">
        <f>OR((LEFT('RFPR cover'!$C$8,2)=Data!G133),'RFPR cover'!$C$7=Data!G133)</f>
        <v>0</v>
      </c>
      <c r="F133" s="232">
        <f t="shared" si="22"/>
        <v>0</v>
      </c>
      <c r="G133" s="234" t="str">
        <f>B163</f>
        <v>NGGT (TO)</v>
      </c>
    </row>
    <row r="134" spans="1:14">
      <c r="A134" s="35"/>
      <c r="B134" s="86" t="str">
        <f t="shared" si="23"/>
        <v>Interruptions incentive scheme ODI</v>
      </c>
      <c r="C134" s="37"/>
      <c r="D134" s="37"/>
      <c r="E134" s="282" t="b">
        <f>OR((LEFT('RFPR cover'!$C$8,2)=Data!G134),'RFPR cover'!$C$7=Data!G134)</f>
        <v>0</v>
      </c>
      <c r="F134" s="232">
        <f>IF(E134,1,0)</f>
        <v>0</v>
      </c>
      <c r="G134" s="234" t="str">
        <f>E163</f>
        <v>NGGT (TO+SO)</v>
      </c>
    </row>
    <row r="135" spans="1:14">
      <c r="A135" s="35"/>
      <c r="B135" s="86" t="str">
        <f t="shared" si="23"/>
        <v>Major connections ODI</v>
      </c>
      <c r="C135" s="37"/>
      <c r="D135" s="37"/>
      <c r="E135" s="282" t="b">
        <f>OR((LEFT('RFPR cover'!$C$8,2)=Data!G135),'RFPR cover'!$C$7=Data!G135)</f>
        <v>0</v>
      </c>
      <c r="F135" s="232">
        <f>IF(E135,1,0)</f>
        <v>0</v>
      </c>
      <c r="G135" s="234" t="str">
        <f>B174</f>
        <v>NGET (TO)</v>
      </c>
    </row>
    <row r="136" spans="1:14">
      <c r="A136" s="35"/>
      <c r="B136" s="86" t="str">
        <f t="shared" si="23"/>
        <v>Consumer Vulnerability ODI</v>
      </c>
      <c r="C136" s="37"/>
      <c r="D136" s="37"/>
      <c r="E136" s="282" t="b">
        <f>OR((LEFT('RFPR cover'!$C$8,2)=Data!G136),'RFPR cover'!$C$7=Data!G136)</f>
        <v>0</v>
      </c>
      <c r="F136" s="232">
        <f t="shared" ref="F136" si="24">IF(E136,1,0)</f>
        <v>0</v>
      </c>
      <c r="G136" s="234" t="str">
        <f>E174</f>
        <v>ESO</v>
      </c>
    </row>
    <row r="137" spans="1:14">
      <c r="A137" s="35"/>
      <c r="B137" s="86" t="str">
        <f t="shared" si="23"/>
        <v>Distribution System Operator ODI</v>
      </c>
      <c r="C137" s="37"/>
      <c r="D137" s="37"/>
      <c r="E137" s="282" t="b">
        <f>OR((LEFT('RFPR cover'!$C$8,2)=Data!G137),'RFPR cover'!$C$7=Data!G137)</f>
        <v>0</v>
      </c>
      <c r="F137" s="232">
        <f>IF(E137,1,0)</f>
        <v>0</v>
      </c>
      <c r="G137" s="234" t="str">
        <f>B184</f>
        <v>SPT</v>
      </c>
    </row>
    <row r="138" spans="1:14">
      <c r="A138" s="35"/>
      <c r="B138" s="86" t="str">
        <f t="shared" si="23"/>
        <v>Dig, Fix and Go ODI (ENWL only)</v>
      </c>
      <c r="C138" s="37"/>
      <c r="D138" s="37"/>
      <c r="E138" s="235" t="b">
        <f>OR((LEFT('RFPR cover'!$C$8,2)=Data!G138),'RFPR cover'!$C$7=Data!G138)</f>
        <v>0</v>
      </c>
      <c r="F138" s="236">
        <f>IF(E138,1,0)</f>
        <v>0</v>
      </c>
      <c r="G138" s="237" t="s">
        <v>54</v>
      </c>
    </row>
    <row r="139" spans="1:14">
      <c r="A139" s="35"/>
      <c r="B139" s="86" t="str">
        <f t="shared" si="23"/>
        <v>Collaborative Streetworks ODI (EPN, LPN and SPN only)</v>
      </c>
      <c r="C139" s="37"/>
      <c r="D139" s="37"/>
    </row>
    <row r="140" spans="1:14">
      <c r="A140" s="35"/>
      <c r="B140" s="37"/>
      <c r="C140" s="37"/>
      <c r="D140" s="37"/>
      <c r="E140" s="11"/>
      <c r="F140" s="85"/>
    </row>
    <row r="141" spans="1:14">
      <c r="A141" s="35"/>
      <c r="B141" s="797" t="s">
        <v>19</v>
      </c>
      <c r="C141" s="798"/>
      <c r="D141" s="37"/>
      <c r="E141" s="37"/>
    </row>
    <row r="142" spans="1:14">
      <c r="A142" s="35"/>
      <c r="B142" s="801" t="s">
        <v>96</v>
      </c>
      <c r="C142" s="802"/>
      <c r="D142" s="37"/>
      <c r="E142" s="37"/>
    </row>
    <row r="143" spans="1:14">
      <c r="A143" s="35"/>
      <c r="B143" s="799" t="s">
        <v>97</v>
      </c>
      <c r="C143" s="800"/>
      <c r="D143" s="37"/>
      <c r="E143" s="37"/>
    </row>
    <row r="144" spans="1:14">
      <c r="A144" s="35"/>
      <c r="B144" s="799" t="s">
        <v>98</v>
      </c>
      <c r="C144" s="800"/>
      <c r="D144" s="37"/>
      <c r="E144" s="37"/>
    </row>
    <row r="145" spans="1:7">
      <c r="A145" s="35"/>
      <c r="B145" s="799" t="s">
        <v>99</v>
      </c>
      <c r="C145" s="800"/>
      <c r="D145" s="37"/>
      <c r="E145" s="37"/>
    </row>
    <row r="146" spans="1:7">
      <c r="A146" s="35"/>
      <c r="B146" s="799" t="s">
        <v>100</v>
      </c>
      <c r="C146" s="800"/>
      <c r="D146" s="37"/>
      <c r="E146" s="37"/>
    </row>
    <row r="147" spans="1:7">
      <c r="A147" s="35"/>
      <c r="B147" s="799" t="s">
        <v>101</v>
      </c>
      <c r="C147" s="800"/>
      <c r="D147" s="37"/>
      <c r="E147" s="37"/>
    </row>
    <row r="148" spans="1:7">
      <c r="A148" s="35"/>
      <c r="B148" s="799" t="s">
        <v>102</v>
      </c>
      <c r="C148" s="800"/>
      <c r="D148" s="37"/>
      <c r="E148" s="37"/>
    </row>
    <row r="149" spans="1:7">
      <c r="A149" s="35"/>
      <c r="B149" s="822" t="s">
        <v>103</v>
      </c>
      <c r="C149" s="823"/>
      <c r="D149" s="37"/>
      <c r="E149" s="37"/>
    </row>
    <row r="150" spans="1:7">
      <c r="A150" s="35"/>
      <c r="B150" s="37"/>
      <c r="C150" s="37"/>
      <c r="D150" s="37"/>
      <c r="E150" s="37"/>
    </row>
    <row r="151" spans="1:7">
      <c r="A151" s="35"/>
      <c r="B151" s="37"/>
      <c r="C151" s="37"/>
      <c r="D151" s="37"/>
      <c r="E151" s="37"/>
    </row>
    <row r="152" spans="1:7">
      <c r="A152" s="35"/>
      <c r="B152" s="797" t="s">
        <v>25</v>
      </c>
      <c r="C152" s="798"/>
      <c r="D152" s="37"/>
      <c r="E152" s="37"/>
    </row>
    <row r="153" spans="1:7">
      <c r="A153" s="35"/>
      <c r="B153" s="801" t="s">
        <v>104</v>
      </c>
      <c r="C153" s="802"/>
      <c r="E153" s="37"/>
    </row>
    <row r="154" spans="1:7">
      <c r="A154" s="35"/>
      <c r="B154" s="799" t="s">
        <v>105</v>
      </c>
      <c r="C154" s="800"/>
      <c r="D154" s="37"/>
      <c r="E154" s="37"/>
    </row>
    <row r="155" spans="1:7" ht="25.5" customHeight="1">
      <c r="A155" s="35"/>
      <c r="B155" s="799" t="s">
        <v>106</v>
      </c>
      <c r="C155" s="800"/>
      <c r="D155" s="37"/>
      <c r="E155" s="37"/>
      <c r="G155" t="s">
        <v>107</v>
      </c>
    </row>
    <row r="156" spans="1:7" ht="25.5" customHeight="1">
      <c r="A156" s="35"/>
      <c r="B156" s="799" t="s">
        <v>108</v>
      </c>
      <c r="C156" s="800"/>
      <c r="D156" s="37"/>
      <c r="E156" s="37"/>
    </row>
    <row r="157" spans="1:7" ht="14.25" customHeight="1">
      <c r="A157" s="35"/>
      <c r="B157" s="799" t="s">
        <v>109</v>
      </c>
      <c r="C157" s="800"/>
      <c r="D157" s="37"/>
      <c r="E157" s="37"/>
    </row>
    <row r="158" spans="1:7" ht="25.5" customHeight="1">
      <c r="A158" s="35"/>
      <c r="B158" s="799" t="s">
        <v>110</v>
      </c>
      <c r="C158" s="800"/>
      <c r="D158" s="37"/>
      <c r="E158" s="37"/>
    </row>
    <row r="159" spans="1:7" ht="12" customHeight="1">
      <c r="A159" s="35"/>
      <c r="B159" s="799"/>
      <c r="C159" s="800"/>
      <c r="D159" s="37"/>
      <c r="E159" s="37"/>
    </row>
    <row r="160" spans="1:7">
      <c r="A160" s="35"/>
      <c r="B160" s="822"/>
      <c r="C160" s="823"/>
      <c r="D160" s="37"/>
      <c r="E160" s="37"/>
    </row>
    <row r="161" spans="1:9">
      <c r="A161" s="35"/>
      <c r="B161" s="37"/>
      <c r="C161" s="37"/>
      <c r="D161" s="37"/>
      <c r="E161" s="37"/>
    </row>
    <row r="162" spans="1:9">
      <c r="A162" s="35"/>
      <c r="B162" s="37"/>
      <c r="C162" s="37"/>
      <c r="D162" s="37"/>
      <c r="E162" s="37"/>
    </row>
    <row r="163" spans="1:9" ht="12.75" customHeight="1">
      <c r="A163" s="35"/>
      <c r="B163" s="793" t="s">
        <v>88</v>
      </c>
      <c r="C163" s="794"/>
      <c r="D163" s="37"/>
      <c r="E163" s="803" t="s">
        <v>90</v>
      </c>
      <c r="F163" s="803"/>
      <c r="G163" s="803"/>
      <c r="H163" s="804"/>
      <c r="I163" s="13"/>
    </row>
    <row r="164" spans="1:9" ht="12.75" customHeight="1">
      <c r="A164" s="35"/>
      <c r="B164" s="801" t="s">
        <v>111</v>
      </c>
      <c r="C164" s="802"/>
      <c r="E164" s="808"/>
      <c r="F164" s="809"/>
      <c r="G164" s="809"/>
      <c r="H164" s="809"/>
      <c r="I164" s="81"/>
    </row>
    <row r="165" spans="1:9" ht="12.75" customHeight="1">
      <c r="A165" s="35"/>
      <c r="B165" s="799" t="s">
        <v>112</v>
      </c>
      <c r="C165" s="800"/>
      <c r="E165" s="808"/>
      <c r="F165" s="809"/>
      <c r="G165" s="809"/>
      <c r="H165" s="809"/>
      <c r="I165" s="81"/>
    </row>
    <row r="166" spans="1:9" ht="12.75" customHeight="1">
      <c r="A166" s="35"/>
      <c r="B166" s="799"/>
      <c r="C166" s="800"/>
      <c r="D166" s="37"/>
      <c r="E166" s="805" t="s">
        <v>111</v>
      </c>
      <c r="F166" s="805"/>
      <c r="G166" s="805"/>
      <c r="H166" s="805"/>
      <c r="I166" s="81"/>
    </row>
    <row r="167" spans="1:9" ht="12.75" customHeight="1">
      <c r="A167" s="35"/>
      <c r="B167" s="799"/>
      <c r="C167" s="800"/>
      <c r="D167" s="37"/>
      <c r="E167" s="806" t="s">
        <v>112</v>
      </c>
      <c r="F167" s="806"/>
      <c r="G167" s="806"/>
      <c r="H167" s="806"/>
      <c r="I167" s="81"/>
    </row>
    <row r="168" spans="1:9" ht="12.75" customHeight="1">
      <c r="A168" s="35"/>
      <c r="B168" s="799"/>
      <c r="C168" s="800"/>
      <c r="D168" s="37"/>
      <c r="E168" s="807"/>
      <c r="F168" s="807"/>
      <c r="G168" s="807"/>
      <c r="H168" s="807"/>
      <c r="I168" s="81"/>
    </row>
    <row r="169" spans="1:9" ht="12.75" customHeight="1">
      <c r="A169" s="35"/>
      <c r="B169" s="799"/>
      <c r="C169" s="800"/>
      <c r="D169" s="37"/>
      <c r="E169" s="807"/>
      <c r="F169" s="807"/>
      <c r="G169" s="807"/>
      <c r="H169" s="807"/>
      <c r="I169" s="81"/>
    </row>
    <row r="170" spans="1:9" ht="12.75" customHeight="1">
      <c r="A170" s="35"/>
      <c r="B170" s="799"/>
      <c r="C170" s="800"/>
      <c r="D170" s="37"/>
      <c r="E170" s="794"/>
      <c r="F170" s="794"/>
      <c r="G170" s="794"/>
      <c r="H170" s="794"/>
      <c r="I170" s="81"/>
    </row>
    <row r="171" spans="1:9" ht="12" customHeight="1">
      <c r="A171" s="35"/>
      <c r="B171" s="822"/>
      <c r="C171" s="823"/>
      <c r="D171" s="37"/>
      <c r="E171" s="798"/>
      <c r="F171" s="798"/>
      <c r="G171" s="798"/>
      <c r="H171" s="798"/>
      <c r="I171" s="81"/>
    </row>
    <row r="172" spans="1:9">
      <c r="A172" s="35"/>
      <c r="B172" s="37"/>
      <c r="C172" s="37"/>
      <c r="D172" s="37"/>
      <c r="E172" s="37"/>
    </row>
    <row r="173" spans="1:9">
      <c r="A173" s="35"/>
      <c r="B173" s="37"/>
      <c r="C173" s="37"/>
      <c r="D173" s="37"/>
      <c r="E173" s="37"/>
    </row>
    <row r="174" spans="1:9">
      <c r="A174" s="35"/>
      <c r="B174" s="824" t="s">
        <v>91</v>
      </c>
      <c r="C174" s="825"/>
      <c r="D174" s="37"/>
      <c r="E174" s="793" t="s">
        <v>29</v>
      </c>
      <c r="F174" s="793"/>
      <c r="G174" s="793"/>
      <c r="H174" s="794"/>
      <c r="I174" s="13"/>
    </row>
    <row r="175" spans="1:9" ht="13.5" customHeight="1">
      <c r="A175" s="35"/>
      <c r="B175" s="801" t="s">
        <v>113</v>
      </c>
      <c r="C175" s="802"/>
      <c r="E175" s="797" t="s">
        <v>114</v>
      </c>
      <c r="F175" s="813"/>
      <c r="G175" s="813"/>
      <c r="H175" s="814"/>
      <c r="I175" s="81"/>
    </row>
    <row r="176" spans="1:9" ht="12.75" customHeight="1">
      <c r="A176" s="35"/>
      <c r="B176" s="799" t="s">
        <v>115</v>
      </c>
      <c r="C176" s="800"/>
      <c r="E176" s="815"/>
      <c r="F176" s="815"/>
      <c r="G176" s="815"/>
      <c r="H176" s="816"/>
      <c r="I176" s="81"/>
    </row>
    <row r="177" spans="1:9" ht="13.5" customHeight="1">
      <c r="A177" s="35"/>
      <c r="B177" s="799" t="s">
        <v>116</v>
      </c>
      <c r="C177" s="800"/>
      <c r="E177" s="787"/>
      <c r="F177" s="787"/>
      <c r="G177" s="787"/>
      <c r="H177" s="788"/>
      <c r="I177" s="81"/>
    </row>
    <row r="178" spans="1:9" ht="12.75" customHeight="1">
      <c r="A178" s="35"/>
      <c r="B178" s="799" t="s">
        <v>117</v>
      </c>
      <c r="C178" s="800"/>
      <c r="E178" s="787"/>
      <c r="F178" s="787"/>
      <c r="G178" s="787"/>
      <c r="H178" s="788"/>
      <c r="I178" s="81"/>
    </row>
    <row r="179" spans="1:9" ht="13.5" customHeight="1">
      <c r="A179" s="35"/>
      <c r="B179" s="799" t="s">
        <v>118</v>
      </c>
      <c r="C179" s="800"/>
      <c r="E179" s="787"/>
      <c r="F179" s="787"/>
      <c r="G179" s="787"/>
      <c r="H179" s="788"/>
      <c r="I179" s="81"/>
    </row>
    <row r="180" spans="1:9" ht="13.5" customHeight="1">
      <c r="A180" s="35"/>
      <c r="B180" s="799" t="s">
        <v>119</v>
      </c>
      <c r="C180" s="800"/>
      <c r="E180" s="787"/>
      <c r="F180" s="787"/>
      <c r="G180" s="787"/>
      <c r="H180" s="788"/>
      <c r="I180" s="81"/>
    </row>
    <row r="181" spans="1:9">
      <c r="A181" s="35"/>
      <c r="B181" s="822"/>
      <c r="C181" s="823"/>
      <c r="D181" s="37"/>
      <c r="E181" s="811"/>
      <c r="F181" s="811"/>
      <c r="G181" s="81"/>
      <c r="H181" s="81"/>
      <c r="I181" s="81"/>
    </row>
    <row r="182" spans="1:9" ht="12.75" customHeight="1">
      <c r="A182" s="35"/>
      <c r="B182" s="35"/>
      <c r="C182" s="35"/>
      <c r="D182" s="37"/>
      <c r="E182" s="81"/>
      <c r="F182" s="81"/>
      <c r="G182" s="81"/>
      <c r="H182" s="81"/>
      <c r="I182" s="81"/>
    </row>
    <row r="183" spans="1:9" ht="12.75" customHeight="1">
      <c r="A183" s="35"/>
      <c r="B183" s="35"/>
      <c r="C183" s="35"/>
      <c r="D183" s="37"/>
      <c r="E183" s="81"/>
      <c r="F183" s="81"/>
      <c r="G183" s="81"/>
      <c r="H183" s="81"/>
      <c r="I183" s="81"/>
    </row>
    <row r="184" spans="1:9" ht="12.75" customHeight="1">
      <c r="A184" s="35"/>
      <c r="B184" s="793" t="s">
        <v>92</v>
      </c>
      <c r="C184" s="794"/>
      <c r="D184" s="37"/>
      <c r="E184" s="793" t="s">
        <v>54</v>
      </c>
      <c r="F184" s="793"/>
      <c r="G184" s="793"/>
      <c r="H184" s="794"/>
      <c r="I184" s="118"/>
    </row>
    <row r="185" spans="1:9" ht="12.75" customHeight="1">
      <c r="A185" s="35"/>
      <c r="B185" s="801" t="s">
        <v>113</v>
      </c>
      <c r="C185" s="812"/>
      <c r="E185" s="827" t="s">
        <v>113</v>
      </c>
      <c r="F185" s="828"/>
      <c r="G185" s="828"/>
      <c r="H185" s="829"/>
      <c r="I185" s="81"/>
    </row>
    <row r="186" spans="1:9" ht="12.75" customHeight="1">
      <c r="A186" s="35"/>
      <c r="B186" s="799" t="s">
        <v>115</v>
      </c>
      <c r="C186" s="810"/>
      <c r="E186" s="827" t="s">
        <v>115</v>
      </c>
      <c r="F186" s="828"/>
      <c r="G186" s="828"/>
      <c r="H186" s="829"/>
      <c r="I186" s="81"/>
    </row>
    <row r="187" spans="1:9" ht="12.75" customHeight="1">
      <c r="A187" s="35"/>
      <c r="B187" s="799" t="s">
        <v>116</v>
      </c>
      <c r="C187" s="810"/>
      <c r="E187" s="827" t="s">
        <v>116</v>
      </c>
      <c r="F187" s="828"/>
      <c r="G187" s="828"/>
      <c r="H187" s="829"/>
      <c r="I187" s="81"/>
    </row>
    <row r="188" spans="1:9" ht="12.75" customHeight="1">
      <c r="A188" s="35"/>
      <c r="B188" s="799" t="s">
        <v>117</v>
      </c>
      <c r="C188" s="810"/>
      <c r="E188" s="827" t="s">
        <v>117</v>
      </c>
      <c r="F188" s="828"/>
      <c r="G188" s="828"/>
      <c r="H188" s="829"/>
      <c r="I188" s="81"/>
    </row>
    <row r="189" spans="1:9" ht="12.75" customHeight="1">
      <c r="A189" s="35"/>
      <c r="B189" s="799" t="s">
        <v>118</v>
      </c>
      <c r="C189" s="810"/>
      <c r="E189" s="827" t="s">
        <v>118</v>
      </c>
      <c r="F189" s="828"/>
      <c r="G189" s="828"/>
      <c r="H189" s="829"/>
      <c r="I189" s="81"/>
    </row>
    <row r="190" spans="1:9" ht="12.75" customHeight="1">
      <c r="A190" s="35"/>
      <c r="B190" s="799" t="s">
        <v>119</v>
      </c>
      <c r="C190" s="810"/>
      <c r="E190" s="827" t="s">
        <v>119</v>
      </c>
      <c r="F190" s="828"/>
      <c r="G190" s="828"/>
      <c r="H190" s="829"/>
      <c r="I190" s="81"/>
    </row>
    <row r="191" spans="1:9">
      <c r="A191" s="35"/>
      <c r="B191" s="789"/>
      <c r="C191" s="790"/>
      <c r="D191" s="37"/>
      <c r="E191" s="789"/>
      <c r="F191" s="789"/>
      <c r="G191" s="789"/>
      <c r="H191" s="790"/>
      <c r="I191" s="81"/>
    </row>
    <row r="192" spans="1:9" ht="12.65" customHeight="1">
      <c r="A192" s="35"/>
      <c r="D192" s="37"/>
      <c r="E192" s="37"/>
    </row>
    <row r="193" spans="1:13" ht="12.65" customHeight="1">
      <c r="A193" s="35"/>
      <c r="B193" s="58" t="s">
        <v>120</v>
      </c>
      <c r="C193" s="59"/>
      <c r="D193" s="59"/>
      <c r="E193" s="59"/>
      <c r="F193" s="57"/>
      <c r="G193" s="57"/>
      <c r="H193" s="57"/>
      <c r="I193" s="57"/>
      <c r="J193" s="57"/>
      <c r="K193" s="57"/>
      <c r="L193" s="57"/>
      <c r="M193" s="57"/>
    </row>
    <row r="194" spans="1:13" ht="12.65" customHeight="1">
      <c r="A194" s="35"/>
      <c r="B194" s="82"/>
      <c r="C194" s="83"/>
      <c r="D194" s="83"/>
      <c r="E194" s="83"/>
      <c r="F194" s="84"/>
      <c r="G194" s="84"/>
      <c r="H194" s="84"/>
      <c r="I194" s="84"/>
    </row>
    <row r="195" spans="1:13" ht="12.65" customHeight="1">
      <c r="A195" s="35"/>
      <c r="B195" s="220" t="s">
        <v>121</v>
      </c>
      <c r="C195" s="37"/>
      <c r="D195" s="37"/>
      <c r="E195" s="242" t="b">
        <f>OR((LEFT('RFPR cover'!$C$8,2)=Data!F195),'RFPR cover'!$C$7=Data!F195)</f>
        <v>1</v>
      </c>
      <c r="F195" s="243" t="str">
        <f>B206</f>
        <v>ED</v>
      </c>
    </row>
    <row r="196" spans="1:13" ht="19.5" customHeight="1">
      <c r="A196" s="35"/>
      <c r="B196" s="86" t="str">
        <f>CHOOSE(MATCH(TRUE,$E$195:$E$203,0),B207,B218,B229,E229,B240,E240,B251,E251,B262)&amp;""</f>
        <v>Network Innovation Allowance</v>
      </c>
      <c r="C196" s="37"/>
      <c r="D196" s="37"/>
      <c r="E196" s="282" t="b">
        <f>OR((LEFT('RFPR cover'!$C$8,2)=Data!F196),'RFPR cover'!$C$7=Data!F196)</f>
        <v>0</v>
      </c>
      <c r="F196" s="233" t="str">
        <f>B217</f>
        <v>GD</v>
      </c>
    </row>
    <row r="197" spans="1:13" ht="22.5" customHeight="1">
      <c r="A197" s="35"/>
      <c r="B197" s="86" t="str">
        <f t="shared" ref="B197:B203" si="25">CHOOSE(MATCH(TRUE,$E$195:$E$203,0),B208,B219,B230,E230,B241,E241,B252,E252,B263)&amp;""</f>
        <v>Carry-over Network Innovation Allowance</v>
      </c>
      <c r="C197" s="37"/>
      <c r="D197" s="37"/>
      <c r="E197" s="282" t="b">
        <f>OR((LEFT('RFPR cover'!$C$8,2)=Data!F197),'RFPR cover'!$C$7=Data!F197)</f>
        <v>0</v>
      </c>
      <c r="F197" s="234" t="str">
        <f>B228</f>
        <v>NGGT (TO)</v>
      </c>
    </row>
    <row r="198" spans="1:13" ht="19.5" customHeight="1">
      <c r="A198" s="35"/>
      <c r="B198" s="86" t="str">
        <f t="shared" si="25"/>
        <v/>
      </c>
      <c r="C198" s="37"/>
      <c r="D198" s="37"/>
      <c r="E198" s="282" t="b">
        <f>OR((LEFT('RFPR cover'!$C$8,2)=Data!F198),'RFPR cover'!$C$7=Data!F198)</f>
        <v>0</v>
      </c>
      <c r="F198" s="234" t="str">
        <f>E228</f>
        <v>NGGT (SO)</v>
      </c>
    </row>
    <row r="199" spans="1:13" ht="19.5" customHeight="1">
      <c r="A199" s="35"/>
      <c r="B199" s="86" t="str">
        <f t="shared" si="25"/>
        <v/>
      </c>
      <c r="C199" s="37"/>
      <c r="D199" s="37"/>
      <c r="E199" s="282" t="b">
        <f>OR((LEFT('RFPR cover'!$C$8,2)=Data!F199),'RFPR cover'!$C$7=Data!F199)</f>
        <v>0</v>
      </c>
      <c r="F199" s="234" t="str">
        <f>B239</f>
        <v>NGGT (TO+SO)</v>
      </c>
      <c r="G199" s="719"/>
    </row>
    <row r="200" spans="1:13" ht="19.5" customHeight="1">
      <c r="A200" s="35"/>
      <c r="B200" s="86" t="str">
        <f t="shared" si="25"/>
        <v/>
      </c>
      <c r="C200" s="37"/>
      <c r="D200" s="37"/>
      <c r="E200" s="282" t="b">
        <f>OR((LEFT('RFPR cover'!$C$8,2)=Data!F200),'RFPR cover'!$C$7=Data!F200)</f>
        <v>0</v>
      </c>
      <c r="F200" s="234" t="str">
        <f>E239</f>
        <v>NGET (TO)</v>
      </c>
    </row>
    <row r="201" spans="1:13" ht="19.5" customHeight="1">
      <c r="A201" s="35"/>
      <c r="B201" s="86" t="str">
        <f t="shared" si="25"/>
        <v/>
      </c>
      <c r="C201" s="37"/>
      <c r="D201" s="37"/>
      <c r="E201" s="282" t="b">
        <f>OR((LEFT('RFPR cover'!$C$8,2)=Data!F201),'RFPR cover'!$C$7=Data!F201)</f>
        <v>0</v>
      </c>
      <c r="F201" s="234" t="str">
        <f>B250</f>
        <v>ESO</v>
      </c>
    </row>
    <row r="202" spans="1:13" ht="19.5" customHeight="1">
      <c r="A202" s="35"/>
      <c r="B202" s="86" t="str">
        <f t="shared" si="25"/>
        <v/>
      </c>
      <c r="C202" s="37"/>
      <c r="D202" s="37"/>
      <c r="E202" s="282" t="b">
        <f>OR((LEFT('RFPR cover'!$C$8,2)=Data!F202),'RFPR cover'!$C$7=Data!F202)</f>
        <v>0</v>
      </c>
      <c r="F202" s="234" t="str">
        <f>E250</f>
        <v>SPT</v>
      </c>
    </row>
    <row r="203" spans="1:13" ht="19.5" customHeight="1">
      <c r="A203" s="35"/>
      <c r="B203" s="86" t="str">
        <f t="shared" si="25"/>
        <v/>
      </c>
      <c r="C203" s="37"/>
      <c r="D203" s="37"/>
      <c r="E203" s="235" t="b">
        <f>OR((LEFT('RFPR cover'!$C$8,2)=Data!F203),'RFPR cover'!$C$7=Data!F203)</f>
        <v>0</v>
      </c>
      <c r="F203" s="237" t="str">
        <f>B261</f>
        <v>SHET</v>
      </c>
      <c r="G203" s="37"/>
      <c r="H203" s="37"/>
      <c r="I203" s="37"/>
    </row>
    <row r="204" spans="1:13" ht="12.75" customHeight="1">
      <c r="A204" s="35"/>
      <c r="B204" s="37"/>
      <c r="C204" s="37"/>
      <c r="D204" s="37"/>
      <c r="E204" s="11"/>
      <c r="F204" s="85"/>
    </row>
    <row r="205" spans="1:13" ht="12.75" customHeight="1">
      <c r="A205" s="35"/>
      <c r="B205" s="116"/>
      <c r="C205" s="116"/>
      <c r="D205" s="37"/>
      <c r="E205" s="11"/>
      <c r="F205" s="85"/>
    </row>
    <row r="206" spans="1:13" ht="12.75" customHeight="1">
      <c r="A206" s="35"/>
      <c r="B206" s="795" t="s">
        <v>19</v>
      </c>
      <c r="C206" s="796"/>
      <c r="D206" s="37"/>
      <c r="E206" s="37"/>
    </row>
    <row r="207" spans="1:13" ht="12.75" customHeight="1">
      <c r="A207" s="35"/>
      <c r="B207" s="791" t="s">
        <v>122</v>
      </c>
      <c r="C207" s="792"/>
      <c r="D207" s="37"/>
      <c r="E207" s="37"/>
    </row>
    <row r="208" spans="1:13" ht="12.75" customHeight="1">
      <c r="A208" s="35"/>
      <c r="B208" s="787" t="s">
        <v>123</v>
      </c>
      <c r="C208" s="788"/>
      <c r="D208" s="37"/>
      <c r="E208" s="37"/>
    </row>
    <row r="209" spans="1:5" ht="12.75" customHeight="1">
      <c r="A209" s="35"/>
      <c r="B209" s="787"/>
      <c r="C209" s="788"/>
      <c r="D209" s="37"/>
      <c r="E209" s="37"/>
    </row>
    <row r="210" spans="1:5" ht="12.75" customHeight="1">
      <c r="A210" s="35"/>
      <c r="B210" s="787"/>
      <c r="C210" s="788"/>
      <c r="D210" s="37"/>
      <c r="E210" s="37"/>
    </row>
    <row r="211" spans="1:5" ht="12.75" customHeight="1">
      <c r="A211" s="35"/>
      <c r="B211" s="787"/>
      <c r="C211" s="788"/>
      <c r="D211" s="37"/>
      <c r="E211" s="37"/>
    </row>
    <row r="212" spans="1:5" ht="12.75" customHeight="1">
      <c r="A212" s="35"/>
      <c r="B212" s="787"/>
      <c r="C212" s="788"/>
      <c r="D212" s="37"/>
      <c r="E212" s="37"/>
    </row>
    <row r="213" spans="1:5">
      <c r="A213" s="35"/>
      <c r="B213" s="787"/>
      <c r="C213" s="788"/>
      <c r="D213" s="37"/>
      <c r="E213" s="37"/>
    </row>
    <row r="214" spans="1:5" ht="12.75" customHeight="1">
      <c r="A214" s="35"/>
      <c r="B214" s="789"/>
      <c r="C214" s="790"/>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797" t="s">
        <v>25</v>
      </c>
      <c r="C217" s="798"/>
      <c r="D217" s="37"/>
      <c r="E217" s="37"/>
    </row>
    <row r="218" spans="1:5" ht="12.75" customHeight="1">
      <c r="A218" s="35"/>
      <c r="B218" s="791" t="s">
        <v>124</v>
      </c>
      <c r="C218" s="792"/>
      <c r="E218" s="37"/>
    </row>
    <row r="219" spans="1:5" ht="12.75" customHeight="1">
      <c r="A219" s="35"/>
      <c r="B219" s="787" t="s">
        <v>125</v>
      </c>
      <c r="C219" s="788"/>
      <c r="D219" s="37"/>
      <c r="E219" s="37"/>
    </row>
    <row r="220" spans="1:5" ht="12.75" customHeight="1">
      <c r="A220" s="35"/>
      <c r="B220" s="787"/>
      <c r="C220" s="788"/>
      <c r="D220" s="37"/>
      <c r="E220" s="37"/>
    </row>
    <row r="221" spans="1:5" ht="12.75" customHeight="1">
      <c r="A221" s="35"/>
      <c r="B221" s="787"/>
      <c r="C221" s="788"/>
      <c r="D221" s="37"/>
      <c r="E221" s="37"/>
    </row>
    <row r="222" spans="1:5">
      <c r="A222" s="35"/>
      <c r="B222" s="787"/>
      <c r="C222" s="788"/>
      <c r="D222" s="37"/>
      <c r="E222" s="37"/>
    </row>
    <row r="223" spans="1:5">
      <c r="A223" s="35"/>
      <c r="B223" s="787"/>
      <c r="C223" s="788"/>
      <c r="D223" s="37"/>
      <c r="E223" s="37"/>
    </row>
    <row r="224" spans="1:5" ht="12.75" customHeight="1">
      <c r="A224" s="35"/>
      <c r="B224" s="787"/>
      <c r="C224" s="788"/>
      <c r="D224" s="37"/>
      <c r="E224" s="37"/>
    </row>
    <row r="225" spans="1:9">
      <c r="A225" s="35"/>
      <c r="B225" s="789"/>
      <c r="C225" s="790"/>
      <c r="D225" s="37"/>
      <c r="E225" s="37"/>
    </row>
    <row r="226" spans="1:9">
      <c r="A226" s="35"/>
      <c r="B226" s="37"/>
      <c r="C226" s="37"/>
      <c r="D226" s="37"/>
      <c r="E226" s="37"/>
    </row>
    <row r="227" spans="1:9">
      <c r="A227" s="35"/>
      <c r="B227" s="37"/>
      <c r="C227" s="37"/>
      <c r="D227" s="37"/>
      <c r="E227" s="37"/>
    </row>
    <row r="228" spans="1:9">
      <c r="A228" s="35"/>
      <c r="B228" s="165" t="str">
        <f>B85</f>
        <v>NGGT (TO)</v>
      </c>
      <c r="C228" s="144"/>
      <c r="D228" s="37"/>
      <c r="E228" s="793" t="str">
        <f>B86</f>
        <v>NGGT (SO)</v>
      </c>
      <c r="F228" s="793"/>
      <c r="G228" s="793"/>
      <c r="H228" s="793"/>
      <c r="I228" s="794"/>
    </row>
    <row r="229" spans="1:9">
      <c r="A229" s="35"/>
      <c r="B229" s="791" t="s">
        <v>126</v>
      </c>
      <c r="C229" s="792"/>
      <c r="E229" s="808"/>
      <c r="F229" s="809"/>
      <c r="G229" s="809"/>
      <c r="H229" s="809"/>
      <c r="I229" s="830"/>
    </row>
    <row r="230" spans="1:9" ht="25.5" customHeight="1">
      <c r="A230" s="35"/>
      <c r="B230" s="787" t="s">
        <v>127</v>
      </c>
      <c r="C230" s="788"/>
      <c r="E230" s="808"/>
      <c r="F230" s="809"/>
      <c r="G230" s="809"/>
      <c r="H230" s="809"/>
      <c r="I230" s="830"/>
    </row>
    <row r="231" spans="1:9" ht="13.5" customHeight="1">
      <c r="A231" s="35"/>
      <c r="B231" s="787" t="s">
        <v>128</v>
      </c>
      <c r="C231" s="788"/>
      <c r="D231" s="37"/>
      <c r="E231" s="808"/>
      <c r="F231" s="809"/>
      <c r="G231" s="809"/>
      <c r="H231" s="809"/>
      <c r="I231" s="830"/>
    </row>
    <row r="232" spans="1:9" ht="13.5" customHeight="1">
      <c r="A232" s="35"/>
      <c r="B232" s="787"/>
      <c r="C232" s="788"/>
      <c r="D232" s="37"/>
      <c r="E232" s="831" t="s">
        <v>129</v>
      </c>
      <c r="F232" s="832"/>
      <c r="G232" s="832"/>
      <c r="H232" s="832"/>
      <c r="I232" s="833"/>
    </row>
    <row r="233" spans="1:9" ht="13.5" customHeight="1">
      <c r="A233" s="35"/>
      <c r="B233" s="166"/>
      <c r="C233" s="145"/>
      <c r="D233" s="37"/>
      <c r="E233" s="831" t="s">
        <v>130</v>
      </c>
      <c r="F233" s="832"/>
      <c r="G233" s="832"/>
      <c r="H233" s="832"/>
      <c r="I233" s="833"/>
    </row>
    <row r="234" spans="1:9" ht="13.5" customHeight="1">
      <c r="A234" s="35"/>
      <c r="B234" s="787"/>
      <c r="C234" s="788"/>
      <c r="D234" s="37"/>
      <c r="E234" s="831" t="s">
        <v>131</v>
      </c>
      <c r="F234" s="832"/>
      <c r="G234" s="832"/>
      <c r="H234" s="832"/>
      <c r="I234" s="833"/>
    </row>
    <row r="235" spans="1:9" ht="13.5" customHeight="1">
      <c r="A235" s="35"/>
      <c r="B235" s="787"/>
      <c r="C235" s="788"/>
      <c r="D235" s="37"/>
      <c r="E235" s="834" t="s">
        <v>132</v>
      </c>
      <c r="F235" s="835"/>
      <c r="G235" s="835"/>
      <c r="H235" s="835"/>
      <c r="I235" s="836"/>
    </row>
    <row r="236" spans="1:9" ht="12.75" customHeight="1">
      <c r="A236" s="35"/>
      <c r="B236" s="789"/>
      <c r="C236" s="790"/>
      <c r="D236" s="37"/>
      <c r="E236" s="837" t="s">
        <v>133</v>
      </c>
      <c r="F236" s="838"/>
      <c r="G236" s="838"/>
      <c r="H236" s="838"/>
      <c r="I236" s="839"/>
    </row>
    <row r="237" spans="1:9">
      <c r="A237" s="35"/>
      <c r="B237" s="37"/>
      <c r="C237" s="37"/>
      <c r="D237" s="37"/>
      <c r="E237" s="37"/>
    </row>
    <row r="238" spans="1:9" ht="12.75" customHeight="1">
      <c r="A238" s="35"/>
      <c r="B238" s="37"/>
      <c r="C238" s="37"/>
      <c r="D238" s="37"/>
      <c r="E238" s="37"/>
    </row>
    <row r="239" spans="1:9">
      <c r="A239" s="35"/>
      <c r="B239" s="793" t="s">
        <v>90</v>
      </c>
      <c r="C239" s="794"/>
      <c r="D239" s="739"/>
      <c r="E239" s="793" t="s">
        <v>91</v>
      </c>
      <c r="F239" s="793"/>
      <c r="G239" s="793"/>
      <c r="H239" s="793"/>
      <c r="I239" s="794"/>
    </row>
    <row r="240" spans="1:9" ht="12.75" customHeight="1">
      <c r="A240" s="35"/>
      <c r="B240" s="791" t="s">
        <v>126</v>
      </c>
      <c r="C240" s="792"/>
      <c r="D240" s="719"/>
      <c r="E240" s="791" t="s">
        <v>126</v>
      </c>
      <c r="F240" s="791"/>
      <c r="G240" s="791"/>
      <c r="H240" s="791"/>
      <c r="I240" s="792"/>
    </row>
    <row r="241" spans="1:9" ht="12.75" customHeight="1">
      <c r="A241" s="35"/>
      <c r="B241" s="787" t="s">
        <v>127</v>
      </c>
      <c r="C241" s="788"/>
      <c r="D241" s="719"/>
      <c r="E241" s="787" t="s">
        <v>134</v>
      </c>
      <c r="F241" s="787"/>
      <c r="G241" s="787"/>
      <c r="H241" s="787"/>
      <c r="I241" s="788"/>
    </row>
    <row r="242" spans="1:9" ht="12.75" customHeight="1">
      <c r="A242" s="35"/>
      <c r="B242" s="787" t="s">
        <v>128</v>
      </c>
      <c r="C242" s="788"/>
      <c r="D242" s="719"/>
      <c r="E242" s="787"/>
      <c r="F242" s="787"/>
      <c r="G242" s="787"/>
      <c r="H242" s="787"/>
      <c r="I242" s="788"/>
    </row>
    <row r="243" spans="1:9" ht="24" customHeight="1">
      <c r="A243" s="35"/>
      <c r="B243" s="787" t="s">
        <v>135</v>
      </c>
      <c r="C243" s="788"/>
      <c r="D243" s="719"/>
      <c r="E243" s="787"/>
      <c r="F243" s="787"/>
      <c r="G243" s="787"/>
      <c r="H243" s="787"/>
      <c r="I243" s="788"/>
    </row>
    <row r="244" spans="1:9">
      <c r="A244" s="35"/>
      <c r="B244" s="787" t="s">
        <v>130</v>
      </c>
      <c r="C244" s="788"/>
      <c r="D244" s="719"/>
      <c r="E244" s="787"/>
      <c r="F244" s="787"/>
      <c r="G244" s="787"/>
      <c r="H244" s="787"/>
      <c r="I244" s="788"/>
    </row>
    <row r="245" spans="1:9">
      <c r="A245" s="35"/>
      <c r="B245" s="787" t="s">
        <v>131</v>
      </c>
      <c r="C245" s="788"/>
      <c r="D245" s="719"/>
      <c r="E245" s="787"/>
      <c r="F245" s="787"/>
      <c r="G245" s="787"/>
      <c r="H245" s="787"/>
      <c r="I245" s="788"/>
    </row>
    <row r="246" spans="1:9" ht="12.75" customHeight="1">
      <c r="A246" s="35"/>
      <c r="B246" s="787" t="s">
        <v>136</v>
      </c>
      <c r="C246" s="788"/>
      <c r="D246" s="719"/>
      <c r="E246" s="787"/>
      <c r="F246" s="787"/>
      <c r="G246" s="787"/>
      <c r="H246" s="787"/>
      <c r="I246" s="788"/>
    </row>
    <row r="247" spans="1:9" ht="12.75" customHeight="1">
      <c r="A247" s="35"/>
      <c r="B247" s="789" t="s">
        <v>133</v>
      </c>
      <c r="C247" s="790"/>
      <c r="D247" s="739"/>
      <c r="E247" s="789"/>
      <c r="F247" s="789"/>
      <c r="G247" s="789"/>
      <c r="H247" s="789"/>
      <c r="I247" s="790"/>
    </row>
    <row r="248" spans="1:9" ht="12.75" customHeight="1">
      <c r="A248" s="35"/>
      <c r="B248" s="35"/>
      <c r="C248" s="35"/>
      <c r="D248" s="37"/>
      <c r="E248" s="81"/>
      <c r="F248" s="81"/>
      <c r="G248" s="81"/>
      <c r="H248" s="81"/>
      <c r="I248" s="81"/>
    </row>
    <row r="249" spans="1:9" ht="12.75" customHeight="1">
      <c r="A249" s="35"/>
      <c r="B249" s="35"/>
      <c r="C249" s="35"/>
      <c r="D249" s="37"/>
      <c r="E249" s="81"/>
      <c r="F249" s="81"/>
      <c r="G249" s="81"/>
      <c r="H249" s="81"/>
      <c r="I249" s="81"/>
    </row>
    <row r="250" spans="1:9" ht="12.75" customHeight="1">
      <c r="A250" s="35"/>
      <c r="B250" s="793" t="s">
        <v>29</v>
      </c>
      <c r="C250" s="794"/>
      <c r="D250" s="37"/>
      <c r="E250" s="793" t="s">
        <v>92</v>
      </c>
      <c r="F250" s="793"/>
      <c r="G250" s="793"/>
      <c r="H250" s="793"/>
      <c r="I250" s="794"/>
    </row>
    <row r="251" spans="1:9" ht="12.75" customHeight="1">
      <c r="A251" s="35"/>
      <c r="B251" s="791" t="s">
        <v>137</v>
      </c>
      <c r="C251" s="792"/>
      <c r="E251" s="791" t="s">
        <v>138</v>
      </c>
      <c r="F251" s="791"/>
      <c r="G251" s="791"/>
      <c r="H251" s="791"/>
      <c r="I251" s="792"/>
    </row>
    <row r="252" spans="1:9" ht="25.5" customHeight="1">
      <c r="A252" s="35"/>
      <c r="B252" s="787" t="s">
        <v>139</v>
      </c>
      <c r="C252" s="788"/>
      <c r="E252" s="787" t="s">
        <v>125</v>
      </c>
      <c r="F252" s="787"/>
      <c r="G252" s="787"/>
      <c r="H252" s="787"/>
      <c r="I252" s="788"/>
    </row>
    <row r="253" spans="1:9" ht="25.5" customHeight="1">
      <c r="A253" s="35"/>
      <c r="B253" s="787"/>
      <c r="C253" s="788"/>
      <c r="E253" s="787"/>
      <c r="F253" s="787"/>
      <c r="G253" s="787"/>
      <c r="H253" s="787"/>
      <c r="I253" s="788"/>
    </row>
    <row r="254" spans="1:9" ht="25.5" customHeight="1">
      <c r="A254" s="35"/>
      <c r="B254" s="787"/>
      <c r="C254" s="788"/>
      <c r="E254" s="787"/>
      <c r="F254" s="787"/>
      <c r="G254" s="787"/>
      <c r="H254" s="787"/>
      <c r="I254" s="788"/>
    </row>
    <row r="255" spans="1:9" ht="25.5" customHeight="1">
      <c r="A255" s="35"/>
      <c r="B255" s="787"/>
      <c r="C255" s="788"/>
      <c r="E255" s="787"/>
      <c r="F255" s="787"/>
      <c r="G255" s="787"/>
      <c r="H255" s="787"/>
      <c r="I255" s="788"/>
    </row>
    <row r="256" spans="1:9" ht="25.5" customHeight="1">
      <c r="A256" s="35"/>
      <c r="B256" s="787"/>
      <c r="C256" s="788"/>
      <c r="E256" s="787"/>
      <c r="F256" s="787"/>
      <c r="G256" s="787"/>
      <c r="H256" s="787"/>
      <c r="I256" s="788"/>
    </row>
    <row r="257" spans="1:9">
      <c r="A257" s="35"/>
      <c r="B257" s="787"/>
      <c r="C257" s="788"/>
      <c r="E257" s="787"/>
      <c r="F257" s="787"/>
      <c r="G257" s="787"/>
      <c r="H257" s="787"/>
      <c r="I257" s="788"/>
    </row>
    <row r="258" spans="1:9">
      <c r="A258" s="35"/>
      <c r="B258" s="789"/>
      <c r="C258" s="790"/>
      <c r="D258" s="37"/>
      <c r="E258" s="789"/>
      <c r="F258" s="789"/>
      <c r="G258" s="789"/>
      <c r="H258" s="789"/>
      <c r="I258" s="790"/>
    </row>
    <row r="259" spans="1:9">
      <c r="A259" s="35"/>
      <c r="D259" s="37"/>
      <c r="E259" s="37"/>
    </row>
    <row r="260" spans="1:9">
      <c r="A260" s="35"/>
      <c r="D260" s="37"/>
      <c r="E260" s="37"/>
    </row>
    <row r="261" spans="1:9">
      <c r="A261" s="35"/>
      <c r="B261" s="793" t="s">
        <v>54</v>
      </c>
      <c r="C261" s="794"/>
      <c r="D261" s="37"/>
      <c r="E261" s="37"/>
    </row>
    <row r="262" spans="1:9">
      <c r="A262" s="35"/>
      <c r="B262" s="787" t="s">
        <v>138</v>
      </c>
      <c r="C262" s="788"/>
      <c r="D262" s="826"/>
      <c r="E262" s="826"/>
    </row>
    <row r="263" spans="1:9">
      <c r="A263" s="35"/>
      <c r="B263" s="787" t="s">
        <v>125</v>
      </c>
      <c r="C263" s="788"/>
      <c r="D263" s="826"/>
      <c r="E263" s="826"/>
    </row>
    <row r="264" spans="1:9">
      <c r="A264" s="35"/>
      <c r="B264" s="787"/>
      <c r="C264" s="788"/>
      <c r="D264" s="37"/>
      <c r="E264" s="37"/>
    </row>
    <row r="265" spans="1:9">
      <c r="A265" s="35"/>
      <c r="B265" s="787"/>
      <c r="C265" s="788"/>
      <c r="D265" s="37"/>
      <c r="E265" s="37"/>
    </row>
    <row r="266" spans="1:9">
      <c r="A266" s="35"/>
      <c r="B266" s="787"/>
      <c r="C266" s="788"/>
      <c r="D266" s="37"/>
      <c r="E266" s="37"/>
    </row>
    <row r="267" spans="1:9">
      <c r="A267" s="35"/>
      <c r="B267" s="787"/>
      <c r="C267" s="788"/>
      <c r="D267" s="37"/>
      <c r="E267" s="37"/>
    </row>
    <row r="268" spans="1:9">
      <c r="A268" s="35"/>
      <c r="B268" s="787"/>
      <c r="C268" s="788"/>
      <c r="D268" s="37"/>
      <c r="E268" s="37"/>
    </row>
    <row r="269" spans="1:9">
      <c r="A269" s="35"/>
      <c r="B269" s="789"/>
      <c r="C269" s="790"/>
      <c r="D269" s="37"/>
      <c r="E269" s="37"/>
    </row>
    <row r="270" spans="1:9">
      <c r="A270" s="35"/>
      <c r="D270" s="37"/>
      <c r="E270" s="37"/>
    </row>
    <row r="271" spans="1:9">
      <c r="A271" s="35"/>
      <c r="D271" s="37"/>
      <c r="E271" s="37"/>
    </row>
    <row r="272" spans="1:9">
      <c r="A272" s="35"/>
      <c r="D272" s="37"/>
      <c r="E272" s="37"/>
    </row>
    <row r="273" spans="2:36">
      <c r="B273" s="58" t="s">
        <v>140</v>
      </c>
      <c r="C273" s="59"/>
      <c r="D273" s="59"/>
      <c r="E273" s="59"/>
      <c r="F273" s="57"/>
      <c r="G273" s="57"/>
      <c r="H273" s="57"/>
      <c r="I273" s="57"/>
      <c r="J273" s="57"/>
      <c r="K273" s="57"/>
      <c r="L273" s="57"/>
      <c r="M273" s="57"/>
      <c r="N273" s="57"/>
    </row>
    <row r="275" spans="2:36" ht="108">
      <c r="B275" s="250" t="s">
        <v>141</v>
      </c>
      <c r="C275" s="250" t="s">
        <v>142</v>
      </c>
      <c r="D275" s="250" t="s">
        <v>143</v>
      </c>
      <c r="E275" s="251" t="s">
        <v>144</v>
      </c>
      <c r="F275" s="251" t="s">
        <v>145</v>
      </c>
      <c r="G275" s="251" t="s">
        <v>146</v>
      </c>
      <c r="H275" s="251" t="s">
        <v>147</v>
      </c>
      <c r="I275" s="250" t="s">
        <v>148</v>
      </c>
      <c r="J275" s="250" t="s">
        <v>149</v>
      </c>
      <c r="K275" s="252" t="s">
        <v>150</v>
      </c>
      <c r="L275" s="252" t="s">
        <v>151</v>
      </c>
      <c r="M275" s="252" t="s">
        <v>152</v>
      </c>
      <c r="N275" s="252" t="s">
        <v>153</v>
      </c>
      <c r="O275" s="252" t="s">
        <v>154</v>
      </c>
      <c r="P275" s="252" t="s">
        <v>155</v>
      </c>
      <c r="Q275" s="252" t="s">
        <v>156</v>
      </c>
      <c r="R275" s="252" t="s">
        <v>157</v>
      </c>
      <c r="S275" s="252" t="s">
        <v>158</v>
      </c>
      <c r="T275" s="250" t="s">
        <v>159</v>
      </c>
      <c r="U275" s="250" t="s">
        <v>160</v>
      </c>
      <c r="V275" s="250" t="s">
        <v>161</v>
      </c>
      <c r="W275" s="250" t="s">
        <v>162</v>
      </c>
      <c r="X275" s="253" t="s">
        <v>163</v>
      </c>
      <c r="Y275" s="250" t="s">
        <v>164</v>
      </c>
      <c r="Z275" s="250" t="s">
        <v>165</v>
      </c>
      <c r="AA275" s="250" t="s">
        <v>166</v>
      </c>
      <c r="AB275" s="250" t="s">
        <v>167</v>
      </c>
      <c r="AC275" s="250" t="s">
        <v>168</v>
      </c>
      <c r="AD275" s="250" t="s">
        <v>169</v>
      </c>
      <c r="AE275" s="250" t="s">
        <v>170</v>
      </c>
      <c r="AF275" s="250" t="s">
        <v>171</v>
      </c>
      <c r="AG275" s="250" t="s">
        <v>172</v>
      </c>
      <c r="AH275" s="250" t="s">
        <v>173</v>
      </c>
      <c r="AI275" s="250" t="s">
        <v>174</v>
      </c>
      <c r="AJ275" s="254" t="s">
        <v>175</v>
      </c>
    </row>
    <row r="276" spans="2:36">
      <c r="B276" s="245" t="s">
        <v>19</v>
      </c>
      <c r="C276" t="s">
        <v>84</v>
      </c>
      <c r="D276" t="s">
        <v>176</v>
      </c>
      <c r="E276" t="s">
        <v>177</v>
      </c>
      <c r="F276" t="s">
        <v>178</v>
      </c>
      <c r="G276" t="s">
        <v>179</v>
      </c>
      <c r="H276" t="s">
        <v>180</v>
      </c>
      <c r="O276" t="s">
        <v>181</v>
      </c>
      <c r="Y276" t="s">
        <v>182</v>
      </c>
      <c r="Z276" t="s">
        <v>183</v>
      </c>
      <c r="AA276">
        <v>1</v>
      </c>
      <c r="AI276" t="s">
        <v>184</v>
      </c>
      <c r="AJ276" s="122" t="s">
        <v>184</v>
      </c>
    </row>
    <row r="277" spans="2:36">
      <c r="B277" s="245" t="s">
        <v>22</v>
      </c>
      <c r="C277" t="s">
        <v>185</v>
      </c>
      <c r="D277" t="s">
        <v>186</v>
      </c>
      <c r="E277" t="s">
        <v>187</v>
      </c>
      <c r="F277" t="s">
        <v>188</v>
      </c>
      <c r="G277" t="s">
        <v>189</v>
      </c>
      <c r="H277" t="s">
        <v>190</v>
      </c>
      <c r="O277" t="s">
        <v>191</v>
      </c>
      <c r="Y277" t="s">
        <v>192</v>
      </c>
      <c r="Z277" t="s">
        <v>193</v>
      </c>
      <c r="AA277">
        <v>2</v>
      </c>
      <c r="AI277" t="s">
        <v>194</v>
      </c>
      <c r="AJ277" s="122" t="s">
        <v>194</v>
      </c>
    </row>
    <row r="278" spans="2:36">
      <c r="B278" s="245" t="s">
        <v>25</v>
      </c>
      <c r="C278" t="s">
        <v>195</v>
      </c>
      <c r="D278" t="s">
        <v>196</v>
      </c>
      <c r="E278" t="s">
        <v>197</v>
      </c>
      <c r="F278" t="s">
        <v>198</v>
      </c>
      <c r="G278" t="s">
        <v>199</v>
      </c>
      <c r="O278" t="s">
        <v>200</v>
      </c>
      <c r="Y278" t="s">
        <v>201</v>
      </c>
      <c r="Z278" t="s">
        <v>202</v>
      </c>
      <c r="AA278">
        <v>3</v>
      </c>
      <c r="AI278" t="s">
        <v>203</v>
      </c>
      <c r="AJ278" s="122" t="s">
        <v>203</v>
      </c>
    </row>
    <row r="279" spans="2:36">
      <c r="B279" s="245" t="s">
        <v>27</v>
      </c>
      <c r="C279" t="s">
        <v>204</v>
      </c>
      <c r="D279" t="s">
        <v>205</v>
      </c>
      <c r="E279" t="s">
        <v>206</v>
      </c>
      <c r="G279" t="s">
        <v>207</v>
      </c>
      <c r="O279" t="s">
        <v>208</v>
      </c>
      <c r="Y279" t="s">
        <v>209</v>
      </c>
      <c r="Z279" t="s">
        <v>203</v>
      </c>
      <c r="AA279">
        <v>4</v>
      </c>
      <c r="AJ279" s="122"/>
    </row>
    <row r="280" spans="2:36">
      <c r="B280" s="245" t="s">
        <v>29</v>
      </c>
      <c r="C280" t="s">
        <v>87</v>
      </c>
      <c r="D280" t="s">
        <v>210</v>
      </c>
      <c r="E280" t="s">
        <v>211</v>
      </c>
      <c r="G280" t="s">
        <v>212</v>
      </c>
      <c r="O280" t="s">
        <v>213</v>
      </c>
      <c r="Y280" t="s">
        <v>214</v>
      </c>
      <c r="AA280">
        <v>5</v>
      </c>
      <c r="AJ280" s="122"/>
    </row>
    <row r="281" spans="2:36">
      <c r="B281" s="245"/>
      <c r="C281" t="s">
        <v>54</v>
      </c>
      <c r="D281" t="s">
        <v>215</v>
      </c>
      <c r="E281" t="s">
        <v>216</v>
      </c>
      <c r="O281" t="s">
        <v>217</v>
      </c>
      <c r="Y281" s="249" t="s">
        <v>218</v>
      </c>
      <c r="AA281">
        <v>6</v>
      </c>
      <c r="AJ281" s="122"/>
    </row>
    <row r="282" spans="2:36">
      <c r="B282" s="245"/>
      <c r="C282" t="s">
        <v>92</v>
      </c>
      <c r="D282" t="s">
        <v>219</v>
      </c>
      <c r="O282" t="s">
        <v>220</v>
      </c>
      <c r="Y282" t="s">
        <v>203</v>
      </c>
      <c r="AA282">
        <v>7</v>
      </c>
      <c r="AJ282" s="122"/>
    </row>
    <row r="283" spans="2:36">
      <c r="B283" s="245"/>
      <c r="C283" t="s">
        <v>221</v>
      </c>
      <c r="D283" t="s">
        <v>222</v>
      </c>
      <c r="O283" t="s">
        <v>223</v>
      </c>
      <c r="AA283">
        <v>8</v>
      </c>
      <c r="AJ283" s="122"/>
    </row>
    <row r="284" spans="2:36">
      <c r="B284" s="245"/>
      <c r="C284" t="s">
        <v>224</v>
      </c>
      <c r="D284" t="s">
        <v>225</v>
      </c>
      <c r="AA284">
        <v>9</v>
      </c>
      <c r="AJ284" s="122"/>
    </row>
    <row r="285" spans="2:36">
      <c r="B285" s="245"/>
      <c r="C285" t="s">
        <v>29</v>
      </c>
      <c r="D285" t="s">
        <v>226</v>
      </c>
      <c r="AA285">
        <v>10</v>
      </c>
      <c r="AJ285" s="122"/>
    </row>
    <row r="286" spans="2:36">
      <c r="B286" s="245"/>
      <c r="C286" t="s">
        <v>70</v>
      </c>
      <c r="D286" t="s">
        <v>216</v>
      </c>
      <c r="AA286">
        <v>11</v>
      </c>
      <c r="AJ286" s="122"/>
    </row>
    <row r="287" spans="2:36">
      <c r="B287" s="245"/>
      <c r="C287" t="s">
        <v>71</v>
      </c>
      <c r="AA287">
        <v>12</v>
      </c>
      <c r="AJ287" s="122"/>
    </row>
    <row r="288" spans="2:36">
      <c r="B288" s="245"/>
      <c r="C288" t="s">
        <v>72</v>
      </c>
      <c r="AA288" t="s">
        <v>203</v>
      </c>
      <c r="AJ288" s="122"/>
    </row>
    <row r="289" spans="2:36">
      <c r="B289" s="245"/>
      <c r="C289" t="s">
        <v>74</v>
      </c>
      <c r="AJ289" s="122"/>
    </row>
    <row r="290" spans="2:36">
      <c r="B290" s="245"/>
      <c r="C290" t="s">
        <v>75</v>
      </c>
      <c r="AJ290" s="122"/>
    </row>
    <row r="291" spans="2:36">
      <c r="B291" s="245"/>
      <c r="C291" t="s">
        <v>76</v>
      </c>
      <c r="AJ291" s="122"/>
    </row>
    <row r="292" spans="2:36">
      <c r="B292" s="245"/>
      <c r="C292" t="s">
        <v>50</v>
      </c>
      <c r="AJ292" s="122"/>
    </row>
    <row r="293" spans="2:36">
      <c r="B293" s="245"/>
      <c r="C293" t="s">
        <v>227</v>
      </c>
      <c r="AJ293" s="122"/>
    </row>
    <row r="294" spans="2:36">
      <c r="B294" s="245"/>
      <c r="C294" t="s">
        <v>228</v>
      </c>
      <c r="AJ294" s="122"/>
    </row>
    <row r="295" spans="2:36">
      <c r="B295" s="245"/>
      <c r="C295" t="s">
        <v>229</v>
      </c>
      <c r="AJ295" s="122"/>
    </row>
    <row r="296" spans="2:36">
      <c r="B296" s="245"/>
      <c r="C296" t="s">
        <v>230</v>
      </c>
      <c r="AJ296" s="122"/>
    </row>
    <row r="297" spans="2:36">
      <c r="B297" s="245"/>
      <c r="C297" t="s">
        <v>231</v>
      </c>
      <c r="AJ297" s="122"/>
    </row>
    <row r="298" spans="2:36">
      <c r="B298" s="245"/>
      <c r="C298" t="s">
        <v>232</v>
      </c>
      <c r="AJ298" s="122"/>
    </row>
    <row r="299" spans="2:36">
      <c r="B299" s="245"/>
      <c r="C299" t="s">
        <v>233</v>
      </c>
      <c r="AJ299" s="122"/>
    </row>
    <row r="300" spans="2:36">
      <c r="B300" s="245"/>
      <c r="C300" t="s">
        <v>234</v>
      </c>
      <c r="AJ300" s="122"/>
    </row>
    <row r="301" spans="2:36">
      <c r="B301" s="245"/>
      <c r="AJ301" s="122"/>
    </row>
    <row r="302" spans="2:36">
      <c r="B302" s="245"/>
      <c r="AJ302" s="122"/>
    </row>
    <row r="303" spans="2:36">
      <c r="B303" s="245"/>
      <c r="AJ303" s="122"/>
    </row>
    <row r="304" spans="2:36">
      <c r="B304" s="245"/>
      <c r="AJ304" s="122"/>
    </row>
    <row r="305" spans="1:36">
      <c r="B305" s="245"/>
      <c r="AJ305" s="122"/>
    </row>
    <row r="306" spans="1:36">
      <c r="B306" s="246"/>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247"/>
    </row>
    <row r="307" spans="1:36">
      <c r="B307" s="248" t="s">
        <v>235</v>
      </c>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row>
    <row r="310" spans="1:36">
      <c r="A310" s="35"/>
      <c r="B310" s="58" t="s">
        <v>236</v>
      </c>
      <c r="C310" s="59"/>
      <c r="D310" s="59"/>
      <c r="E310" s="59"/>
      <c r="F310" s="57"/>
      <c r="G310" s="57"/>
      <c r="H310" s="57"/>
      <c r="I310" s="57"/>
      <c r="J310" s="57"/>
      <c r="K310" s="57"/>
      <c r="L310" s="57"/>
      <c r="M310" s="57"/>
      <c r="N310" s="57"/>
      <c r="O310" s="57"/>
      <c r="P310" s="57"/>
      <c r="Q310" s="57"/>
      <c r="R310" s="57"/>
      <c r="S310" s="57"/>
    </row>
    <row r="311" spans="1:36">
      <c r="B311" s="82"/>
      <c r="C311" s="83"/>
      <c r="D311" s="83"/>
      <c r="E311" s="83"/>
      <c r="F311" s="84"/>
      <c r="G311" s="84"/>
      <c r="H311" s="84"/>
      <c r="I311" s="84"/>
      <c r="J311" s="84"/>
      <c r="K311" s="84"/>
      <c r="L311" s="273"/>
      <c r="M311" s="84"/>
      <c r="N311" s="84"/>
    </row>
    <row r="312" spans="1:36">
      <c r="A312" s="80" t="s">
        <v>237</v>
      </c>
      <c r="B312" s="80" t="s">
        <v>238</v>
      </c>
      <c r="C312" s="37"/>
      <c r="D312" s="37"/>
      <c r="E312" s="37"/>
      <c r="K312" s="80" t="s">
        <v>239</v>
      </c>
      <c r="L312" s="80" t="s">
        <v>240</v>
      </c>
      <c r="M312" s="84"/>
      <c r="N312" s="84"/>
    </row>
    <row r="313" spans="1:36">
      <c r="B313" s="274"/>
      <c r="C313" s="83"/>
      <c r="D313" s="83"/>
      <c r="E313" s="83"/>
      <c r="F313" s="84"/>
      <c r="G313" s="84"/>
      <c r="H313" s="84"/>
      <c r="I313" s="84"/>
      <c r="J313" s="84"/>
      <c r="K313" s="84"/>
      <c r="L313" s="274"/>
      <c r="M313" s="84"/>
      <c r="N313" s="84"/>
    </row>
    <row r="314" spans="1:36">
      <c r="A314" s="48" t="s">
        <v>6</v>
      </c>
      <c r="B314" s="267" t="s">
        <v>3</v>
      </c>
      <c r="C314" s="137">
        <v>2022</v>
      </c>
      <c r="D314" s="138">
        <f>C314+1</f>
        <v>2023</v>
      </c>
      <c r="E314" s="138">
        <f>D314+1</f>
        <v>2024</v>
      </c>
      <c r="F314" s="138">
        <f t="shared" ref="F314" si="26">E314+1</f>
        <v>2025</v>
      </c>
      <c r="G314" s="138">
        <f t="shared" ref="G314" si="27">F314+1</f>
        <v>2026</v>
      </c>
      <c r="H314" s="138">
        <f t="shared" ref="H314" si="28">G314+1</f>
        <v>2027</v>
      </c>
      <c r="I314" s="138">
        <f t="shared" ref="I314" si="29">H314+1</f>
        <v>2028</v>
      </c>
      <c r="K314" s="48" t="s">
        <v>6</v>
      </c>
      <c r="L314" s="267" t="s">
        <v>3</v>
      </c>
      <c r="M314" s="137">
        <v>2022</v>
      </c>
      <c r="N314" s="138">
        <f t="shared" ref="N314" si="30">M314+1</f>
        <v>2023</v>
      </c>
      <c r="O314" s="138">
        <f t="shared" ref="O314" si="31">N314+1</f>
        <v>2024</v>
      </c>
      <c r="P314" s="138">
        <f t="shared" ref="P314" si="32">O314+1</f>
        <v>2025</v>
      </c>
      <c r="Q314" s="138">
        <f t="shared" ref="Q314" si="33">P314+1</f>
        <v>2026</v>
      </c>
      <c r="R314" s="138">
        <f t="shared" ref="R314" si="34">Q314+1</f>
        <v>2027</v>
      </c>
      <c r="S314" s="138">
        <f t="shared" ref="S314" si="35">R314+1</f>
        <v>2028</v>
      </c>
    </row>
    <row r="315" spans="1:36">
      <c r="A315" s="12" t="s">
        <v>19</v>
      </c>
      <c r="B315" s="266" t="s">
        <v>70</v>
      </c>
      <c r="C315" s="269"/>
      <c r="D315" s="269"/>
      <c r="E315" s="271">
        <v>1.4366690915062783</v>
      </c>
      <c r="F315" s="271">
        <v>1.3797759532786635</v>
      </c>
      <c r="G315" s="271">
        <v>1.2994160329983981</v>
      </c>
      <c r="H315" s="271">
        <v>1.2615281568238033</v>
      </c>
      <c r="I315" s="271">
        <v>1.2611798067947679</v>
      </c>
      <c r="J315" t="b">
        <f>B315=L315</f>
        <v>1</v>
      </c>
      <c r="K315" s="12" t="s">
        <v>19</v>
      </c>
      <c r="L315" s="266" t="s">
        <v>70</v>
      </c>
      <c r="M315" s="269"/>
      <c r="N315" s="269"/>
      <c r="O315" s="403">
        <f t="shared" ref="O315:O328" si="36">((E315*H$34)/H$13)*(1-H$13)</f>
        <v>5.5194930254556516</v>
      </c>
      <c r="P315" s="403">
        <f t="shared" ref="P315:P328" si="37">((F315*I$34)/I$13)*(1-I$13)</f>
        <v>5.4500160237091571</v>
      </c>
      <c r="Q315" s="403">
        <f t="shared" ref="Q315:Q328" si="38">((G315*J$34)/J$13)*(1-J$13)</f>
        <v>5.2127548255056642</v>
      </c>
      <c r="R315" s="403">
        <f t="shared" ref="R315:R328" si="39">((H315*K$34)/K$13)*(1-K$13)</f>
        <v>5.1475554690936534</v>
      </c>
      <c r="S315" s="403">
        <f t="shared" ref="S315:S328" si="40">((I315*L$34)/L$13)*(1-L$13)</f>
        <v>5.2458722776245468</v>
      </c>
    </row>
    <row r="316" spans="1:36">
      <c r="A316" s="12" t="s">
        <v>19</v>
      </c>
      <c r="B316" s="266" t="s">
        <v>71</v>
      </c>
      <c r="C316" s="269"/>
      <c r="D316" s="269"/>
      <c r="E316" s="271">
        <v>1.368578491828039</v>
      </c>
      <c r="F316" s="271">
        <v>1.4008338175049104</v>
      </c>
      <c r="G316" s="271">
        <v>1.2944169556388054</v>
      </c>
      <c r="H316" s="271">
        <v>1.1615288221705597</v>
      </c>
      <c r="I316" s="271">
        <v>1.0171476978779488</v>
      </c>
      <c r="J316" t="b">
        <f t="shared" ref="J316:J343" si="41">B316=L316</f>
        <v>1</v>
      </c>
      <c r="K316" s="12" t="s">
        <v>19</v>
      </c>
      <c r="L316" s="266" t="s">
        <v>71</v>
      </c>
      <c r="M316" s="269"/>
      <c r="N316" s="269"/>
      <c r="O316" s="403">
        <f t="shared" si="36"/>
        <v>5.2578979286828105</v>
      </c>
      <c r="P316" s="403">
        <f t="shared" si="37"/>
        <v>5.5331930766107016</v>
      </c>
      <c r="Q316" s="403">
        <f t="shared" si="38"/>
        <v>5.1927004595693278</v>
      </c>
      <c r="R316" s="403">
        <f t="shared" si="39"/>
        <v>4.7395169174246679</v>
      </c>
      <c r="S316" s="403">
        <f t="shared" si="40"/>
        <v>4.2308217129707497</v>
      </c>
    </row>
    <row r="317" spans="1:36">
      <c r="A317" s="12" t="s">
        <v>19</v>
      </c>
      <c r="B317" s="266" t="s">
        <v>72</v>
      </c>
      <c r="C317" s="269"/>
      <c r="D317" s="269"/>
      <c r="E317" s="271">
        <v>1.8517886877112844</v>
      </c>
      <c r="F317" s="271">
        <v>1.8549995484009258</v>
      </c>
      <c r="G317" s="271">
        <v>1.5955311955633462</v>
      </c>
      <c r="H317" s="271">
        <v>1.4243694121247401</v>
      </c>
      <c r="I317" s="271">
        <v>1.2090605175362352</v>
      </c>
      <c r="J317" t="b">
        <f t="shared" si="41"/>
        <v>1</v>
      </c>
      <c r="K317" s="12" t="s">
        <v>19</v>
      </c>
      <c r="L317" s="266" t="s">
        <v>72</v>
      </c>
      <c r="M317" s="269"/>
      <c r="N317" s="269"/>
      <c r="O317" s="403">
        <f t="shared" si="36"/>
        <v>7.1143277229719963</v>
      </c>
      <c r="P317" s="403">
        <f t="shared" si="37"/>
        <v>7.3271151296231469</v>
      </c>
      <c r="Q317" s="403">
        <f t="shared" si="38"/>
        <v>6.4006543922087413</v>
      </c>
      <c r="R317" s="403">
        <f t="shared" si="39"/>
        <v>5.8120149897030604</v>
      </c>
      <c r="S317" s="403">
        <f t="shared" si="40"/>
        <v>5.0290823059029934</v>
      </c>
    </row>
    <row r="318" spans="1:36">
      <c r="A318" s="12" t="s">
        <v>19</v>
      </c>
      <c r="B318" s="266" t="s">
        <v>52</v>
      </c>
      <c r="C318" s="269"/>
      <c r="D318" s="269"/>
      <c r="E318" s="271">
        <v>1.9633660656588319</v>
      </c>
      <c r="F318" s="271">
        <v>2.1083575561921606</v>
      </c>
      <c r="G318" s="271">
        <v>2.5083164621053555</v>
      </c>
      <c r="H318" s="271">
        <v>2.4606563837546958</v>
      </c>
      <c r="I318" s="271">
        <v>2.3736687667861531</v>
      </c>
      <c r="J318" t="b">
        <f t="shared" si="41"/>
        <v>1</v>
      </c>
      <c r="K318" s="12" t="s">
        <v>19</v>
      </c>
      <c r="L318" s="266" t="s">
        <v>52</v>
      </c>
      <c r="M318" s="269"/>
      <c r="N318" s="269"/>
      <c r="O318" s="403">
        <f t="shared" si="36"/>
        <v>7.542993282091409</v>
      </c>
      <c r="P318" s="403">
        <f t="shared" si="37"/>
        <v>8.3278610832804425</v>
      </c>
      <c r="Q318" s="403">
        <f t="shared" si="38"/>
        <v>10.062396037675416</v>
      </c>
      <c r="R318" s="403">
        <f t="shared" si="39"/>
        <v>10.040493473920771</v>
      </c>
      <c r="S318" s="403">
        <f t="shared" si="40"/>
        <v>9.8732655826395064</v>
      </c>
    </row>
    <row r="319" spans="1:36">
      <c r="A319" s="12" t="s">
        <v>19</v>
      </c>
      <c r="B319" s="266" t="s">
        <v>4</v>
      </c>
      <c r="C319" s="269"/>
      <c r="D319" s="269"/>
      <c r="E319" s="271">
        <v>1.3074390315981681</v>
      </c>
      <c r="F319" s="271">
        <v>1.3001216768501926</v>
      </c>
      <c r="G319" s="271">
        <v>1.5417405565806881</v>
      </c>
      <c r="H319" s="271">
        <v>1.5753974334268079</v>
      </c>
      <c r="I319" s="271">
        <v>1.5749617313468214</v>
      </c>
      <c r="J319" t="b">
        <f t="shared" si="41"/>
        <v>1</v>
      </c>
      <c r="K319" s="12" t="s">
        <v>19</v>
      </c>
      <c r="L319" s="266" t="s">
        <v>4</v>
      </c>
      <c r="M319" s="269"/>
      <c r="N319" s="269"/>
      <c r="O319" s="403">
        <f t="shared" si="36"/>
        <v>5.0230081921986169</v>
      </c>
      <c r="P319" s="403">
        <f t="shared" si="37"/>
        <v>5.1353873465963531</v>
      </c>
      <c r="Q319" s="403">
        <f t="shared" si="38"/>
        <v>6.1848671417798942</v>
      </c>
      <c r="R319" s="403">
        <f t="shared" si="39"/>
        <v>6.4282716406819844</v>
      </c>
      <c r="S319" s="403">
        <f t="shared" si="40"/>
        <v>6.5510469167671452</v>
      </c>
    </row>
    <row r="320" spans="1:36">
      <c r="A320" s="12" t="s">
        <v>19</v>
      </c>
      <c r="B320" s="266" t="s">
        <v>73</v>
      </c>
      <c r="C320" s="269"/>
      <c r="D320" s="269"/>
      <c r="E320" s="271">
        <v>2.0191738224902593</v>
      </c>
      <c r="F320" s="271">
        <v>1.5784133044437496</v>
      </c>
      <c r="G320" s="271">
        <v>1.7691618048462701</v>
      </c>
      <c r="H320" s="271">
        <v>1.741401016001106</v>
      </c>
      <c r="I320" s="271">
        <v>1.6345343485877493</v>
      </c>
      <c r="J320" t="b">
        <f t="shared" si="41"/>
        <v>1</v>
      </c>
      <c r="K320" s="12" t="s">
        <v>19</v>
      </c>
      <c r="L320" s="266" t="s">
        <v>73</v>
      </c>
      <c r="M320" s="269"/>
      <c r="N320" s="269"/>
      <c r="O320" s="403">
        <f t="shared" si="36"/>
        <v>7.757399317843479</v>
      </c>
      <c r="P320" s="403">
        <f t="shared" si="37"/>
        <v>6.2346193096154039</v>
      </c>
      <c r="Q320" s="403">
        <f t="shared" si="38"/>
        <v>7.0971932784548564</v>
      </c>
      <c r="R320" s="403">
        <f t="shared" si="39"/>
        <v>7.1056347615503341</v>
      </c>
      <c r="S320" s="403">
        <f t="shared" si="40"/>
        <v>6.7988389759216235</v>
      </c>
    </row>
    <row r="321" spans="1:19">
      <c r="A321" s="12" t="s">
        <v>19</v>
      </c>
      <c r="B321" s="266" t="s">
        <v>74</v>
      </c>
      <c r="C321" s="269"/>
      <c r="D321" s="269"/>
      <c r="E321" s="271">
        <v>1.5418188657920666</v>
      </c>
      <c r="F321" s="271">
        <v>1.5421689490890813</v>
      </c>
      <c r="G321" s="271">
        <v>1.1986919632990878</v>
      </c>
      <c r="H321" s="271">
        <v>1.2051150219812068</v>
      </c>
      <c r="I321" s="271">
        <v>1.2030871425295599</v>
      </c>
      <c r="J321" t="b">
        <f t="shared" si="41"/>
        <v>1</v>
      </c>
      <c r="K321" s="12" t="s">
        <v>19</v>
      </c>
      <c r="L321" s="266" t="s">
        <v>74</v>
      </c>
      <c r="M321" s="269"/>
      <c r="N321" s="269"/>
      <c r="O321" s="403">
        <f t="shared" si="36"/>
        <v>5.9234645796777521</v>
      </c>
      <c r="P321" s="403">
        <f t="shared" si="37"/>
        <v>6.0914567063082732</v>
      </c>
      <c r="Q321" s="403">
        <f t="shared" si="38"/>
        <v>4.8086887935065841</v>
      </c>
      <c r="R321" s="403">
        <f t="shared" si="39"/>
        <v>4.9173665991766704</v>
      </c>
      <c r="S321" s="403">
        <f t="shared" si="40"/>
        <v>5.0042360768541707</v>
      </c>
    </row>
    <row r="322" spans="1:19">
      <c r="A322" s="12" t="s">
        <v>19</v>
      </c>
      <c r="B322" s="266" t="s">
        <v>75</v>
      </c>
      <c r="C322" s="269"/>
      <c r="D322" s="269"/>
      <c r="E322" s="271">
        <v>1.3630193716187557</v>
      </c>
      <c r="F322" s="271">
        <v>1.3768904698776971</v>
      </c>
      <c r="G322" s="271">
        <v>1.3602523162213354</v>
      </c>
      <c r="H322" s="271">
        <v>1.3398436564847218</v>
      </c>
      <c r="I322" s="271">
        <v>1.3157905788825448</v>
      </c>
      <c r="J322" t="b">
        <f t="shared" si="41"/>
        <v>1</v>
      </c>
      <c r="K322" s="12" t="s">
        <v>19</v>
      </c>
      <c r="L322" s="266" t="s">
        <v>75</v>
      </c>
      <c r="M322" s="269"/>
      <c r="N322" s="269"/>
      <c r="O322" s="403">
        <f t="shared" si="36"/>
        <v>5.2365405225798929</v>
      </c>
      <c r="P322" s="403">
        <f t="shared" si="37"/>
        <v>5.4386185712937527</v>
      </c>
      <c r="Q322" s="403">
        <f t="shared" si="38"/>
        <v>5.4568064770805886</v>
      </c>
      <c r="R322" s="403">
        <f t="shared" si="39"/>
        <v>5.4671150258215402</v>
      </c>
      <c r="S322" s="403">
        <f t="shared" si="40"/>
        <v>5.4730255620424284</v>
      </c>
    </row>
    <row r="323" spans="1:19">
      <c r="A323" s="12" t="s">
        <v>19</v>
      </c>
      <c r="B323" s="266" t="s">
        <v>76</v>
      </c>
      <c r="C323" s="269"/>
      <c r="D323" s="269"/>
      <c r="E323" s="271">
        <v>0.88691188538891907</v>
      </c>
      <c r="F323" s="271">
        <v>0.97956684032180519</v>
      </c>
      <c r="G323" s="271">
        <v>0.7570821246417444</v>
      </c>
      <c r="H323" s="271">
        <v>0.71183271144208338</v>
      </c>
      <c r="I323" s="271">
        <v>0.66972194319581801</v>
      </c>
      <c r="J323" t="b">
        <f t="shared" si="41"/>
        <v>1</v>
      </c>
      <c r="K323" s="12" t="s">
        <v>19</v>
      </c>
      <c r="L323" s="266" t="s">
        <v>76</v>
      </c>
      <c r="M323" s="269"/>
      <c r="N323" s="269"/>
      <c r="O323" s="403">
        <f t="shared" si="36"/>
        <v>3.4073984013015624</v>
      </c>
      <c r="P323" s="403">
        <f t="shared" si="37"/>
        <v>3.8692187404499414</v>
      </c>
      <c r="Q323" s="403">
        <f t="shared" si="38"/>
        <v>3.0371208283645976</v>
      </c>
      <c r="R323" s="403">
        <f t="shared" si="39"/>
        <v>2.9045712115446953</v>
      </c>
      <c r="S323" s="403">
        <f t="shared" si="40"/>
        <v>2.785705699218747</v>
      </c>
    </row>
    <row r="324" spans="1:19">
      <c r="A324" s="12" t="s">
        <v>19</v>
      </c>
      <c r="B324" s="266" t="s">
        <v>50</v>
      </c>
      <c r="C324" s="269"/>
      <c r="D324" s="269"/>
      <c r="E324" s="271">
        <v>2.5538076548384012</v>
      </c>
      <c r="F324" s="271">
        <v>2.7027627943750261</v>
      </c>
      <c r="G324" s="271">
        <v>2.4755882180772915</v>
      </c>
      <c r="H324" s="271">
        <v>2.1518380701030111</v>
      </c>
      <c r="I324" s="271">
        <v>1.7678169461084547</v>
      </c>
      <c r="J324" t="b">
        <f t="shared" si="41"/>
        <v>1</v>
      </c>
      <c r="K324" s="12" t="s">
        <v>19</v>
      </c>
      <c r="L324" s="266" t="s">
        <v>50</v>
      </c>
      <c r="M324" s="269"/>
      <c r="N324" s="269"/>
      <c r="O324" s="403">
        <f t="shared" si="36"/>
        <v>9.8113919360909492</v>
      </c>
      <c r="P324" s="403">
        <f t="shared" si="37"/>
        <v>10.675719128621383</v>
      </c>
      <c r="Q324" s="403">
        <f t="shared" si="38"/>
        <v>9.9311029739797583</v>
      </c>
      <c r="R324" s="403">
        <f t="shared" si="39"/>
        <v>8.7803873155323977</v>
      </c>
      <c r="S324" s="403">
        <f t="shared" si="40"/>
        <v>7.3532273982993992</v>
      </c>
    </row>
    <row r="325" spans="1:19">
      <c r="A325" s="12" t="s">
        <v>19</v>
      </c>
      <c r="B325" s="721" t="s">
        <v>51</v>
      </c>
      <c r="C325" s="269"/>
      <c r="D325" s="269"/>
      <c r="E325" s="271">
        <v>2.1594507853983487</v>
      </c>
      <c r="F325" s="271">
        <v>2.108783385973247</v>
      </c>
      <c r="G325" s="271">
        <v>1.9571099436141921</v>
      </c>
      <c r="H325" s="271">
        <v>1.6739883971269975</v>
      </c>
      <c r="I325" s="271">
        <v>1.4057277322201749</v>
      </c>
      <c r="J325" t="b">
        <f t="shared" si="41"/>
        <v>1</v>
      </c>
      <c r="K325" s="12" t="s">
        <v>19</v>
      </c>
      <c r="L325" s="721" t="s">
        <v>51</v>
      </c>
      <c r="M325" s="269"/>
      <c r="N325" s="269"/>
      <c r="O325" s="403">
        <f t="shared" si="36"/>
        <v>8.29632489435987</v>
      </c>
      <c r="P325" s="403">
        <f t="shared" si="37"/>
        <v>8.3295430803646635</v>
      </c>
      <c r="Q325" s="403">
        <f t="shared" si="38"/>
        <v>7.8511685584478048</v>
      </c>
      <c r="R325" s="403">
        <f t="shared" si="39"/>
        <v>6.8305634576762895</v>
      </c>
      <c r="S325" s="403">
        <f t="shared" si="40"/>
        <v>5.8471187856101263</v>
      </c>
    </row>
    <row r="326" spans="1:19">
      <c r="A326" s="12" t="s">
        <v>19</v>
      </c>
      <c r="B326" s="721" t="s">
        <v>77</v>
      </c>
      <c r="C326" s="269"/>
      <c r="D326" s="269"/>
      <c r="E326" s="271">
        <v>2.3320557909214585</v>
      </c>
      <c r="F326" s="271">
        <v>2.3253369118631113</v>
      </c>
      <c r="G326" s="271">
        <v>2.1691122806593768</v>
      </c>
      <c r="H326" s="271">
        <v>1.831433598356611</v>
      </c>
      <c r="I326" s="271">
        <v>1.6964022421334342</v>
      </c>
      <c r="J326" t="b">
        <f t="shared" si="41"/>
        <v>1</v>
      </c>
      <c r="K326" s="12" t="s">
        <v>19</v>
      </c>
      <c r="L326" s="721" t="s">
        <v>77</v>
      </c>
      <c r="M326" s="269"/>
      <c r="N326" s="269"/>
      <c r="O326" s="403">
        <f t="shared" si="36"/>
        <v>8.9594505436662715</v>
      </c>
      <c r="P326" s="403">
        <f t="shared" si="37"/>
        <v>9.1849139710415191</v>
      </c>
      <c r="Q326" s="403">
        <f t="shared" si="38"/>
        <v>8.7016399836007743</v>
      </c>
      <c r="R326" s="403">
        <f t="shared" si="39"/>
        <v>7.4730048509088975</v>
      </c>
      <c r="S326" s="403">
        <f t="shared" si="40"/>
        <v>7.0561782275317224</v>
      </c>
    </row>
    <row r="327" spans="1:19">
      <c r="A327" s="12" t="s">
        <v>19</v>
      </c>
      <c r="B327" s="721" t="s">
        <v>78</v>
      </c>
      <c r="C327" s="269"/>
      <c r="D327" s="269"/>
      <c r="E327" s="271">
        <v>0.94083766340920505</v>
      </c>
      <c r="F327" s="271">
        <v>0.89327362005723643</v>
      </c>
      <c r="G327" s="271">
        <v>0.85016201774887534</v>
      </c>
      <c r="H327" s="271">
        <v>0.70172058348408528</v>
      </c>
      <c r="I327" s="271">
        <v>0.70273163357435342</v>
      </c>
      <c r="J327" t="b">
        <f t="shared" si="41"/>
        <v>1</v>
      </c>
      <c r="K327" s="12" t="s">
        <v>19</v>
      </c>
      <c r="L327" s="721" t="s">
        <v>78</v>
      </c>
      <c r="M327" s="269"/>
      <c r="N327" s="269"/>
      <c r="O327" s="403">
        <f t="shared" si="36"/>
        <v>3.6145741228611969</v>
      </c>
      <c r="P327" s="403">
        <f t="shared" si="37"/>
        <v>3.5283667114942086</v>
      </c>
      <c r="Q327" s="403">
        <f t="shared" si="38"/>
        <v>3.4105213787888866</v>
      </c>
      <c r="R327" s="403">
        <f t="shared" si="39"/>
        <v>2.8633095565488818</v>
      </c>
      <c r="S327" s="403">
        <f t="shared" si="40"/>
        <v>2.9230093721104167</v>
      </c>
    </row>
    <row r="328" spans="1:19">
      <c r="A328" s="12" t="s">
        <v>19</v>
      </c>
      <c r="B328" s="721" t="s">
        <v>79</v>
      </c>
      <c r="C328" s="269"/>
      <c r="D328" s="269"/>
      <c r="E328" s="271">
        <v>1.3538563803454693</v>
      </c>
      <c r="F328" s="271">
        <v>1.399085447927888</v>
      </c>
      <c r="G328" s="271">
        <v>1.3245039630700681</v>
      </c>
      <c r="H328" s="271">
        <v>1.0767587664923539</v>
      </c>
      <c r="I328" s="271">
        <v>1.0135822369351568</v>
      </c>
      <c r="J328" t="b">
        <f t="shared" si="41"/>
        <v>1</v>
      </c>
      <c r="K328" s="12" t="s">
        <v>19</v>
      </c>
      <c r="L328" s="721" t="s">
        <v>79</v>
      </c>
      <c r="M328" s="269"/>
      <c r="N328" s="269"/>
      <c r="O328" s="403">
        <f t="shared" si="36"/>
        <v>5.2013375195193969</v>
      </c>
      <c r="P328" s="403">
        <f t="shared" si="37"/>
        <v>5.5262871422178783</v>
      </c>
      <c r="Q328" s="403">
        <f t="shared" si="38"/>
        <v>5.3133979030281715</v>
      </c>
      <c r="R328" s="403">
        <f t="shared" si="39"/>
        <v>4.393620108573125</v>
      </c>
      <c r="S328" s="403">
        <f t="shared" si="40"/>
        <v>4.2159911926785796</v>
      </c>
    </row>
    <row r="329" spans="1:19">
      <c r="A329" s="12" t="s">
        <v>25</v>
      </c>
      <c r="B329" s="266" t="s">
        <v>80</v>
      </c>
      <c r="C329" s="271">
        <v>1.8560134718227432</v>
      </c>
      <c r="D329" s="271">
        <v>1.8152215314521964</v>
      </c>
      <c r="E329" s="271">
        <v>1.7979279925217375</v>
      </c>
      <c r="F329" s="271">
        <v>1.7736992270475671</v>
      </c>
      <c r="G329" s="271">
        <v>1.7484964755788579</v>
      </c>
      <c r="H329" s="269"/>
      <c r="I329" s="269"/>
      <c r="J329" t="b">
        <f t="shared" si="41"/>
        <v>1</v>
      </c>
      <c r="K329" s="12" t="s">
        <v>25</v>
      </c>
      <c r="L329" s="266" t="s">
        <v>80</v>
      </c>
      <c r="M329" s="403">
        <f t="shared" ref="M329:M343" si="42">((C329*F$34)/F$13)*(1-F$13)</f>
        <v>8.3695193812070094</v>
      </c>
      <c r="N329" s="403">
        <f t="shared" ref="N329:N343" si="43">((D329*G$34)/G$13)*(1-G$13)</f>
        <v>9.2393774561373583</v>
      </c>
      <c r="O329" s="403">
        <f t="shared" ref="O329:O343" si="44">((E329*H$34)/H$13)*(1-H$13)</f>
        <v>6.9074020410578614</v>
      </c>
      <c r="P329" s="403">
        <f t="shared" ref="P329:P343" si="45">((F329*I$34)/I$13)*(1-I$13)</f>
        <v>7.0059846931521905</v>
      </c>
      <c r="Q329" s="403">
        <f t="shared" ref="Q329:Q343" si="46">((G329*J$34)/J$13)*(1-J$13)</f>
        <v>7.0142919657699609</v>
      </c>
      <c r="R329" s="269"/>
      <c r="S329" s="269"/>
    </row>
    <row r="330" spans="1:19">
      <c r="A330" s="12" t="s">
        <v>25</v>
      </c>
      <c r="B330" s="266" t="s">
        <v>81</v>
      </c>
      <c r="C330" s="271">
        <v>1.338141135548405</v>
      </c>
      <c r="D330" s="271">
        <v>1.3118504623849501</v>
      </c>
      <c r="E330" s="271">
        <v>1.305225167423345</v>
      </c>
      <c r="F330" s="271">
        <v>1.2886796623765773</v>
      </c>
      <c r="G330" s="271">
        <v>1.2709115989265294</v>
      </c>
      <c r="H330" s="269"/>
      <c r="I330" s="269"/>
      <c r="J330" t="b">
        <f t="shared" si="41"/>
        <v>1</v>
      </c>
      <c r="K330" s="12" t="s">
        <v>25</v>
      </c>
      <c r="L330" s="266" t="s">
        <v>81</v>
      </c>
      <c r="M330" s="403">
        <f t="shared" si="42"/>
        <v>6.0342224551656374</v>
      </c>
      <c r="N330" s="403">
        <f t="shared" si="43"/>
        <v>6.6772464836764049</v>
      </c>
      <c r="O330" s="403">
        <f t="shared" si="44"/>
        <v>5.0145028182440408</v>
      </c>
      <c r="P330" s="403">
        <f t="shared" si="45"/>
        <v>5.0901922103305441</v>
      </c>
      <c r="Q330" s="403">
        <f t="shared" si="46"/>
        <v>5.0984060546092653</v>
      </c>
      <c r="R330" s="269"/>
      <c r="S330" s="269"/>
    </row>
    <row r="331" spans="1:19">
      <c r="A331" s="12" t="s">
        <v>25</v>
      </c>
      <c r="B331" s="266" t="s">
        <v>82</v>
      </c>
      <c r="C331" s="271">
        <v>0.99104421987024149</v>
      </c>
      <c r="D331" s="271">
        <v>0.97030415837322381</v>
      </c>
      <c r="E331" s="271">
        <v>0.96243789501775268</v>
      </c>
      <c r="F331" s="271">
        <v>0.94766848511264923</v>
      </c>
      <c r="G331" s="271">
        <v>0.93824870565692475</v>
      </c>
      <c r="H331" s="269"/>
      <c r="I331" s="269"/>
      <c r="J331" t="b">
        <f t="shared" si="41"/>
        <v>1</v>
      </c>
      <c r="K331" s="12" t="s">
        <v>25</v>
      </c>
      <c r="L331" s="266" t="s">
        <v>82</v>
      </c>
      <c r="M331" s="403">
        <f t="shared" si="42"/>
        <v>4.4690213361928297</v>
      </c>
      <c r="N331" s="403">
        <f t="shared" si="43"/>
        <v>4.9387946380835395</v>
      </c>
      <c r="O331" s="403">
        <f t="shared" si="44"/>
        <v>3.6975593617143607</v>
      </c>
      <c r="P331" s="403">
        <f t="shared" si="45"/>
        <v>3.7432225259146996</v>
      </c>
      <c r="Q331" s="403">
        <f t="shared" si="46"/>
        <v>3.7638911201148826</v>
      </c>
      <c r="R331" s="269"/>
      <c r="S331" s="269"/>
    </row>
    <row r="332" spans="1:19">
      <c r="A332" s="12" t="s">
        <v>25</v>
      </c>
      <c r="B332" s="266" t="s">
        <v>83</v>
      </c>
      <c r="C332" s="271">
        <v>1.2910496821028619</v>
      </c>
      <c r="D332" s="271">
        <v>1.2750295337136959</v>
      </c>
      <c r="E332" s="271">
        <v>1.2614754781555608</v>
      </c>
      <c r="F332" s="271">
        <v>1.2360763844788194</v>
      </c>
      <c r="G332" s="271">
        <v>1.2156373101435318</v>
      </c>
      <c r="H332" s="269"/>
      <c r="I332" s="269"/>
      <c r="J332" t="b">
        <f t="shared" si="41"/>
        <v>1</v>
      </c>
      <c r="K332" s="12" t="s">
        <v>25</v>
      </c>
      <c r="L332" s="266" t="s">
        <v>83</v>
      </c>
      <c r="M332" s="403">
        <f t="shared" si="42"/>
        <v>5.8218679446595178</v>
      </c>
      <c r="N332" s="403">
        <f t="shared" si="43"/>
        <v>6.4898299880120653</v>
      </c>
      <c r="O332" s="403">
        <f t="shared" si="44"/>
        <v>4.8464222865426088</v>
      </c>
      <c r="P332" s="403">
        <f t="shared" si="45"/>
        <v>4.8824130366457386</v>
      </c>
      <c r="Q332" s="403">
        <f t="shared" si="46"/>
        <v>4.8766669746972671</v>
      </c>
      <c r="R332" s="269"/>
      <c r="S332" s="269"/>
    </row>
    <row r="333" spans="1:19">
      <c r="A333" s="12" t="s">
        <v>25</v>
      </c>
      <c r="B333" s="266" t="s">
        <v>84</v>
      </c>
      <c r="C333" s="271">
        <v>1.2693796122665177</v>
      </c>
      <c r="D333" s="271">
        <v>1.2456515312513812</v>
      </c>
      <c r="E333" s="271">
        <v>1.2761225755818488</v>
      </c>
      <c r="F333" s="271">
        <v>1.2778726893812531</v>
      </c>
      <c r="G333" s="271">
        <v>1.2727838897081032</v>
      </c>
      <c r="H333" s="269"/>
      <c r="I333" s="269"/>
      <c r="J333" t="b">
        <f t="shared" si="41"/>
        <v>1</v>
      </c>
      <c r="K333" s="12" t="s">
        <v>25</v>
      </c>
      <c r="L333" s="266" t="s">
        <v>84</v>
      </c>
      <c r="M333" s="403">
        <f t="shared" si="42"/>
        <v>5.724148788930937</v>
      </c>
      <c r="N333" s="403">
        <f t="shared" si="43"/>
        <v>6.3402975761529419</v>
      </c>
      <c r="O333" s="403">
        <f t="shared" si="44"/>
        <v>4.902694501602797</v>
      </c>
      <c r="P333" s="403">
        <f t="shared" si="45"/>
        <v>5.0475054423430645</v>
      </c>
      <c r="Q333" s="403">
        <f t="shared" si="46"/>
        <v>5.1059169614770816</v>
      </c>
      <c r="R333" s="269"/>
      <c r="S333" s="269"/>
    </row>
    <row r="334" spans="1:19">
      <c r="A334" s="12" t="s">
        <v>25</v>
      </c>
      <c r="B334" s="266" t="s">
        <v>85</v>
      </c>
      <c r="C334" s="271">
        <v>0.9684370522563619</v>
      </c>
      <c r="D334" s="271">
        <v>0.97408615926807074</v>
      </c>
      <c r="E334" s="271">
        <v>0.97438656582868766</v>
      </c>
      <c r="F334" s="271">
        <v>0.96522259273076072</v>
      </c>
      <c r="G334" s="271">
        <v>0.95735847603512469</v>
      </c>
      <c r="H334" s="269"/>
      <c r="I334" s="269"/>
      <c r="J334" t="b">
        <f t="shared" si="41"/>
        <v>1</v>
      </c>
      <c r="K334" s="12" t="s">
        <v>25</v>
      </c>
      <c r="L334" s="266" t="s">
        <v>85</v>
      </c>
      <c r="M334" s="403">
        <f t="shared" si="42"/>
        <v>4.3670764255706338</v>
      </c>
      <c r="N334" s="403">
        <f t="shared" si="43"/>
        <v>4.9580448139995239</v>
      </c>
      <c r="O334" s="403">
        <f t="shared" si="44"/>
        <v>3.7434645778802311</v>
      </c>
      <c r="P334" s="403">
        <f t="shared" si="45"/>
        <v>3.8125599915904052</v>
      </c>
      <c r="Q334" s="403">
        <f t="shared" si="46"/>
        <v>3.840552131849059</v>
      </c>
      <c r="R334" s="269"/>
      <c r="S334" s="269"/>
    </row>
    <row r="335" spans="1:19">
      <c r="A335" s="12" t="s">
        <v>25</v>
      </c>
      <c r="B335" s="266" t="s">
        <v>86</v>
      </c>
      <c r="C335" s="271">
        <v>2.0413918945479947</v>
      </c>
      <c r="D335" s="271">
        <v>2.002834526545016</v>
      </c>
      <c r="E335" s="271">
        <v>2.0176858680119603</v>
      </c>
      <c r="F335" s="271">
        <v>2.010800066369304</v>
      </c>
      <c r="G335" s="271">
        <v>2.012461933717149</v>
      </c>
      <c r="H335" s="269"/>
      <c r="I335" s="269"/>
      <c r="J335" t="b">
        <f t="shared" si="41"/>
        <v>1</v>
      </c>
      <c r="K335" s="12" t="s">
        <v>25</v>
      </c>
      <c r="L335" s="266" t="s">
        <v>86</v>
      </c>
      <c r="M335" s="403">
        <f t="shared" si="42"/>
        <v>9.2054660623121105</v>
      </c>
      <c r="N335" s="403">
        <f t="shared" si="43"/>
        <v>10.194317251255503</v>
      </c>
      <c r="O335" s="403">
        <f t="shared" si="44"/>
        <v>7.7516827931310583</v>
      </c>
      <c r="P335" s="403">
        <f t="shared" si="45"/>
        <v>7.9425159977221709</v>
      </c>
      <c r="Q335" s="403">
        <f t="shared" si="46"/>
        <v>8.0732193460194601</v>
      </c>
      <c r="R335" s="269"/>
      <c r="S335" s="269"/>
    </row>
    <row r="336" spans="1:19">
      <c r="A336" s="12" t="s">
        <v>25</v>
      </c>
      <c r="B336" s="266" t="s">
        <v>87</v>
      </c>
      <c r="C336" s="271">
        <v>1.30814382516961</v>
      </c>
      <c r="D336" s="271">
        <v>1.2655629156032961</v>
      </c>
      <c r="E336" s="271">
        <v>1.253112719644278</v>
      </c>
      <c r="F336" s="271">
        <v>1.2591017686030721</v>
      </c>
      <c r="G336" s="271">
        <v>1.2643657265074015</v>
      </c>
      <c r="H336" s="270"/>
      <c r="I336" s="270"/>
      <c r="J336" t="b">
        <f t="shared" si="41"/>
        <v>1</v>
      </c>
      <c r="K336" s="12" t="s">
        <v>25</v>
      </c>
      <c r="L336" s="266" t="s">
        <v>87</v>
      </c>
      <c r="M336" s="403">
        <f t="shared" si="42"/>
        <v>5.8989523860573323</v>
      </c>
      <c r="N336" s="403">
        <f t="shared" si="43"/>
        <v>6.4416454240678966</v>
      </c>
      <c r="O336" s="403">
        <f t="shared" si="44"/>
        <v>4.8142936721320346</v>
      </c>
      <c r="P336" s="403">
        <f t="shared" si="45"/>
        <v>4.9733616519850949</v>
      </c>
      <c r="Q336" s="403">
        <f t="shared" si="46"/>
        <v>5.0721465448191507</v>
      </c>
      <c r="R336" s="270"/>
      <c r="S336" s="270"/>
    </row>
    <row r="337" spans="1:19">
      <c r="A337" s="12" t="s">
        <v>27</v>
      </c>
      <c r="B337" s="266" t="s">
        <v>88</v>
      </c>
      <c r="C337" s="271">
        <v>2.4079045095034153</v>
      </c>
      <c r="D337" s="271">
        <v>2.4996671737090232</v>
      </c>
      <c r="E337" s="271">
        <v>2.5160510965805876</v>
      </c>
      <c r="F337" s="271">
        <v>2.3238778201799244</v>
      </c>
      <c r="G337" s="271">
        <v>2.2881683619967679</v>
      </c>
      <c r="H337" s="269"/>
      <c r="I337" s="269"/>
      <c r="J337" t="b">
        <f t="shared" si="41"/>
        <v>1</v>
      </c>
      <c r="K337" s="12" t="s">
        <v>27</v>
      </c>
      <c r="L337" s="266" t="s">
        <v>88</v>
      </c>
      <c r="M337" s="403">
        <f t="shared" si="42"/>
        <v>10.858220463557757</v>
      </c>
      <c r="N337" s="403">
        <f t="shared" si="43"/>
        <v>12.723168016929149</v>
      </c>
      <c r="O337" s="403">
        <f t="shared" si="44"/>
        <v>9.6663362227041478</v>
      </c>
      <c r="P337" s="403">
        <f t="shared" si="45"/>
        <v>9.1791506635751627</v>
      </c>
      <c r="Q337" s="403">
        <f t="shared" si="46"/>
        <v>9.1792469599170694</v>
      </c>
      <c r="R337" s="269"/>
      <c r="S337" s="269"/>
    </row>
    <row r="338" spans="1:19">
      <c r="A338" s="12" t="s">
        <v>27</v>
      </c>
      <c r="B338" s="266" t="s">
        <v>89</v>
      </c>
      <c r="C338" s="271">
        <v>0.35535269898445798</v>
      </c>
      <c r="D338" s="271">
        <v>0.33811521212748413</v>
      </c>
      <c r="E338" s="271">
        <v>0.35287450221706412</v>
      </c>
      <c r="F338" s="271">
        <v>0.33060618568728362</v>
      </c>
      <c r="G338" s="271">
        <v>0.30228187223292602</v>
      </c>
      <c r="H338" s="269"/>
      <c r="I338" s="269"/>
      <c r="J338" t="b">
        <f t="shared" si="41"/>
        <v>1</v>
      </c>
      <c r="K338" s="12" t="s">
        <v>27</v>
      </c>
      <c r="L338" s="266" t="s">
        <v>89</v>
      </c>
      <c r="M338" s="403">
        <f t="shared" si="42"/>
        <v>1.6024298026208954</v>
      </c>
      <c r="N338" s="403">
        <f t="shared" si="43"/>
        <v>1.7209877771825268</v>
      </c>
      <c r="O338" s="403">
        <f t="shared" si="44"/>
        <v>1.3556972620648244</v>
      </c>
      <c r="P338" s="403">
        <f t="shared" si="45"/>
        <v>1.305870714192076</v>
      </c>
      <c r="Q338" s="403">
        <f t="shared" si="46"/>
        <v>1.2126380221037447</v>
      </c>
      <c r="R338" s="269"/>
      <c r="S338" s="269"/>
    </row>
    <row r="339" spans="1:19">
      <c r="A339" s="12" t="s">
        <v>27</v>
      </c>
      <c r="B339" s="266" t="s">
        <v>90</v>
      </c>
      <c r="C339" s="271">
        <f>C337+C338</f>
        <v>2.7632572084878735</v>
      </c>
      <c r="D339" s="271">
        <f t="shared" ref="D339:G339" si="47">D337+D338</f>
        <v>2.8377823858365074</v>
      </c>
      <c r="E339" s="271">
        <f t="shared" si="47"/>
        <v>2.8689255987976519</v>
      </c>
      <c r="F339" s="271">
        <f t="shared" si="47"/>
        <v>2.6544840058672081</v>
      </c>
      <c r="G339" s="271">
        <f t="shared" si="47"/>
        <v>2.590450234229694</v>
      </c>
      <c r="H339" s="269"/>
      <c r="I339" s="269"/>
      <c r="J339" t="b">
        <f t="shared" si="41"/>
        <v>1</v>
      </c>
      <c r="K339" s="12" t="s">
        <v>27</v>
      </c>
      <c r="L339" s="266" t="s">
        <v>90</v>
      </c>
      <c r="M339" s="403">
        <f t="shared" si="42"/>
        <v>12.460650266178657</v>
      </c>
      <c r="N339" s="403">
        <f t="shared" si="43"/>
        <v>14.444155794111674</v>
      </c>
      <c r="O339" s="403">
        <f t="shared" si="44"/>
        <v>11.022033484768972</v>
      </c>
      <c r="P339" s="403">
        <f t="shared" si="45"/>
        <v>10.485021377767239</v>
      </c>
      <c r="Q339" s="403">
        <f t="shared" si="46"/>
        <v>10.391884982020814</v>
      </c>
      <c r="R339" s="269"/>
      <c r="S339" s="269"/>
    </row>
    <row r="340" spans="1:19">
      <c r="A340" s="12" t="s">
        <v>22</v>
      </c>
      <c r="B340" s="266" t="s">
        <v>91</v>
      </c>
      <c r="C340" s="271">
        <v>5.794647515116063</v>
      </c>
      <c r="D340" s="271">
        <v>5.6654995528096048</v>
      </c>
      <c r="E340" s="271">
        <v>5.4459801653220365</v>
      </c>
      <c r="F340" s="271">
        <v>5.2315625946540782</v>
      </c>
      <c r="G340" s="271">
        <v>5.0709512798558656</v>
      </c>
      <c r="H340" s="269"/>
      <c r="I340" s="269"/>
      <c r="J340" t="b">
        <f t="shared" si="41"/>
        <v>1</v>
      </c>
      <c r="K340" s="12" t="s">
        <v>22</v>
      </c>
      <c r="L340" s="266" t="s">
        <v>91</v>
      </c>
      <c r="M340" s="403">
        <f t="shared" si="42"/>
        <v>26.130421692143145</v>
      </c>
      <c r="N340" s="403">
        <f t="shared" si="43"/>
        <v>28.837080179468916</v>
      </c>
      <c r="O340" s="403">
        <f t="shared" si="44"/>
        <v>20.922736987227402</v>
      </c>
      <c r="P340" s="403">
        <f t="shared" si="45"/>
        <v>20.664296911502849</v>
      </c>
      <c r="Q340" s="403">
        <f t="shared" si="46"/>
        <v>20.342696321036833</v>
      </c>
      <c r="R340" s="269"/>
      <c r="S340" s="269"/>
    </row>
    <row r="341" spans="1:19">
      <c r="A341" s="12" t="s">
        <v>29</v>
      </c>
      <c r="B341" s="266" t="s">
        <v>29</v>
      </c>
      <c r="C341" s="271">
        <v>0.79565936041617891</v>
      </c>
      <c r="D341" s="271">
        <v>0.81379329751844121</v>
      </c>
      <c r="E341" s="271">
        <v>0.83527031824680331</v>
      </c>
      <c r="F341" s="271">
        <v>0.86914049425217754</v>
      </c>
      <c r="G341" s="271">
        <v>0.88933875020036712</v>
      </c>
      <c r="H341" s="269"/>
      <c r="I341" s="269"/>
      <c r="J341" t="b">
        <f t="shared" si="41"/>
        <v>1</v>
      </c>
      <c r="K341" s="12" t="s">
        <v>29</v>
      </c>
      <c r="L341" s="266" t="s">
        <v>29</v>
      </c>
      <c r="M341" s="403">
        <f t="shared" si="42"/>
        <v>3.5879515633591113</v>
      </c>
      <c r="N341" s="403">
        <f t="shared" si="43"/>
        <v>4.1421629904490684</v>
      </c>
      <c r="O341" s="403">
        <f t="shared" si="44"/>
        <v>3.2089983164457925</v>
      </c>
      <c r="P341" s="403">
        <f t="shared" si="45"/>
        <v>3.4330425959903659</v>
      </c>
      <c r="Q341" s="403">
        <f t="shared" si="46"/>
        <v>3.5676832853284148</v>
      </c>
      <c r="R341" s="269"/>
      <c r="S341" s="269"/>
    </row>
    <row r="342" spans="1:19">
      <c r="A342" s="12" t="s">
        <v>22</v>
      </c>
      <c r="B342" s="266" t="s">
        <v>92</v>
      </c>
      <c r="C342" s="271">
        <v>1.067077173491312</v>
      </c>
      <c r="D342" s="271">
        <v>1.1377699704587949</v>
      </c>
      <c r="E342" s="271">
        <v>1.1288688837653649</v>
      </c>
      <c r="F342" s="271">
        <v>1.0874595680858687</v>
      </c>
      <c r="G342" s="271">
        <v>1.0132559350168759</v>
      </c>
      <c r="H342" s="269"/>
      <c r="I342" s="269"/>
      <c r="J342" t="b">
        <f t="shared" si="41"/>
        <v>1</v>
      </c>
      <c r="K342" s="12" t="s">
        <v>22</v>
      </c>
      <c r="L342" s="266" t="s">
        <v>92</v>
      </c>
      <c r="M342" s="403">
        <f t="shared" si="42"/>
        <v>4.8118848383187114</v>
      </c>
      <c r="N342" s="403">
        <f t="shared" si="43"/>
        <v>5.7911863831392072</v>
      </c>
      <c r="O342" s="403">
        <f t="shared" si="44"/>
        <v>4.3369652534698586</v>
      </c>
      <c r="P342" s="403">
        <f t="shared" si="45"/>
        <v>4.2953872743764627</v>
      </c>
      <c r="Q342" s="403">
        <f t="shared" si="46"/>
        <v>4.0647911297074053</v>
      </c>
      <c r="R342" s="269"/>
      <c r="S342" s="269"/>
    </row>
    <row r="343" spans="1:19">
      <c r="A343" s="12" t="s">
        <v>22</v>
      </c>
      <c r="B343" s="266" t="s">
        <v>54</v>
      </c>
      <c r="C343" s="271">
        <v>1.4458842789006556</v>
      </c>
      <c r="D343" s="271">
        <v>1.7460048691359407</v>
      </c>
      <c r="E343" s="271">
        <v>1.7400275177290305</v>
      </c>
      <c r="F343" s="271">
        <v>1.7353254561791309</v>
      </c>
      <c r="G343" s="271">
        <v>1.6416771715292762</v>
      </c>
      <c r="H343" s="269"/>
      <c r="I343" s="269"/>
      <c r="J343" t="b">
        <f t="shared" si="41"/>
        <v>1</v>
      </c>
      <c r="K343" s="12" t="s">
        <v>22</v>
      </c>
      <c r="L343" s="266" t="s">
        <v>54</v>
      </c>
      <c r="M343" s="403">
        <f t="shared" si="42"/>
        <v>6.5200800958395675</v>
      </c>
      <c r="N343" s="403">
        <f t="shared" si="43"/>
        <v>8.8870684633709125</v>
      </c>
      <c r="O343" s="403">
        <f t="shared" si="44"/>
        <v>6.6849560591137163</v>
      </c>
      <c r="P343" s="403">
        <f t="shared" si="45"/>
        <v>6.8544110513401542</v>
      </c>
      <c r="Q343" s="403">
        <f t="shared" si="46"/>
        <v>6.5857742097155381</v>
      </c>
      <c r="R343" s="269"/>
      <c r="S343" s="269"/>
    </row>
    <row r="344" spans="1:19">
      <c r="K344" s="84"/>
      <c r="L344" s="84"/>
      <c r="M344" s="84"/>
    </row>
    <row r="345" spans="1:19">
      <c r="K345" s="84"/>
      <c r="L345" s="84"/>
      <c r="M345" s="283"/>
    </row>
    <row r="346" spans="1:19">
      <c r="K346" s="84"/>
      <c r="M346" s="84"/>
    </row>
    <row r="347" spans="1:19">
      <c r="K347" s="80" t="s">
        <v>241</v>
      </c>
      <c r="L347" s="80" t="s">
        <v>242</v>
      </c>
      <c r="M347" s="84"/>
      <c r="N347" s="84"/>
    </row>
    <row r="348" spans="1:19">
      <c r="C348" s="710"/>
      <c r="D348" s="710"/>
      <c r="E348" s="710"/>
      <c r="F348" s="710"/>
      <c r="G348" s="710"/>
      <c r="J348" s="272"/>
      <c r="K348" s="84"/>
      <c r="L348" s="274"/>
      <c r="M348" s="84"/>
      <c r="N348" s="84"/>
    </row>
    <row r="349" spans="1:19">
      <c r="C349" s="718"/>
      <c r="D349" s="718"/>
      <c r="E349" s="718"/>
      <c r="F349" s="718"/>
      <c r="G349" s="718"/>
      <c r="J349" s="272"/>
      <c r="K349" s="48" t="s">
        <v>6</v>
      </c>
      <c r="L349" s="267" t="s">
        <v>3</v>
      </c>
      <c r="M349" s="137">
        <v>2022</v>
      </c>
      <c r="N349" s="138">
        <f t="shared" ref="N349:S349" si="48">M349+1</f>
        <v>2023</v>
      </c>
      <c r="O349" s="138">
        <f t="shared" si="48"/>
        <v>2024</v>
      </c>
      <c r="P349" s="138">
        <f t="shared" si="48"/>
        <v>2025</v>
      </c>
      <c r="Q349" s="138">
        <f t="shared" si="48"/>
        <v>2026</v>
      </c>
      <c r="R349" s="138">
        <f t="shared" si="48"/>
        <v>2027</v>
      </c>
      <c r="S349" s="138">
        <f t="shared" si="48"/>
        <v>2028</v>
      </c>
    </row>
    <row r="350" spans="1:19">
      <c r="J350" s="272"/>
      <c r="K350" s="12" t="s">
        <v>19</v>
      </c>
      <c r="L350" s="266" t="s">
        <v>70</v>
      </c>
      <c r="M350" s="269"/>
      <c r="N350" s="269"/>
      <c r="O350" s="403">
        <f t="shared" ref="O350:O363" si="49">E315*H$34</f>
        <v>1.8398310084852172</v>
      </c>
      <c r="P350" s="403">
        <f t="shared" ref="P350:P363" si="50">F315*I$34</f>
        <v>1.8166720079030525</v>
      </c>
      <c r="Q350" s="403">
        <f t="shared" ref="Q350:Q363" si="51">G315*J$34</f>
        <v>1.7375849418352214</v>
      </c>
      <c r="R350" s="403">
        <f t="shared" ref="R350:R363" si="52">H315*K$34</f>
        <v>1.7158518230312179</v>
      </c>
      <c r="S350" s="403">
        <f t="shared" ref="S350:S363" si="53">I315*L$34</f>
        <v>1.7486240925415155</v>
      </c>
    </row>
    <row r="351" spans="1:19">
      <c r="J351" s="272"/>
      <c r="K351" s="12" t="s">
        <v>19</v>
      </c>
      <c r="L351" s="266" t="s">
        <v>71</v>
      </c>
      <c r="M351" s="269"/>
      <c r="N351" s="269"/>
      <c r="O351" s="403">
        <f t="shared" si="49"/>
        <v>1.75263264289427</v>
      </c>
      <c r="P351" s="403">
        <f t="shared" si="50"/>
        <v>1.8443976922035672</v>
      </c>
      <c r="Q351" s="403">
        <f t="shared" si="51"/>
        <v>1.7309001531897759</v>
      </c>
      <c r="R351" s="403">
        <f t="shared" si="52"/>
        <v>1.5798389724748891</v>
      </c>
      <c r="S351" s="403">
        <f t="shared" si="53"/>
        <v>1.4102739043235832</v>
      </c>
    </row>
    <row r="352" spans="1:19">
      <c r="J352" s="272"/>
      <c r="K352" s="12" t="s">
        <v>19</v>
      </c>
      <c r="L352" s="266" t="s">
        <v>72</v>
      </c>
      <c r="M352" s="269"/>
      <c r="N352" s="269"/>
      <c r="O352" s="403">
        <f t="shared" si="49"/>
        <v>2.3714425743239986</v>
      </c>
      <c r="P352" s="403">
        <f t="shared" si="50"/>
        <v>2.4423717098743825</v>
      </c>
      <c r="Q352" s="403">
        <f t="shared" si="51"/>
        <v>2.1335514640695803</v>
      </c>
      <c r="R352" s="403">
        <f t="shared" si="52"/>
        <v>1.9373383299010201</v>
      </c>
      <c r="S352" s="403">
        <f t="shared" si="53"/>
        <v>1.6763607686343311</v>
      </c>
    </row>
    <row r="353" spans="10:19">
      <c r="J353" s="272"/>
      <c r="K353" s="12" t="s">
        <v>19</v>
      </c>
      <c r="L353" s="266" t="s">
        <v>52</v>
      </c>
      <c r="M353" s="269"/>
      <c r="N353" s="269"/>
      <c r="O353" s="403">
        <f t="shared" si="49"/>
        <v>2.5143310940304695</v>
      </c>
      <c r="P353" s="403">
        <f t="shared" si="50"/>
        <v>2.7759536944268142</v>
      </c>
      <c r="Q353" s="403">
        <f t="shared" si="51"/>
        <v>3.3541320125584719</v>
      </c>
      <c r="R353" s="403">
        <f t="shared" si="52"/>
        <v>3.3468311579735901</v>
      </c>
      <c r="S353" s="403">
        <f t="shared" si="53"/>
        <v>3.2910885275465023</v>
      </c>
    </row>
    <row r="354" spans="10:19">
      <c r="J354" s="272"/>
      <c r="K354" s="12" t="s">
        <v>19</v>
      </c>
      <c r="L354" s="266" t="s">
        <v>4</v>
      </c>
      <c r="M354" s="269"/>
      <c r="N354" s="269"/>
      <c r="O354" s="403">
        <f t="shared" si="49"/>
        <v>1.6743360640662055</v>
      </c>
      <c r="P354" s="403">
        <f t="shared" si="50"/>
        <v>1.7117957821987844</v>
      </c>
      <c r="Q354" s="403">
        <f t="shared" si="51"/>
        <v>2.0616223805932981</v>
      </c>
      <c r="R354" s="403">
        <f t="shared" si="52"/>
        <v>2.1427572135606616</v>
      </c>
      <c r="S354" s="403">
        <f t="shared" si="53"/>
        <v>2.1836823055890484</v>
      </c>
    </row>
    <row r="355" spans="10:19">
      <c r="J355" s="272"/>
      <c r="K355" s="12" t="s">
        <v>19</v>
      </c>
      <c r="L355" s="266" t="s">
        <v>73</v>
      </c>
      <c r="M355" s="269"/>
      <c r="N355" s="269"/>
      <c r="O355" s="403">
        <f t="shared" si="49"/>
        <v>2.585799772614493</v>
      </c>
      <c r="P355" s="403">
        <f t="shared" si="50"/>
        <v>2.0782064365384678</v>
      </c>
      <c r="Q355" s="403">
        <f t="shared" si="51"/>
        <v>2.3657310928182853</v>
      </c>
      <c r="R355" s="403">
        <f t="shared" si="52"/>
        <v>2.3685449205167779</v>
      </c>
      <c r="S355" s="403">
        <f t="shared" si="53"/>
        <v>2.2662796586405412</v>
      </c>
    </row>
    <row r="356" spans="10:19">
      <c r="J356" s="272"/>
      <c r="K356" s="12" t="s">
        <v>19</v>
      </c>
      <c r="L356" s="266" t="s">
        <v>74</v>
      </c>
      <c r="M356" s="269"/>
      <c r="N356" s="269"/>
      <c r="O356" s="403">
        <f t="shared" si="49"/>
        <v>1.9744881932259173</v>
      </c>
      <c r="P356" s="403">
        <f t="shared" si="50"/>
        <v>2.0304855687694245</v>
      </c>
      <c r="Q356" s="403">
        <f t="shared" si="51"/>
        <v>1.6028962645021947</v>
      </c>
      <c r="R356" s="403">
        <f t="shared" si="52"/>
        <v>1.6391221997255569</v>
      </c>
      <c r="S356" s="403">
        <f t="shared" si="53"/>
        <v>1.6680786922847235</v>
      </c>
    </row>
    <row r="357" spans="10:19">
      <c r="J357" s="272"/>
      <c r="K357" s="12" t="s">
        <v>19</v>
      </c>
      <c r="L357" s="266" t="s">
        <v>75</v>
      </c>
      <c r="M357" s="269"/>
      <c r="N357" s="269"/>
      <c r="O357" s="403">
        <f t="shared" si="49"/>
        <v>1.745513507526631</v>
      </c>
      <c r="P357" s="403">
        <f t="shared" si="50"/>
        <v>1.8128728570979176</v>
      </c>
      <c r="Q357" s="403">
        <f t="shared" si="51"/>
        <v>1.8189354923601961</v>
      </c>
      <c r="R357" s="403">
        <f t="shared" si="52"/>
        <v>1.8223716752738468</v>
      </c>
      <c r="S357" s="403">
        <f t="shared" si="53"/>
        <v>1.8243418540141427</v>
      </c>
    </row>
    <row r="358" spans="10:19">
      <c r="J358" s="272"/>
      <c r="K358" s="12" t="s">
        <v>19</v>
      </c>
      <c r="L358" s="266" t="s">
        <v>76</v>
      </c>
      <c r="M358" s="269"/>
      <c r="N358" s="269"/>
      <c r="O358" s="403">
        <f t="shared" si="49"/>
        <v>1.1357994671005207</v>
      </c>
      <c r="P358" s="403">
        <f t="shared" si="50"/>
        <v>1.2897395801499805</v>
      </c>
      <c r="Q358" s="403">
        <f t="shared" si="51"/>
        <v>1.0123736094548659</v>
      </c>
      <c r="R358" s="403">
        <f t="shared" si="52"/>
        <v>0.96819040384823174</v>
      </c>
      <c r="S358" s="403">
        <f t="shared" si="53"/>
        <v>0.92856856640624896</v>
      </c>
    </row>
    <row r="359" spans="10:19">
      <c r="J359" s="272"/>
      <c r="K359" s="12" t="s">
        <v>19</v>
      </c>
      <c r="L359" s="266" t="s">
        <v>50</v>
      </c>
      <c r="M359" s="269"/>
      <c r="N359" s="269"/>
      <c r="O359" s="403">
        <f t="shared" si="49"/>
        <v>3.2704639786969829</v>
      </c>
      <c r="P359" s="403">
        <f t="shared" si="50"/>
        <v>3.5585730428737943</v>
      </c>
      <c r="Q359" s="403">
        <f t="shared" si="51"/>
        <v>3.3103676579932526</v>
      </c>
      <c r="R359" s="403">
        <f t="shared" si="52"/>
        <v>2.9267957718441324</v>
      </c>
      <c r="S359" s="403">
        <f t="shared" si="53"/>
        <v>2.4510757994331329</v>
      </c>
    </row>
    <row r="360" spans="10:19">
      <c r="J360" s="272"/>
      <c r="K360" s="12" t="s">
        <v>19</v>
      </c>
      <c r="L360" s="721" t="s">
        <v>51</v>
      </c>
      <c r="M360" s="269"/>
      <c r="N360" s="269"/>
      <c r="O360" s="403">
        <f t="shared" si="49"/>
        <v>2.7654416314532897</v>
      </c>
      <c r="P360" s="403">
        <f t="shared" si="50"/>
        <v>2.7765143601215545</v>
      </c>
      <c r="Q360" s="403">
        <f t="shared" si="51"/>
        <v>2.6170561861492683</v>
      </c>
      <c r="R360" s="403">
        <f t="shared" si="52"/>
        <v>2.2768544858920965</v>
      </c>
      <c r="S360" s="403">
        <f t="shared" si="53"/>
        <v>1.9490395952033754</v>
      </c>
    </row>
    <row r="361" spans="10:19">
      <c r="J361" s="272"/>
      <c r="K361" s="12" t="s">
        <v>19</v>
      </c>
      <c r="L361" s="721" t="s">
        <v>77</v>
      </c>
      <c r="M361" s="269"/>
      <c r="N361" s="269"/>
      <c r="O361" s="403">
        <f t="shared" si="49"/>
        <v>2.9864835145554238</v>
      </c>
      <c r="P361" s="403">
        <f t="shared" si="50"/>
        <v>3.0616379903471729</v>
      </c>
      <c r="Q361" s="403">
        <f t="shared" si="51"/>
        <v>2.9005466612002579</v>
      </c>
      <c r="R361" s="403">
        <f t="shared" si="52"/>
        <v>2.4910016169696325</v>
      </c>
      <c r="S361" s="403">
        <f t="shared" si="53"/>
        <v>2.3520594091772407</v>
      </c>
    </row>
    <row r="362" spans="10:19">
      <c r="J362" s="272"/>
      <c r="K362" s="12" t="s">
        <v>19</v>
      </c>
      <c r="L362" s="721" t="s">
        <v>78</v>
      </c>
      <c r="M362" s="269"/>
      <c r="N362" s="269"/>
      <c r="O362" s="403">
        <f t="shared" si="49"/>
        <v>1.2048580409537324</v>
      </c>
      <c r="P362" s="403">
        <f t="shared" si="50"/>
        <v>1.1761222371647362</v>
      </c>
      <c r="Q362" s="403">
        <f t="shared" si="51"/>
        <v>1.1368404595962955</v>
      </c>
      <c r="R362" s="403">
        <f t="shared" si="52"/>
        <v>0.95443651884962732</v>
      </c>
      <c r="S362" s="403">
        <f t="shared" si="53"/>
        <v>0.97433645737013896</v>
      </c>
    </row>
    <row r="363" spans="10:19">
      <c r="J363" s="272"/>
      <c r="K363" s="12" t="s">
        <v>19</v>
      </c>
      <c r="L363" s="721" t="s">
        <v>79</v>
      </c>
      <c r="M363" s="269"/>
      <c r="N363" s="269"/>
      <c r="O363" s="403">
        <f t="shared" si="49"/>
        <v>1.7337791731731325</v>
      </c>
      <c r="P363" s="403">
        <f t="shared" si="50"/>
        <v>1.842095714072626</v>
      </c>
      <c r="Q363" s="403">
        <f t="shared" si="51"/>
        <v>1.7711326343427238</v>
      </c>
      <c r="R363" s="403">
        <f t="shared" si="52"/>
        <v>1.4645400361910417</v>
      </c>
      <c r="S363" s="403">
        <f t="shared" si="53"/>
        <v>1.4053303975595264</v>
      </c>
    </row>
    <row r="364" spans="10:19">
      <c r="J364" s="272"/>
      <c r="K364" s="12" t="s">
        <v>25</v>
      </c>
      <c r="L364" s="266" t="s">
        <v>80</v>
      </c>
      <c r="M364" s="403">
        <f t="shared" ref="M364:M378" si="54">C329*F$34</f>
        <v>1.9632205955917676</v>
      </c>
      <c r="N364" s="403">
        <f t="shared" ref="N364:N378" si="55">D329*G$34</f>
        <v>2.1672613786001209</v>
      </c>
      <c r="O364" s="403">
        <f t="shared" ref="O364:O378" si="56">E329*H$34</f>
        <v>2.3024673470192871</v>
      </c>
      <c r="P364" s="403">
        <f t="shared" ref="P364:P378" si="57">F329*I$34</f>
        <v>2.3353282310507302</v>
      </c>
      <c r="Q364" s="403">
        <f t="shared" ref="Q364:Q378" si="58">G329*J$34</f>
        <v>2.3380973219233203</v>
      </c>
      <c r="R364" s="269"/>
      <c r="S364" s="269"/>
    </row>
    <row r="365" spans="10:19">
      <c r="J365" s="272"/>
      <c r="K365" s="12" t="s">
        <v>25</v>
      </c>
      <c r="L365" s="266" t="s">
        <v>81</v>
      </c>
      <c r="M365" s="403">
        <f t="shared" si="54"/>
        <v>1.4154348968907049</v>
      </c>
      <c r="N365" s="403">
        <f t="shared" si="55"/>
        <v>1.5662676937018727</v>
      </c>
      <c r="O365" s="403">
        <f t="shared" si="56"/>
        <v>1.6715009394146803</v>
      </c>
      <c r="P365" s="403">
        <f t="shared" si="57"/>
        <v>1.696730736776848</v>
      </c>
      <c r="Q365" s="403">
        <f t="shared" si="58"/>
        <v>1.6994686848697551</v>
      </c>
      <c r="R365" s="269"/>
      <c r="S365" s="269"/>
    </row>
    <row r="366" spans="10:19">
      <c r="J366" s="272"/>
      <c r="K366" s="12" t="s">
        <v>25</v>
      </c>
      <c r="L366" s="266" t="s">
        <v>82</v>
      </c>
      <c r="M366" s="403">
        <f t="shared" si="54"/>
        <v>1.0482889554032562</v>
      </c>
      <c r="N366" s="403">
        <f t="shared" si="55"/>
        <v>1.158482692883793</v>
      </c>
      <c r="O366" s="403">
        <f t="shared" si="56"/>
        <v>1.2325197872381202</v>
      </c>
      <c r="P366" s="403">
        <f t="shared" si="57"/>
        <v>1.2477408419715665</v>
      </c>
      <c r="Q366" s="403">
        <f t="shared" si="58"/>
        <v>1.2546303733716275</v>
      </c>
      <c r="R366" s="269"/>
      <c r="S366" s="269"/>
    </row>
    <row r="367" spans="10:19">
      <c r="J367" s="272"/>
      <c r="K367" s="12" t="s">
        <v>25</v>
      </c>
      <c r="L367" s="266" t="s">
        <v>83</v>
      </c>
      <c r="M367" s="403">
        <f t="shared" si="54"/>
        <v>1.3656233450435906</v>
      </c>
      <c r="N367" s="403">
        <f t="shared" si="55"/>
        <v>1.522305799657151</v>
      </c>
      <c r="O367" s="403">
        <f t="shared" si="56"/>
        <v>1.6154740955142031</v>
      </c>
      <c r="P367" s="403">
        <f t="shared" si="57"/>
        <v>1.627471012215246</v>
      </c>
      <c r="Q367" s="403">
        <f t="shared" si="58"/>
        <v>1.6255556582324222</v>
      </c>
      <c r="R367" s="269"/>
      <c r="S367" s="269"/>
    </row>
    <row r="368" spans="10:19">
      <c r="J368" s="272"/>
      <c r="K368" s="12" t="s">
        <v>25</v>
      </c>
      <c r="L368" s="266" t="s">
        <v>84</v>
      </c>
      <c r="M368" s="403">
        <f t="shared" si="54"/>
        <v>1.3427015677739234</v>
      </c>
      <c r="N368" s="403">
        <f t="shared" si="55"/>
        <v>1.4872302956408134</v>
      </c>
      <c r="O368" s="403">
        <f t="shared" si="56"/>
        <v>1.6342315005342658</v>
      </c>
      <c r="P368" s="403">
        <f t="shared" si="57"/>
        <v>1.6825018141143548</v>
      </c>
      <c r="Q368" s="403">
        <f t="shared" si="58"/>
        <v>1.7019723204923605</v>
      </c>
      <c r="R368" s="269"/>
      <c r="S368" s="269"/>
    </row>
    <row r="369" spans="9:19">
      <c r="J369" s="272"/>
      <c r="K369" s="12" t="s">
        <v>25</v>
      </c>
      <c r="L369" s="266" t="s">
        <v>85</v>
      </c>
      <c r="M369" s="403">
        <f t="shared" si="54"/>
        <v>1.0243759516770621</v>
      </c>
      <c r="N369" s="403">
        <f t="shared" si="55"/>
        <v>1.1629981662468019</v>
      </c>
      <c r="O369" s="403">
        <f t="shared" si="56"/>
        <v>1.2478215259600771</v>
      </c>
      <c r="P369" s="403">
        <f t="shared" si="57"/>
        <v>1.2708533305301351</v>
      </c>
      <c r="Q369" s="403">
        <f t="shared" si="58"/>
        <v>1.2801840439496863</v>
      </c>
      <c r="R369" s="269"/>
      <c r="S369" s="269"/>
    </row>
    <row r="370" spans="9:19">
      <c r="J370" s="272"/>
      <c r="K370" s="12" t="s">
        <v>25</v>
      </c>
      <c r="L370" s="266" t="s">
        <v>86</v>
      </c>
      <c r="M370" s="403">
        <f t="shared" si="54"/>
        <v>2.1593068541225939</v>
      </c>
      <c r="N370" s="403">
        <f t="shared" si="55"/>
        <v>2.3912596021463526</v>
      </c>
      <c r="O370" s="403">
        <f t="shared" si="56"/>
        <v>2.5838942643770193</v>
      </c>
      <c r="P370" s="403">
        <f t="shared" si="57"/>
        <v>2.647505332574057</v>
      </c>
      <c r="Q370" s="403">
        <f t="shared" si="58"/>
        <v>2.6910731153398202</v>
      </c>
      <c r="R370" s="269"/>
      <c r="S370" s="269"/>
    </row>
    <row r="371" spans="9:19">
      <c r="J371" s="272"/>
      <c r="K371" s="12" t="s">
        <v>25</v>
      </c>
      <c r="L371" s="266" t="s">
        <v>87</v>
      </c>
      <c r="M371" s="403">
        <f t="shared" si="54"/>
        <v>1.3837048806801149</v>
      </c>
      <c r="N371" s="403">
        <f t="shared" si="55"/>
        <v>1.5110032476208646</v>
      </c>
      <c r="O371" s="403">
        <f t="shared" si="56"/>
        <v>1.604764557377345</v>
      </c>
      <c r="P371" s="403">
        <f t="shared" si="57"/>
        <v>1.657787217328365</v>
      </c>
      <c r="Q371" s="403">
        <f t="shared" si="58"/>
        <v>1.6907155149397168</v>
      </c>
      <c r="R371" s="270"/>
      <c r="S371" s="270"/>
    </row>
    <row r="372" spans="9:19">
      <c r="J372" s="272"/>
      <c r="K372" s="12" t="s">
        <v>27</v>
      </c>
      <c r="L372" s="266" t="s">
        <v>88</v>
      </c>
      <c r="M372" s="403">
        <f t="shared" si="54"/>
        <v>2.5469899852789801</v>
      </c>
      <c r="N372" s="403">
        <f t="shared" si="55"/>
        <v>2.9844468187858495</v>
      </c>
      <c r="O372" s="403">
        <f t="shared" si="56"/>
        <v>3.2221120742347158</v>
      </c>
      <c r="P372" s="403">
        <f t="shared" si="57"/>
        <v>3.0597168878583876</v>
      </c>
      <c r="Q372" s="403">
        <f t="shared" si="58"/>
        <v>3.0597489866390228</v>
      </c>
      <c r="R372" s="269"/>
      <c r="S372" s="269"/>
    </row>
    <row r="373" spans="9:19">
      <c r="J373" s="272"/>
      <c r="K373" s="12" t="s">
        <v>27</v>
      </c>
      <c r="L373" s="266" t="s">
        <v>89</v>
      </c>
      <c r="M373" s="403">
        <f t="shared" si="54"/>
        <v>0.37587859567650633</v>
      </c>
      <c r="N373" s="403">
        <f t="shared" si="55"/>
        <v>0.40368849094404946</v>
      </c>
      <c r="O373" s="403">
        <f t="shared" si="56"/>
        <v>0.4518990873549415</v>
      </c>
      <c r="P373" s="403">
        <f t="shared" si="57"/>
        <v>0.43529023806402534</v>
      </c>
      <c r="Q373" s="403">
        <f t="shared" si="58"/>
        <v>0.40421267403458155</v>
      </c>
      <c r="R373" s="269"/>
      <c r="S373" s="269"/>
    </row>
    <row r="374" spans="9:19">
      <c r="J374" s="272"/>
      <c r="K374" s="12" t="s">
        <v>27</v>
      </c>
      <c r="L374" s="266" t="s">
        <v>90</v>
      </c>
      <c r="M374" s="403">
        <f t="shared" si="54"/>
        <v>2.9228685809554871</v>
      </c>
      <c r="N374" s="403">
        <f t="shared" si="55"/>
        <v>3.3881353097298992</v>
      </c>
      <c r="O374" s="403">
        <f t="shared" si="56"/>
        <v>3.6740111615896573</v>
      </c>
      <c r="P374" s="403">
        <f t="shared" si="57"/>
        <v>3.4950071259224131</v>
      </c>
      <c r="Q374" s="403">
        <f t="shared" si="58"/>
        <v>3.4639616606736046</v>
      </c>
      <c r="R374" s="269"/>
      <c r="S374" s="269"/>
    </row>
    <row r="375" spans="9:19">
      <c r="K375" s="12" t="s">
        <v>22</v>
      </c>
      <c r="L375" s="266" t="s">
        <v>91</v>
      </c>
      <c r="M375" s="403">
        <f t="shared" si="54"/>
        <v>6.1293581747002444</v>
      </c>
      <c r="N375" s="403">
        <f t="shared" si="55"/>
        <v>6.7642533754309806</v>
      </c>
      <c r="O375" s="403">
        <f t="shared" si="56"/>
        <v>6.9742456624091336</v>
      </c>
      <c r="P375" s="403">
        <f t="shared" si="57"/>
        <v>6.8880989705009492</v>
      </c>
      <c r="Q375" s="403">
        <f t="shared" si="58"/>
        <v>6.7808987736789437</v>
      </c>
      <c r="R375" s="269"/>
      <c r="S375" s="269"/>
    </row>
    <row r="376" spans="9:19">
      <c r="I376" s="272"/>
      <c r="K376" s="12" t="s">
        <v>29</v>
      </c>
      <c r="L376" s="266" t="s">
        <v>29</v>
      </c>
      <c r="M376" s="403">
        <f t="shared" si="54"/>
        <v>0.84161826794843342</v>
      </c>
      <c r="N376" s="403">
        <f t="shared" si="55"/>
        <v>0.97161847924113942</v>
      </c>
      <c r="O376" s="403">
        <f t="shared" si="56"/>
        <v>1.0696661054819308</v>
      </c>
      <c r="P376" s="403">
        <f t="shared" si="57"/>
        <v>1.1443475319967886</v>
      </c>
      <c r="Q376" s="403">
        <f t="shared" si="58"/>
        <v>1.1892277617761382</v>
      </c>
      <c r="R376" s="269"/>
      <c r="S376" s="269"/>
    </row>
    <row r="377" spans="9:19">
      <c r="I377" s="272"/>
      <c r="K377" s="12" t="s">
        <v>22</v>
      </c>
      <c r="L377" s="266" t="s">
        <v>92</v>
      </c>
      <c r="M377" s="403">
        <f t="shared" si="54"/>
        <v>1.1287137275068582</v>
      </c>
      <c r="N377" s="403">
        <f t="shared" si="55"/>
        <v>1.3584264355511719</v>
      </c>
      <c r="O377" s="403">
        <f t="shared" si="56"/>
        <v>1.4456550844899529</v>
      </c>
      <c r="P377" s="403">
        <f t="shared" si="57"/>
        <v>1.4317957581254876</v>
      </c>
      <c r="Q377" s="403">
        <f t="shared" si="58"/>
        <v>1.3549303765691352</v>
      </c>
      <c r="R377" s="269"/>
      <c r="S377" s="269"/>
    </row>
    <row r="378" spans="9:19">
      <c r="I378" s="272"/>
      <c r="K378" s="12" t="s">
        <v>22</v>
      </c>
      <c r="L378" s="266" t="s">
        <v>54</v>
      </c>
      <c r="M378" s="403">
        <f t="shared" si="54"/>
        <v>1.5294015039623674</v>
      </c>
      <c r="N378" s="403">
        <f t="shared" si="55"/>
        <v>2.0846209975808314</v>
      </c>
      <c r="O378" s="403">
        <f t="shared" si="56"/>
        <v>2.2283186863712388</v>
      </c>
      <c r="P378" s="403">
        <f t="shared" si="57"/>
        <v>2.2848036837800514</v>
      </c>
      <c r="Q378" s="403">
        <f t="shared" si="58"/>
        <v>2.1952580699051794</v>
      </c>
      <c r="R378" s="269"/>
      <c r="S378" s="269"/>
    </row>
    <row r="379" spans="9:19">
      <c r="I379" s="272"/>
      <c r="K379" s="84"/>
      <c r="L379" s="84"/>
      <c r="M379" s="84"/>
    </row>
    <row r="380" spans="9:19">
      <c r="I380" s="272"/>
    </row>
    <row r="381" spans="9:19">
      <c r="I381" s="272"/>
    </row>
    <row r="382" spans="9:19">
      <c r="I382" s="272"/>
    </row>
    <row r="383" spans="9:19">
      <c r="I383" s="272"/>
    </row>
  </sheetData>
  <sheetProtection algorithmName="SHA-512" hashValue="Ab/xQHIl/ey3dUKw5zGd5GHN4E8330f66XPZVtDWA3SxpZQMCrtiYUOfkTkz6AgJJfBQHbBvjg0Jl93Ml9Z4Iw==" saltValue="GQRRwgPZ/B7UwBug0pO0Nw==" spinCount="100000" sheet="1" objects="1" scenarios="1"/>
  <mergeCells count="152">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s>
  <conditionalFormatting sqref="C97:I97">
    <cfRule type="expression" dxfId="88" priority="13">
      <formula>AND(#REF!="Actuals",#REF!="Forecast")</formula>
    </cfRule>
  </conditionalFormatting>
  <conditionalFormatting sqref="H61">
    <cfRule type="expression" dxfId="86" priority="18">
      <formula>AND(#REF!="Actuals",#REF!="Forecast")</formula>
    </cfRule>
  </conditionalFormatting>
  <conditionalFormatting sqref="H62:U62">
    <cfRule type="expression" dxfId="84" priority="6">
      <formula>AND(#REF!="Actuals",#REF!="Forecast")</formula>
    </cfRule>
  </conditionalFormatting>
  <conditionalFormatting sqref="O61">
    <cfRule type="expression" dxfId="81" priority="7">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0"/>
  <sheetViews>
    <sheetView workbookViewId="0"/>
  </sheetViews>
  <sheetFormatPr defaultRowHeight="13.5"/>
  <cols>
    <col min="1" max="1" width="8.3828125" customWidth="1"/>
    <col min="2" max="2" width="23.765625" customWidth="1"/>
    <col min="3" max="3" width="25.765625" customWidth="1"/>
    <col min="4" max="4" width="9.765625" customWidth="1"/>
  </cols>
  <sheetData>
    <row r="1" spans="1:13" ht="20">
      <c r="A1" s="95" t="s">
        <v>243</v>
      </c>
      <c r="B1" s="95"/>
      <c r="C1" s="95"/>
      <c r="D1" s="95"/>
      <c r="E1" s="95"/>
      <c r="F1" s="95"/>
      <c r="G1" s="95"/>
      <c r="H1" s="95"/>
      <c r="I1" s="8" t="s">
        <v>244</v>
      </c>
      <c r="J1" s="9"/>
      <c r="K1" s="9"/>
      <c r="L1" s="9"/>
      <c r="M1" s="9"/>
    </row>
    <row r="2" spans="1:13" ht="20">
      <c r="A2" s="281" t="str">
        <f>Licensee</f>
        <v>NPgY</v>
      </c>
      <c r="B2" s="95"/>
      <c r="C2" s="95"/>
      <c r="D2" s="95"/>
      <c r="E2" s="95"/>
      <c r="F2" s="95"/>
      <c r="G2" s="95"/>
      <c r="H2" s="95"/>
      <c r="I2" s="9"/>
      <c r="J2" s="9"/>
      <c r="K2" s="9"/>
      <c r="L2" s="9"/>
      <c r="M2" s="9"/>
    </row>
    <row r="3" spans="1:13" ht="20">
      <c r="A3" s="95">
        <f>Reporting_Year</f>
        <v>2024</v>
      </c>
      <c r="B3" s="95"/>
      <c r="C3" s="95"/>
      <c r="D3" s="95"/>
      <c r="E3" s="95"/>
      <c r="F3" s="95"/>
      <c r="G3" s="95"/>
      <c r="H3" s="95"/>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21" t="s">
        <v>246</v>
      </c>
      <c r="C8" s="221" t="s">
        <v>247</v>
      </c>
      <c r="D8" s="842" t="s">
        <v>248</v>
      </c>
      <c r="E8" s="843"/>
      <c r="F8" s="843"/>
      <c r="G8" s="843"/>
      <c r="H8" s="843"/>
      <c r="I8" s="4"/>
      <c r="J8" s="4"/>
      <c r="K8" s="4"/>
      <c r="L8" s="4"/>
      <c r="M8" s="4"/>
    </row>
    <row r="9" spans="1:13">
      <c r="A9" s="4"/>
      <c r="B9" s="222" t="s">
        <v>249</v>
      </c>
      <c r="C9" s="223">
        <v>45565</v>
      </c>
      <c r="D9" s="840"/>
      <c r="E9" s="841"/>
      <c r="F9" s="841"/>
      <c r="G9" s="841"/>
      <c r="H9" s="841"/>
      <c r="I9" s="4"/>
      <c r="J9" s="4"/>
      <c r="K9" s="4"/>
      <c r="L9" s="4"/>
      <c r="M9" s="4"/>
    </row>
    <row r="10" spans="1:13">
      <c r="A10" s="4"/>
      <c r="B10" s="222" t="s">
        <v>250</v>
      </c>
      <c r="C10" s="223"/>
      <c r="D10" s="840"/>
      <c r="E10" s="841"/>
      <c r="F10" s="841"/>
      <c r="G10" s="841"/>
      <c r="H10" s="841"/>
      <c r="I10" s="4"/>
      <c r="J10" s="4"/>
      <c r="K10" s="4"/>
      <c r="L10" s="4"/>
      <c r="M10" s="4"/>
    </row>
    <row r="11" spans="1:13">
      <c r="A11" s="4"/>
      <c r="B11" s="222" t="s">
        <v>251</v>
      </c>
      <c r="C11" s="223"/>
      <c r="D11" s="840"/>
      <c r="E11" s="841"/>
      <c r="F11" s="841"/>
      <c r="G11" s="841"/>
      <c r="H11" s="841"/>
      <c r="I11" s="4"/>
      <c r="J11" s="4"/>
      <c r="K11" s="4"/>
      <c r="L11" s="4"/>
      <c r="M11" s="4"/>
    </row>
    <row r="12" spans="1:13">
      <c r="A12" s="4"/>
      <c r="B12" s="222" t="s">
        <v>252</v>
      </c>
      <c r="C12" s="223"/>
      <c r="D12" s="840"/>
      <c r="E12" s="841"/>
      <c r="F12" s="841"/>
      <c r="G12" s="841"/>
      <c r="H12" s="841"/>
      <c r="I12" s="4"/>
      <c r="J12" s="4"/>
      <c r="K12" s="4"/>
      <c r="L12" s="4"/>
      <c r="M12" s="4"/>
    </row>
    <row r="13" spans="1:13">
      <c r="A13" s="4"/>
      <c r="B13" s="222" t="s">
        <v>253</v>
      </c>
      <c r="C13" s="223"/>
      <c r="D13" s="840"/>
      <c r="E13" s="841"/>
      <c r="F13" s="841"/>
      <c r="G13" s="841"/>
      <c r="H13" s="841"/>
      <c r="I13" s="4"/>
      <c r="J13" s="4"/>
      <c r="K13" s="4"/>
      <c r="L13" s="4"/>
      <c r="M13" s="4"/>
    </row>
    <row r="14" spans="1:13">
      <c r="A14" s="4"/>
      <c r="B14" s="222" t="s">
        <v>254</v>
      </c>
      <c r="C14" s="223"/>
      <c r="D14" s="840"/>
      <c r="E14" s="841"/>
      <c r="F14" s="841"/>
      <c r="G14" s="841"/>
      <c r="H14" s="841"/>
      <c r="I14" s="4"/>
      <c r="J14" s="4"/>
      <c r="K14" s="4"/>
      <c r="L14" s="4"/>
      <c r="M14" s="4"/>
    </row>
    <row r="15" spans="1:13">
      <c r="A15" s="4"/>
      <c r="B15" s="222" t="s">
        <v>255</v>
      </c>
      <c r="C15" s="223"/>
      <c r="D15" s="840"/>
      <c r="E15" s="841"/>
      <c r="F15" s="841"/>
      <c r="G15" s="841"/>
      <c r="H15" s="841"/>
      <c r="I15" s="4"/>
      <c r="J15" s="4"/>
      <c r="K15" s="4"/>
      <c r="L15" s="4"/>
      <c r="M15" s="4"/>
    </row>
    <row r="16" spans="1:13">
      <c r="A16" s="4"/>
      <c r="B16" s="222" t="s">
        <v>256</v>
      </c>
      <c r="C16" s="223"/>
      <c r="D16" s="840"/>
      <c r="E16" s="841"/>
      <c r="F16" s="841"/>
      <c r="G16" s="841"/>
      <c r="H16" s="841"/>
      <c r="I16" s="4"/>
      <c r="J16" s="4"/>
      <c r="K16" s="4"/>
      <c r="L16" s="4"/>
      <c r="M16" s="4"/>
    </row>
    <row r="17" spans="1:13">
      <c r="A17" s="4"/>
      <c r="B17" s="222" t="s">
        <v>257</v>
      </c>
      <c r="C17" s="223"/>
      <c r="D17" s="840"/>
      <c r="E17" s="841"/>
      <c r="F17" s="841"/>
      <c r="G17" s="841"/>
      <c r="H17" s="841"/>
      <c r="I17" s="4"/>
      <c r="J17" s="4"/>
      <c r="K17" s="4"/>
      <c r="L17" s="4"/>
      <c r="M17" s="4"/>
    </row>
    <row r="18" spans="1:13">
      <c r="A18" s="4"/>
      <c r="B18" s="222" t="s">
        <v>258</v>
      </c>
      <c r="C18" s="223"/>
      <c r="D18" s="840"/>
      <c r="E18" s="841"/>
      <c r="F18" s="841"/>
      <c r="G18" s="841"/>
      <c r="H18" s="841"/>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259</v>
      </c>
      <c r="C21" s="4"/>
      <c r="D21" s="4"/>
      <c r="E21" s="4"/>
      <c r="F21" s="4"/>
      <c r="G21" s="4"/>
      <c r="H21" s="4"/>
      <c r="I21" s="4"/>
      <c r="J21" s="4"/>
      <c r="K21" s="4"/>
      <c r="L21" s="4"/>
    </row>
    <row r="22" spans="1:13">
      <c r="A22" s="4"/>
      <c r="B22" s="47" t="s">
        <v>260</v>
      </c>
      <c r="C22" s="4"/>
      <c r="D22" s="4"/>
      <c r="E22" s="4"/>
      <c r="F22" s="4"/>
      <c r="G22" s="4"/>
      <c r="H22" s="4"/>
      <c r="I22" s="4"/>
      <c r="J22" s="4"/>
      <c r="K22" s="4"/>
      <c r="L22" s="4"/>
    </row>
    <row r="23" spans="1:13">
      <c r="A23" s="4"/>
      <c r="B23" s="47" t="s">
        <v>261</v>
      </c>
      <c r="C23" s="4"/>
      <c r="D23" s="4"/>
      <c r="E23" s="4"/>
      <c r="F23" s="4"/>
      <c r="G23" s="4"/>
      <c r="H23" s="4"/>
      <c r="I23" s="4"/>
      <c r="J23" s="4"/>
      <c r="K23" s="4"/>
      <c r="L23" s="4"/>
    </row>
    <row r="24" spans="1:13">
      <c r="B24" s="47" t="s">
        <v>262</v>
      </c>
    </row>
    <row r="25" spans="1:13">
      <c r="B25" s="47" t="s">
        <v>263</v>
      </c>
    </row>
    <row r="26" spans="1:13">
      <c r="B26" s="47" t="s">
        <v>265</v>
      </c>
    </row>
    <row r="27" spans="1:13">
      <c r="B27" s="47" t="s">
        <v>266</v>
      </c>
    </row>
    <row r="28" spans="1:13">
      <c r="B28" s="47" t="s">
        <v>267</v>
      </c>
    </row>
    <row r="29" spans="1:13">
      <c r="B29" s="47" t="s">
        <v>268</v>
      </c>
    </row>
    <row r="30" spans="1:13">
      <c r="B30" s="47" t="s">
        <v>269</v>
      </c>
    </row>
  </sheetData>
  <sheetProtection algorithmName="SHA-512" hashValue="nWawgjltnyXKyGhrf2ZST5UXI5JUsQd5ORkeKeDuPR4ZGhigLl/WOZz5VobPjCTyWDdl7A7X0Xa3IWXHmKTfEA==" saltValue="ciwWDdIwvtSoUk47veY/wg==" spinCount="100000"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6" location="'R6 - Net Debt'!A1" display="R6 - Net Debt" xr:uid="{00000000-0004-0000-0200-000005000000}"/>
    <hyperlink ref="B27" location="'R7 - RAV'!A1" display="R7 - RAV" xr:uid="{00000000-0004-0000-0200-000006000000}"/>
    <hyperlink ref="B28" location="'R8 - Tax'!A1" display="R8 - Tax" xr:uid="{00000000-0004-0000-0200-000007000000}"/>
    <hyperlink ref="B29" location="'R9 - Corporate Governance'!A1" display="R9 - Corporate Governance" xr:uid="{00000000-0004-0000-0200-00000A000000}"/>
    <hyperlink ref="B30" location="'R10 - Pensions &amp; Oth Activities'!A1" display="R10 - Pensions &amp; other Activities" xr:uid="{00000000-0004-0000-0200-00000B000000}"/>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topLeftCell="A91" zoomScaleNormal="100" workbookViewId="0">
      <selection activeCell="A111" sqref="A111"/>
    </sheetView>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272</v>
      </c>
      <c r="B1" s="6"/>
      <c r="C1" s="6"/>
      <c r="D1" s="6"/>
      <c r="E1" s="6"/>
    </row>
    <row r="2" spans="1:10" ht="20">
      <c r="A2" s="281" t="str">
        <f>Licensee</f>
        <v>NPgY</v>
      </c>
      <c r="B2" s="6"/>
      <c r="C2" s="6"/>
      <c r="D2" s="6"/>
      <c r="E2" s="6"/>
    </row>
    <row r="3" spans="1:10" ht="20">
      <c r="A3" s="95">
        <f>Reporting_Year</f>
        <v>2024</v>
      </c>
      <c r="B3" s="6"/>
      <c r="C3" s="6"/>
      <c r="D3" s="6"/>
      <c r="E3" s="6"/>
    </row>
    <row r="4" spans="1:10" ht="20">
      <c r="A4" s="87"/>
      <c r="B4" s="87"/>
      <c r="C4" s="87"/>
      <c r="D4" s="87"/>
      <c r="E4" s="87"/>
    </row>
    <row r="5" spans="1:10" ht="14">
      <c r="A5" s="256" t="s">
        <v>273</v>
      </c>
      <c r="B5" s="257" t="s">
        <v>274</v>
      </c>
      <c r="C5" s="258" t="s">
        <v>275</v>
      </c>
      <c r="D5" s="244" t="s">
        <v>276</v>
      </c>
    </row>
    <row r="6" spans="1:10">
      <c r="A6" s="212" t="s">
        <v>277</v>
      </c>
      <c r="B6" s="259" t="s">
        <v>278</v>
      </c>
      <c r="C6" s="260" t="s">
        <v>279</v>
      </c>
      <c r="D6" s="255" t="s">
        <v>280</v>
      </c>
    </row>
    <row r="7" spans="1:10">
      <c r="A7" s="212" t="s">
        <v>277</v>
      </c>
      <c r="B7" s="259" t="s">
        <v>281</v>
      </c>
      <c r="C7" s="260" t="s">
        <v>282</v>
      </c>
      <c r="D7" s="255" t="s">
        <v>280</v>
      </c>
    </row>
    <row r="8" spans="1:10" ht="27">
      <c r="A8" s="212" t="s">
        <v>277</v>
      </c>
      <c r="B8" s="259" t="s">
        <v>283</v>
      </c>
      <c r="C8" s="260" t="s">
        <v>284</v>
      </c>
      <c r="D8" s="255" t="s">
        <v>280</v>
      </c>
    </row>
    <row r="9" spans="1:10" ht="34" customHeight="1">
      <c r="A9" s="212" t="s">
        <v>277</v>
      </c>
      <c r="B9" s="259" t="s">
        <v>285</v>
      </c>
      <c r="C9" s="260" t="s">
        <v>286</v>
      </c>
      <c r="D9" s="255" t="s">
        <v>280</v>
      </c>
    </row>
    <row r="10" spans="1:10" ht="27">
      <c r="A10" s="212" t="s">
        <v>277</v>
      </c>
      <c r="B10" s="259" t="s">
        <v>287</v>
      </c>
      <c r="C10" s="260" t="s">
        <v>288</v>
      </c>
      <c r="D10" s="255" t="s">
        <v>280</v>
      </c>
    </row>
    <row r="11" spans="1:10" ht="27">
      <c r="A11" s="212" t="s">
        <v>277</v>
      </c>
      <c r="B11" s="259" t="s">
        <v>260</v>
      </c>
      <c r="C11" s="260" t="s">
        <v>289</v>
      </c>
      <c r="D11" s="255" t="s">
        <v>290</v>
      </c>
      <c r="J11" s="113"/>
    </row>
    <row r="12" spans="1:10" ht="27">
      <c r="A12" s="212" t="s">
        <v>277</v>
      </c>
      <c r="B12" s="259" t="s">
        <v>291</v>
      </c>
      <c r="C12" s="260" t="s">
        <v>292</v>
      </c>
      <c r="D12" s="255" t="s">
        <v>293</v>
      </c>
    </row>
    <row r="13" spans="1:10">
      <c r="A13" s="212" t="s">
        <v>277</v>
      </c>
      <c r="B13" s="259" t="s">
        <v>294</v>
      </c>
      <c r="C13" s="260" t="s">
        <v>295</v>
      </c>
      <c r="D13" s="255" t="s">
        <v>296</v>
      </c>
    </row>
    <row r="14" spans="1:10">
      <c r="A14" s="212" t="s">
        <v>277</v>
      </c>
      <c r="B14" s="259" t="s">
        <v>297</v>
      </c>
      <c r="C14" s="260" t="s">
        <v>298</v>
      </c>
      <c r="D14" s="255" t="s">
        <v>87</v>
      </c>
    </row>
    <row r="15" spans="1:10">
      <c r="A15" s="212" t="s">
        <v>277</v>
      </c>
      <c r="B15" s="259" t="s">
        <v>299</v>
      </c>
      <c r="C15" s="260" t="s">
        <v>300</v>
      </c>
      <c r="D15" s="255" t="s">
        <v>301</v>
      </c>
    </row>
    <row r="16" spans="1:10" ht="74.25" customHeight="1">
      <c r="A16" s="212" t="s">
        <v>277</v>
      </c>
      <c r="B16" s="259" t="s">
        <v>266</v>
      </c>
      <c r="C16" s="260" t="s">
        <v>302</v>
      </c>
      <c r="D16" s="255" t="s">
        <v>92</v>
      </c>
    </row>
    <row r="17" spans="1:4" ht="20.25" customHeight="1">
      <c r="A17" s="212" t="s">
        <v>277</v>
      </c>
      <c r="B17" s="259" t="s">
        <v>299</v>
      </c>
      <c r="C17" s="260" t="s">
        <v>303</v>
      </c>
      <c r="D17" s="255" t="s">
        <v>221</v>
      </c>
    </row>
    <row r="18" spans="1:4" ht="21" customHeight="1">
      <c r="A18" s="212" t="s">
        <v>277</v>
      </c>
      <c r="B18" s="259" t="s">
        <v>299</v>
      </c>
      <c r="C18" s="260" t="s">
        <v>304</v>
      </c>
      <c r="D18" s="255" t="s">
        <v>221</v>
      </c>
    </row>
    <row r="19" spans="1:4" ht="21" customHeight="1">
      <c r="A19" s="212" t="s">
        <v>277</v>
      </c>
      <c r="B19" s="259" t="s">
        <v>305</v>
      </c>
      <c r="C19" s="260" t="s">
        <v>306</v>
      </c>
      <c r="D19" s="255" t="s">
        <v>221</v>
      </c>
    </row>
    <row r="20" spans="1:4" ht="38.5" customHeight="1">
      <c r="A20" s="212" t="s">
        <v>277</v>
      </c>
      <c r="B20" s="259" t="s">
        <v>307</v>
      </c>
      <c r="C20" s="732" t="s">
        <v>308</v>
      </c>
      <c r="D20" s="255" t="s">
        <v>221</v>
      </c>
    </row>
    <row r="21" spans="1:4">
      <c r="A21" s="212" t="s">
        <v>277</v>
      </c>
      <c r="B21" s="259" t="s">
        <v>281</v>
      </c>
      <c r="C21" s="260" t="s">
        <v>309</v>
      </c>
      <c r="D21" s="255" t="s">
        <v>221</v>
      </c>
    </row>
    <row r="22" spans="1:4" ht="27">
      <c r="A22" s="755" t="s">
        <v>277</v>
      </c>
      <c r="B22" s="259" t="s">
        <v>310</v>
      </c>
      <c r="C22" s="260" t="s">
        <v>311</v>
      </c>
      <c r="D22" s="261" t="s">
        <v>280</v>
      </c>
    </row>
    <row r="23" spans="1:4" ht="27">
      <c r="A23" s="755" t="s">
        <v>277</v>
      </c>
      <c r="B23" s="259" t="s">
        <v>312</v>
      </c>
      <c r="C23" s="260" t="s">
        <v>313</v>
      </c>
      <c r="D23" s="261" t="s">
        <v>280</v>
      </c>
    </row>
    <row r="24" spans="1:4">
      <c r="A24" s="755" t="s">
        <v>277</v>
      </c>
      <c r="B24" s="259" t="s">
        <v>314</v>
      </c>
      <c r="C24" s="260" t="s">
        <v>315</v>
      </c>
      <c r="D24" s="261" t="s">
        <v>280</v>
      </c>
    </row>
    <row r="25" spans="1:4">
      <c r="A25" s="755" t="s">
        <v>277</v>
      </c>
      <c r="B25" s="259" t="s">
        <v>316</v>
      </c>
      <c r="C25" s="260" t="s">
        <v>317</v>
      </c>
      <c r="D25" s="261" t="s">
        <v>280</v>
      </c>
    </row>
    <row r="26" spans="1:4" ht="57.65" customHeight="1">
      <c r="A26" s="755" t="s">
        <v>277</v>
      </c>
      <c r="B26" s="259" t="s">
        <v>318</v>
      </c>
      <c r="C26" s="260" t="s">
        <v>319</v>
      </c>
      <c r="D26" s="211" t="s">
        <v>84</v>
      </c>
    </row>
    <row r="27" spans="1:4" ht="63.65" customHeight="1">
      <c r="A27" s="755" t="s">
        <v>277</v>
      </c>
      <c r="B27" s="259" t="s">
        <v>320</v>
      </c>
      <c r="C27" s="260" t="s">
        <v>321</v>
      </c>
      <c r="D27" s="211" t="s">
        <v>84</v>
      </c>
    </row>
    <row r="28" spans="1:4" ht="24" customHeight="1">
      <c r="A28" s="755" t="s">
        <v>277</v>
      </c>
      <c r="B28" s="259" t="s">
        <v>322</v>
      </c>
      <c r="C28" s="260" t="s">
        <v>323</v>
      </c>
      <c r="D28" s="211" t="s">
        <v>324</v>
      </c>
    </row>
    <row r="29" spans="1:4" ht="54">
      <c r="A29" s="755" t="s">
        <v>277</v>
      </c>
      <c r="B29" s="259" t="s">
        <v>325</v>
      </c>
      <c r="C29" s="260" t="s">
        <v>326</v>
      </c>
      <c r="D29" s="255" t="s">
        <v>327</v>
      </c>
    </row>
    <row r="30" spans="1:4">
      <c r="A30" s="755" t="s">
        <v>277</v>
      </c>
      <c r="B30" s="259" t="s">
        <v>266</v>
      </c>
      <c r="C30" s="260" t="s">
        <v>328</v>
      </c>
      <c r="D30" s="255" t="s">
        <v>29</v>
      </c>
    </row>
    <row r="31" spans="1:4">
      <c r="A31" s="755" t="s">
        <v>277</v>
      </c>
      <c r="B31" s="259" t="s">
        <v>329</v>
      </c>
      <c r="C31" s="260" t="s">
        <v>330</v>
      </c>
      <c r="D31" s="255" t="s">
        <v>331</v>
      </c>
    </row>
    <row r="32" spans="1:4">
      <c r="A32" s="755" t="s">
        <v>277</v>
      </c>
      <c r="B32" s="259" t="s">
        <v>332</v>
      </c>
      <c r="C32" s="260" t="s">
        <v>333</v>
      </c>
      <c r="D32" s="255" t="s">
        <v>280</v>
      </c>
    </row>
    <row r="33" spans="1:4">
      <c r="A33" s="755" t="s">
        <v>277</v>
      </c>
      <c r="B33" s="259" t="s">
        <v>332</v>
      </c>
      <c r="C33" s="260" t="s">
        <v>334</v>
      </c>
      <c r="D33" s="255" t="s">
        <v>280</v>
      </c>
    </row>
    <row r="34" spans="1:4">
      <c r="A34" s="755" t="s">
        <v>277</v>
      </c>
      <c r="B34" s="259" t="s">
        <v>335</v>
      </c>
      <c r="C34" s="260" t="s">
        <v>336</v>
      </c>
      <c r="D34" s="255" t="s">
        <v>280</v>
      </c>
    </row>
    <row r="35" spans="1:4">
      <c r="A35" s="755" t="s">
        <v>277</v>
      </c>
      <c r="B35" s="259" t="s">
        <v>337</v>
      </c>
      <c r="C35" s="260" t="s">
        <v>338</v>
      </c>
      <c r="D35" s="255" t="s">
        <v>280</v>
      </c>
    </row>
    <row r="36" spans="1:4">
      <c r="A36" s="755" t="s">
        <v>277</v>
      </c>
      <c r="B36" s="259" t="s">
        <v>339</v>
      </c>
      <c r="C36" s="260" t="s">
        <v>340</v>
      </c>
      <c r="D36" s="255" t="s">
        <v>341</v>
      </c>
    </row>
    <row r="37" spans="1:4" ht="15" customHeight="1">
      <c r="A37" s="755" t="s">
        <v>277</v>
      </c>
      <c r="B37" s="259" t="s">
        <v>339</v>
      </c>
      <c r="C37" s="260" t="s">
        <v>342</v>
      </c>
      <c r="D37" s="255" t="s">
        <v>341</v>
      </c>
    </row>
    <row r="38" spans="1:4" ht="17.5" customHeight="1">
      <c r="A38" s="755" t="s">
        <v>277</v>
      </c>
      <c r="B38" s="259" t="s">
        <v>339</v>
      </c>
      <c r="C38" s="260" t="s">
        <v>343</v>
      </c>
      <c r="D38" s="255" t="s">
        <v>221</v>
      </c>
    </row>
    <row r="39" spans="1:4" ht="26.15" customHeight="1">
      <c r="A39" s="755" t="s">
        <v>277</v>
      </c>
      <c r="B39" s="259" t="s">
        <v>339</v>
      </c>
      <c r="C39" s="260" t="s">
        <v>344</v>
      </c>
      <c r="D39" s="255" t="s">
        <v>341</v>
      </c>
    </row>
    <row r="40" spans="1:4" ht="27">
      <c r="A40" s="755" t="s">
        <v>277</v>
      </c>
      <c r="B40" s="259" t="s">
        <v>335</v>
      </c>
      <c r="C40" s="260" t="s">
        <v>345</v>
      </c>
      <c r="D40" s="255" t="s">
        <v>221</v>
      </c>
    </row>
    <row r="41" spans="1:4" ht="27">
      <c r="A41" s="755" t="s">
        <v>277</v>
      </c>
      <c r="B41" s="259" t="s">
        <v>346</v>
      </c>
      <c r="C41" s="260" t="s">
        <v>347</v>
      </c>
      <c r="D41" s="255" t="s">
        <v>280</v>
      </c>
    </row>
    <row r="42" spans="1:4">
      <c r="A42" s="755" t="s">
        <v>277</v>
      </c>
      <c r="B42" s="259" t="s">
        <v>348</v>
      </c>
      <c r="C42" s="260" t="s">
        <v>349</v>
      </c>
      <c r="D42" s="255" t="s">
        <v>350</v>
      </c>
    </row>
    <row r="43" spans="1:4">
      <c r="A43" s="755" t="s">
        <v>277</v>
      </c>
      <c r="B43" s="259" t="s">
        <v>351</v>
      </c>
      <c r="C43" s="260" t="s">
        <v>352</v>
      </c>
      <c r="D43" s="255" t="s">
        <v>280</v>
      </c>
    </row>
    <row r="44" spans="1:4">
      <c r="A44" s="755"/>
      <c r="B44" s="136" t="s">
        <v>353</v>
      </c>
      <c r="C44" s="260" t="s">
        <v>354</v>
      </c>
      <c r="D44" s="255" t="s">
        <v>280</v>
      </c>
    </row>
    <row r="45" spans="1:4">
      <c r="A45" s="755"/>
      <c r="B45" s="136" t="s">
        <v>355</v>
      </c>
      <c r="C45" s="260" t="s">
        <v>356</v>
      </c>
      <c r="D45" s="255" t="s">
        <v>280</v>
      </c>
    </row>
    <row r="46" spans="1:4">
      <c r="A46" s="755" t="s">
        <v>277</v>
      </c>
      <c r="B46" s="259" t="s">
        <v>357</v>
      </c>
      <c r="C46" s="260" t="s">
        <v>358</v>
      </c>
      <c r="D46" s="255" t="s">
        <v>280</v>
      </c>
    </row>
    <row r="47" spans="1:4">
      <c r="A47" s="755" t="s">
        <v>277</v>
      </c>
      <c r="B47" s="259" t="s">
        <v>359</v>
      </c>
      <c r="C47" s="260" t="s">
        <v>360</v>
      </c>
      <c r="D47" s="255" t="s">
        <v>280</v>
      </c>
    </row>
    <row r="48" spans="1:4">
      <c r="A48" s="755" t="s">
        <v>277</v>
      </c>
      <c r="B48" s="259" t="s">
        <v>359</v>
      </c>
      <c r="C48" s="260" t="s">
        <v>361</v>
      </c>
      <c r="D48" s="255" t="s">
        <v>280</v>
      </c>
    </row>
    <row r="49" spans="1:4">
      <c r="A49" s="755" t="s">
        <v>277</v>
      </c>
      <c r="B49" s="259" t="s">
        <v>359</v>
      </c>
      <c r="C49" s="260" t="s">
        <v>362</v>
      </c>
      <c r="D49" s="255" t="s">
        <v>363</v>
      </c>
    </row>
    <row r="50" spans="1:4">
      <c r="A50" s="755" t="s">
        <v>277</v>
      </c>
      <c r="B50" s="259" t="s">
        <v>359</v>
      </c>
      <c r="C50" s="260" t="s">
        <v>364</v>
      </c>
      <c r="D50" s="255" t="s">
        <v>365</v>
      </c>
    </row>
    <row r="51" spans="1:4">
      <c r="A51" s="755" t="s">
        <v>277</v>
      </c>
      <c r="B51" s="259" t="s">
        <v>366</v>
      </c>
      <c r="C51" s="260" t="s">
        <v>367</v>
      </c>
      <c r="D51" s="255" t="s">
        <v>368</v>
      </c>
    </row>
    <row r="52" spans="1:4">
      <c r="A52" s="755" t="s">
        <v>277</v>
      </c>
      <c r="B52" s="259" t="s">
        <v>299</v>
      </c>
      <c r="C52" s="260" t="s">
        <v>369</v>
      </c>
      <c r="D52" s="255" t="s">
        <v>370</v>
      </c>
    </row>
    <row r="53" spans="1:4">
      <c r="A53" s="755" t="s">
        <v>277</v>
      </c>
      <c r="B53" s="259" t="s">
        <v>371</v>
      </c>
      <c r="C53" s="260" t="s">
        <v>372</v>
      </c>
      <c r="D53" s="255" t="s">
        <v>370</v>
      </c>
    </row>
    <row r="54" spans="1:4">
      <c r="A54" s="755" t="s">
        <v>277</v>
      </c>
      <c r="B54" s="259" t="s">
        <v>373</v>
      </c>
      <c r="C54" s="260" t="s">
        <v>374</v>
      </c>
      <c r="D54" s="211" t="s">
        <v>280</v>
      </c>
    </row>
    <row r="55" spans="1:4" ht="54">
      <c r="A55" s="755" t="s">
        <v>375</v>
      </c>
      <c r="B55" s="259" t="s">
        <v>376</v>
      </c>
      <c r="C55" s="260" t="s">
        <v>377</v>
      </c>
      <c r="D55" s="261" t="s">
        <v>280</v>
      </c>
    </row>
    <row r="56" spans="1:4" ht="67.5">
      <c r="A56" s="755" t="s">
        <v>375</v>
      </c>
      <c r="B56" s="259" t="s">
        <v>378</v>
      </c>
      <c r="C56" s="260" t="s">
        <v>379</v>
      </c>
      <c r="D56" s="261" t="s">
        <v>280</v>
      </c>
    </row>
    <row r="57" spans="1:4">
      <c r="A57" s="755" t="s">
        <v>375</v>
      </c>
      <c r="B57" s="259" t="s">
        <v>380</v>
      </c>
      <c r="C57" s="260" t="s">
        <v>381</v>
      </c>
      <c r="D57" s="261" t="s">
        <v>280</v>
      </c>
    </row>
    <row r="58" spans="1:4">
      <c r="A58" s="755" t="s">
        <v>375</v>
      </c>
      <c r="B58" s="259" t="s">
        <v>366</v>
      </c>
      <c r="C58" s="260" t="s">
        <v>382</v>
      </c>
      <c r="D58" s="261" t="s">
        <v>280</v>
      </c>
    </row>
    <row r="59" spans="1:4">
      <c r="A59" s="755" t="s">
        <v>375</v>
      </c>
      <c r="B59" s="259" t="s">
        <v>383</v>
      </c>
      <c r="C59" s="260" t="s">
        <v>384</v>
      </c>
      <c r="D59" s="261" t="s">
        <v>385</v>
      </c>
    </row>
    <row r="60" spans="1:4" ht="27">
      <c r="A60" s="755" t="s">
        <v>375</v>
      </c>
      <c r="B60" s="259" t="s">
        <v>335</v>
      </c>
      <c r="C60" s="260" t="s">
        <v>386</v>
      </c>
      <c r="D60" s="261" t="s">
        <v>385</v>
      </c>
    </row>
    <row r="61" spans="1:4">
      <c r="A61" s="755" t="s">
        <v>375</v>
      </c>
      <c r="B61" s="259" t="s">
        <v>387</v>
      </c>
      <c r="C61" s="260" t="s">
        <v>388</v>
      </c>
      <c r="D61" s="261" t="s">
        <v>389</v>
      </c>
    </row>
    <row r="62" spans="1:4">
      <c r="A62" s="755" t="s">
        <v>375</v>
      </c>
      <c r="B62" s="259" t="s">
        <v>376</v>
      </c>
      <c r="C62" s="260" t="s">
        <v>390</v>
      </c>
      <c r="D62" s="261" t="s">
        <v>221</v>
      </c>
    </row>
    <row r="63" spans="1:4">
      <c r="A63" s="755" t="s">
        <v>375</v>
      </c>
      <c r="B63" s="259" t="s">
        <v>391</v>
      </c>
      <c r="C63" s="260" t="s">
        <v>392</v>
      </c>
      <c r="D63" s="261" t="s">
        <v>280</v>
      </c>
    </row>
    <row r="64" spans="1:4">
      <c r="A64" s="755" t="s">
        <v>375</v>
      </c>
      <c r="B64" s="259" t="s">
        <v>270</v>
      </c>
      <c r="C64" s="260" t="s">
        <v>393</v>
      </c>
      <c r="D64" s="261" t="s">
        <v>280</v>
      </c>
    </row>
    <row r="65" spans="1:4">
      <c r="A65" s="755" t="s">
        <v>375</v>
      </c>
      <c r="B65" s="259" t="s">
        <v>270</v>
      </c>
      <c r="C65" s="260" t="s">
        <v>394</v>
      </c>
      <c r="D65" s="261" t="s">
        <v>280</v>
      </c>
    </row>
    <row r="66" spans="1:4">
      <c r="A66" s="755" t="s">
        <v>375</v>
      </c>
      <c r="B66" s="259" t="s">
        <v>271</v>
      </c>
      <c r="C66" s="260" t="s">
        <v>395</v>
      </c>
      <c r="D66" s="261" t="s">
        <v>280</v>
      </c>
    </row>
    <row r="67" spans="1:4">
      <c r="A67" s="755" t="s">
        <v>375</v>
      </c>
      <c r="B67" s="259" t="s">
        <v>332</v>
      </c>
      <c r="C67" s="260" t="s">
        <v>396</v>
      </c>
      <c r="D67" s="261" t="s">
        <v>280</v>
      </c>
    </row>
    <row r="68" spans="1:4">
      <c r="A68" s="755" t="s">
        <v>397</v>
      </c>
      <c r="B68" s="259" t="s">
        <v>398</v>
      </c>
      <c r="C68" s="260" t="s">
        <v>399</v>
      </c>
      <c r="D68" s="261" t="s">
        <v>280</v>
      </c>
    </row>
    <row r="69" spans="1:4">
      <c r="A69" s="755" t="s">
        <v>397</v>
      </c>
      <c r="B69" s="259" t="s">
        <v>400</v>
      </c>
      <c r="C69" s="260" t="s">
        <v>401</v>
      </c>
      <c r="D69" s="261" t="s">
        <v>280</v>
      </c>
    </row>
    <row r="70" spans="1:4">
      <c r="A70" s="755" t="s">
        <v>397</v>
      </c>
      <c r="B70" s="715" t="s">
        <v>400</v>
      </c>
      <c r="C70" s="260" t="s">
        <v>402</v>
      </c>
      <c r="D70" s="261" t="s">
        <v>280</v>
      </c>
    </row>
    <row r="71" spans="1:4">
      <c r="A71" s="755" t="s">
        <v>397</v>
      </c>
      <c r="B71" s="715" t="s">
        <v>400</v>
      </c>
      <c r="C71" s="260" t="s">
        <v>403</v>
      </c>
      <c r="D71" s="261" t="s">
        <v>280</v>
      </c>
    </row>
    <row r="72" spans="1:4">
      <c r="A72" s="755" t="s">
        <v>397</v>
      </c>
      <c r="B72" s="715" t="s">
        <v>400</v>
      </c>
      <c r="C72" s="260" t="s">
        <v>404</v>
      </c>
      <c r="D72" s="261" t="s">
        <v>280</v>
      </c>
    </row>
    <row r="73" spans="1:4" ht="27">
      <c r="A73" s="755" t="s">
        <v>397</v>
      </c>
      <c r="B73" s="715" t="s">
        <v>405</v>
      </c>
      <c r="C73" s="260" t="s">
        <v>406</v>
      </c>
      <c r="D73" s="261" t="s">
        <v>280</v>
      </c>
    </row>
    <row r="74" spans="1:4" ht="27">
      <c r="A74" s="755" t="s">
        <v>407</v>
      </c>
      <c r="B74" s="715" t="s">
        <v>408</v>
      </c>
      <c r="C74" s="260" t="s">
        <v>409</v>
      </c>
      <c r="D74" s="261" t="s">
        <v>410</v>
      </c>
    </row>
    <row r="75" spans="1:4" ht="27">
      <c r="A75" s="755" t="s">
        <v>407</v>
      </c>
      <c r="B75" s="715" t="s">
        <v>411</v>
      </c>
      <c r="C75" s="260" t="s">
        <v>412</v>
      </c>
      <c r="D75" s="261" t="s">
        <v>410</v>
      </c>
    </row>
    <row r="76" spans="1:4">
      <c r="A76" s="755" t="s">
        <v>407</v>
      </c>
      <c r="B76" s="715" t="s">
        <v>413</v>
      </c>
      <c r="C76" s="260" t="s">
        <v>414</v>
      </c>
      <c r="D76" s="261" t="s">
        <v>415</v>
      </c>
    </row>
    <row r="77" spans="1:4" ht="27">
      <c r="A77" s="755" t="s">
        <v>407</v>
      </c>
      <c r="B77" s="725" t="s">
        <v>416</v>
      </c>
      <c r="C77" s="733" t="s">
        <v>417</v>
      </c>
      <c r="D77" s="726" t="s">
        <v>415</v>
      </c>
    </row>
    <row r="78" spans="1:4" ht="54">
      <c r="A78" s="755" t="s">
        <v>407</v>
      </c>
      <c r="B78" s="259" t="s">
        <v>418</v>
      </c>
      <c r="C78" s="260" t="s">
        <v>419</v>
      </c>
      <c r="D78" s="211" t="s">
        <v>280</v>
      </c>
    </row>
    <row r="79" spans="1:4">
      <c r="A79" s="755" t="s">
        <v>407</v>
      </c>
      <c r="B79" s="259" t="s">
        <v>420</v>
      </c>
      <c r="C79" s="260" t="s">
        <v>421</v>
      </c>
      <c r="D79" s="211" t="s">
        <v>280</v>
      </c>
    </row>
    <row r="80" spans="1:4">
      <c r="A80" s="755" t="s">
        <v>407</v>
      </c>
      <c r="B80" s="259" t="s">
        <v>325</v>
      </c>
      <c r="C80" s="260" t="s">
        <v>422</v>
      </c>
      <c r="D80" s="211" t="s">
        <v>280</v>
      </c>
    </row>
    <row r="81" spans="1:4">
      <c r="A81" s="755" t="s">
        <v>407</v>
      </c>
      <c r="B81" s="259" t="s">
        <v>325</v>
      </c>
      <c r="C81" s="260" t="s">
        <v>423</v>
      </c>
      <c r="D81" s="211" t="s">
        <v>280</v>
      </c>
    </row>
    <row r="82" spans="1:4">
      <c r="A82" s="755" t="s">
        <v>407</v>
      </c>
      <c r="B82" s="259" t="s">
        <v>424</v>
      </c>
      <c r="C82" s="260" t="s">
        <v>425</v>
      </c>
      <c r="D82" s="211" t="s">
        <v>280</v>
      </c>
    </row>
    <row r="83" spans="1:4" ht="27">
      <c r="A83" s="755" t="s">
        <v>407</v>
      </c>
      <c r="B83" s="259" t="s">
        <v>426</v>
      </c>
      <c r="C83" s="260" t="s">
        <v>427</v>
      </c>
      <c r="D83" s="211" t="s">
        <v>280</v>
      </c>
    </row>
    <row r="84" spans="1:4">
      <c r="A84" s="758" t="s">
        <v>407</v>
      </c>
      <c r="B84" s="730" t="s">
        <v>428</v>
      </c>
      <c r="C84" s="733" t="s">
        <v>429</v>
      </c>
      <c r="D84" s="211" t="s">
        <v>280</v>
      </c>
    </row>
    <row r="85" spans="1:4">
      <c r="A85" s="755" t="s">
        <v>407</v>
      </c>
      <c r="B85" s="259" t="s">
        <v>271</v>
      </c>
      <c r="C85" s="734" t="s">
        <v>430</v>
      </c>
      <c r="D85" s="211" t="s">
        <v>280</v>
      </c>
    </row>
    <row r="86" spans="1:4">
      <c r="A86" s="756" t="s">
        <v>431</v>
      </c>
      <c r="B86" s="730" t="s">
        <v>299</v>
      </c>
      <c r="C86" s="735" t="s">
        <v>432</v>
      </c>
      <c r="D86" s="211" t="s">
        <v>280</v>
      </c>
    </row>
    <row r="87" spans="1:4">
      <c r="A87" s="756" t="s">
        <v>431</v>
      </c>
      <c r="B87" s="743" t="s">
        <v>433</v>
      </c>
      <c r="C87" s="736" t="s">
        <v>434</v>
      </c>
      <c r="D87" s="111" t="s">
        <v>435</v>
      </c>
    </row>
    <row r="88" spans="1:4">
      <c r="A88" s="756" t="s">
        <v>431</v>
      </c>
      <c r="B88" s="259" t="s">
        <v>436</v>
      </c>
      <c r="C88" s="741" t="s">
        <v>437</v>
      </c>
      <c r="D88" s="742" t="s">
        <v>280</v>
      </c>
    </row>
    <row r="89" spans="1:4">
      <c r="A89" s="756" t="s">
        <v>431</v>
      </c>
      <c r="B89" s="259" t="s">
        <v>438</v>
      </c>
      <c r="C89" s="734" t="s">
        <v>439</v>
      </c>
      <c r="D89" s="211" t="s">
        <v>440</v>
      </c>
    </row>
    <row r="90" spans="1:4" ht="40.5">
      <c r="A90" s="756" t="s">
        <v>431</v>
      </c>
      <c r="B90" s="740" t="s">
        <v>441</v>
      </c>
      <c r="C90" s="744" t="s">
        <v>442</v>
      </c>
      <c r="D90" s="187" t="s">
        <v>440</v>
      </c>
    </row>
    <row r="91" spans="1:4" ht="27">
      <c r="A91" s="756" t="s">
        <v>431</v>
      </c>
      <c r="B91" s="750" t="s">
        <v>443</v>
      </c>
      <c r="C91" s="757" t="s">
        <v>444</v>
      </c>
      <c r="D91" s="752" t="s">
        <v>445</v>
      </c>
    </row>
    <row r="92" spans="1:4">
      <c r="A92" s="756" t="s">
        <v>431</v>
      </c>
      <c r="B92" s="750" t="s">
        <v>446</v>
      </c>
      <c r="C92" s="111" t="s">
        <v>447</v>
      </c>
      <c r="D92" s="111" t="s">
        <v>448</v>
      </c>
    </row>
    <row r="93" spans="1:4" ht="27">
      <c r="A93" s="756" t="s">
        <v>431</v>
      </c>
      <c r="B93" s="750" t="s">
        <v>449</v>
      </c>
      <c r="C93" s="751" t="s">
        <v>450</v>
      </c>
      <c r="D93" s="111" t="s">
        <v>448</v>
      </c>
    </row>
    <row r="94" spans="1:4" ht="27">
      <c r="A94" s="756" t="s">
        <v>431</v>
      </c>
      <c r="B94" s="750" t="s">
        <v>451</v>
      </c>
      <c r="C94" s="751" t="s">
        <v>452</v>
      </c>
      <c r="D94" s="111" t="s">
        <v>453</v>
      </c>
    </row>
    <row r="95" spans="1:4">
      <c r="A95" s="756" t="s">
        <v>431</v>
      </c>
      <c r="B95" s="750" t="s">
        <v>454</v>
      </c>
      <c r="C95" s="751" t="s">
        <v>455</v>
      </c>
      <c r="D95" s="111" t="s">
        <v>453</v>
      </c>
    </row>
    <row r="96" spans="1:4">
      <c r="A96" s="756" t="s">
        <v>431</v>
      </c>
      <c r="B96" s="750" t="s">
        <v>316</v>
      </c>
      <c r="C96" s="751" t="s">
        <v>456</v>
      </c>
      <c r="D96" s="111" t="s">
        <v>457</v>
      </c>
    </row>
    <row r="97" spans="1:4" ht="126" customHeight="1">
      <c r="A97" s="756" t="s">
        <v>431</v>
      </c>
      <c r="B97" s="750" t="s">
        <v>259</v>
      </c>
      <c r="C97" s="751" t="s">
        <v>458</v>
      </c>
      <c r="D97" s="753" t="s">
        <v>459</v>
      </c>
    </row>
    <row r="98" spans="1:4" ht="46.5" customHeight="1">
      <c r="A98" s="756" t="s">
        <v>431</v>
      </c>
      <c r="B98" s="750" t="s">
        <v>460</v>
      </c>
      <c r="C98" s="754" t="s">
        <v>461</v>
      </c>
      <c r="D98" s="753" t="s">
        <v>457</v>
      </c>
    </row>
    <row r="99" spans="1:4">
      <c r="A99" s="756" t="s">
        <v>431</v>
      </c>
      <c r="B99" s="750" t="s">
        <v>332</v>
      </c>
      <c r="C99" s="754" t="s">
        <v>462</v>
      </c>
      <c r="D99" s="753" t="s">
        <v>463</v>
      </c>
    </row>
    <row r="100" spans="1:4">
      <c r="A100" s="756" t="s">
        <v>431</v>
      </c>
      <c r="B100" s="750" t="s">
        <v>464</v>
      </c>
      <c r="C100" s="754" t="s">
        <v>465</v>
      </c>
      <c r="D100" s="753" t="s">
        <v>280</v>
      </c>
    </row>
    <row r="101" spans="1:4">
      <c r="A101" s="756" t="s">
        <v>431</v>
      </c>
      <c r="B101" s="750" t="s">
        <v>316</v>
      </c>
      <c r="C101" s="754" t="s">
        <v>466</v>
      </c>
      <c r="D101" s="753" t="s">
        <v>280</v>
      </c>
    </row>
    <row r="102" spans="1:4">
      <c r="A102" s="756" t="s">
        <v>431</v>
      </c>
      <c r="B102" s="750" t="s">
        <v>316</v>
      </c>
      <c r="C102" s="754" t="s">
        <v>467</v>
      </c>
      <c r="D102" s="753" t="s">
        <v>468</v>
      </c>
    </row>
    <row r="103" spans="1:4">
      <c r="A103" s="756" t="s">
        <v>431</v>
      </c>
      <c r="B103" s="750" t="s">
        <v>270</v>
      </c>
      <c r="C103" s="754" t="s">
        <v>469</v>
      </c>
      <c r="D103" s="753" t="s">
        <v>280</v>
      </c>
    </row>
    <row r="104" spans="1:4" ht="27">
      <c r="A104" s="756" t="s">
        <v>431</v>
      </c>
      <c r="B104" s="750" t="s">
        <v>885</v>
      </c>
      <c r="C104" s="754" t="s">
        <v>886</v>
      </c>
      <c r="D104" s="753" t="s">
        <v>280</v>
      </c>
    </row>
    <row r="105" spans="1:4" ht="27">
      <c r="A105" s="756" t="s">
        <v>431</v>
      </c>
      <c r="B105" s="750" t="s">
        <v>264</v>
      </c>
      <c r="C105" s="754" t="s">
        <v>470</v>
      </c>
      <c r="D105" s="753" t="s">
        <v>280</v>
      </c>
    </row>
    <row r="106" spans="1:4">
      <c r="A106" s="771" t="s">
        <v>431</v>
      </c>
      <c r="B106" s="772" t="s">
        <v>471</v>
      </c>
      <c r="C106" s="773" t="s">
        <v>472</v>
      </c>
      <c r="D106" s="774" t="s">
        <v>204</v>
      </c>
    </row>
    <row r="107" spans="1:4" ht="14" customHeight="1">
      <c r="A107" s="211"/>
      <c r="B107" s="740" t="s">
        <v>909</v>
      </c>
      <c r="C107" s="217" t="s">
        <v>910</v>
      </c>
      <c r="D107" s="783" t="s">
        <v>908</v>
      </c>
    </row>
    <row r="108" spans="1:4" ht="27">
      <c r="A108" s="211"/>
      <c r="B108" s="740" t="s">
        <v>911</v>
      </c>
      <c r="C108" s="217" t="s">
        <v>912</v>
      </c>
      <c r="D108" s="783" t="s">
        <v>908</v>
      </c>
    </row>
    <row r="109" spans="1:4">
      <c r="A109" s="211"/>
      <c r="B109" s="740" t="s">
        <v>914</v>
      </c>
      <c r="C109" s="260" t="s">
        <v>915</v>
      </c>
      <c r="D109" s="783" t="s">
        <v>908</v>
      </c>
    </row>
    <row r="110" spans="1:4">
      <c r="A110" s="211"/>
      <c r="B110" s="740" t="s">
        <v>916</v>
      </c>
      <c r="C110" s="784" t="s">
        <v>917</v>
      </c>
      <c r="D110" s="783" t="s">
        <v>908</v>
      </c>
    </row>
    <row r="111" spans="1:4">
      <c r="C111" s="37"/>
    </row>
    <row r="112" spans="1:4">
      <c r="C112" s="37"/>
    </row>
    <row r="113" spans="3:3">
      <c r="C113" s="37"/>
    </row>
  </sheetData>
  <sheetProtection algorithmName="SHA-512" hashValue="B2IjyyaKOFV14cKuMnwlvE9Te0gqAlW/By6BmcaKYjHUjZlcB+NR7QmXM8lyWJ0Ejc89huJ9J1RLuPL622gPnw==" saltValue="dEgGsyDpQwJhLITNsgCazw==" spinCount="100000" sheet="1" objects="1" scenarios="1"/>
  <phoneticPr fontId="248" type="noConversion"/>
  <pageMargins left="0.70866141732283472" right="0.70866141732283472" top="0.74803149606299213" bottom="0.74803149606299213" header="0.31496062992125984" footer="0.31496062992125984"/>
  <pageSetup paperSize="8"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40" t="s">
        <v>473</v>
      </c>
      <c r="B1" s="311"/>
      <c r="C1" s="312"/>
      <c r="D1" s="312"/>
      <c r="E1" s="312"/>
      <c r="F1" s="312"/>
      <c r="G1" s="313"/>
      <c r="H1" s="313"/>
      <c r="I1" s="314"/>
      <c r="J1" s="314"/>
      <c r="K1" s="314"/>
      <c r="L1" s="315" t="s">
        <v>244</v>
      </c>
    </row>
    <row r="2" spans="1:20" ht="20">
      <c r="A2" s="281" t="str">
        <f>Licensee</f>
        <v>NPgY</v>
      </c>
      <c r="B2" s="316"/>
      <c r="C2" s="95"/>
      <c r="D2" s="95"/>
      <c r="E2" s="95"/>
      <c r="F2" s="95"/>
      <c r="G2" s="6"/>
      <c r="H2" s="6"/>
      <c r="I2" s="317"/>
      <c r="J2" s="317"/>
      <c r="K2" s="317"/>
      <c r="L2" s="318"/>
    </row>
    <row r="3" spans="1:20" ht="20">
      <c r="A3" s="95">
        <f>Reporting_Year</f>
        <v>2024</v>
      </c>
      <c r="B3" s="6" t="str">
        <f>IF(Licensee=Data!$B$86,"Only required to be completed to show Operational Performance",IF(Licensee=Data!$B$89,"not required to be completed",""))</f>
        <v/>
      </c>
      <c r="C3" s="6"/>
      <c r="D3" s="6"/>
      <c r="E3" s="6"/>
      <c r="F3" s="6"/>
      <c r="G3" s="6"/>
      <c r="H3" s="319"/>
      <c r="I3" s="320"/>
      <c r="J3" s="320"/>
      <c r="K3" s="320"/>
      <c r="L3" s="321"/>
    </row>
    <row r="4" spans="1:20" ht="12.75" customHeight="1"/>
    <row r="5" spans="1:20">
      <c r="D5" s="322" t="str">
        <f t="shared" ref="D5:H5" si="0">IF(D6&lt;=Reporting_Year,"Actuals","Forecast")</f>
        <v>Actuals</v>
      </c>
      <c r="E5" s="322" t="str">
        <f t="shared" si="0"/>
        <v>Forecast</v>
      </c>
      <c r="F5" s="322" t="str">
        <f t="shared" si="0"/>
        <v>Forecast</v>
      </c>
      <c r="G5" s="322" t="str">
        <f t="shared" si="0"/>
        <v>Forecast</v>
      </c>
      <c r="H5" s="322" t="str">
        <f t="shared" si="0"/>
        <v>Forecast</v>
      </c>
      <c r="I5" s="323"/>
      <c r="J5" s="323"/>
    </row>
    <row r="6" spans="1:20" ht="31.5" customHeight="1">
      <c r="C6" s="324"/>
      <c r="D6" s="325">
        <f>RIIO_2_start_date</f>
        <v>2024</v>
      </c>
      <c r="E6" s="325">
        <f>D6+1</f>
        <v>2025</v>
      </c>
      <c r="F6" s="325">
        <f>E6+1</f>
        <v>2026</v>
      </c>
      <c r="G6" s="325">
        <f t="shared" ref="G6:H6" si="1">F6+1</f>
        <v>2027</v>
      </c>
      <c r="H6" s="325">
        <f t="shared" si="1"/>
        <v>2028</v>
      </c>
      <c r="I6" s="10"/>
      <c r="J6" s="326" t="str">
        <f>"Cumulative to "&amp;'RFPR cover'!$C$9</f>
        <v>Cumulative to 2024</v>
      </c>
      <c r="K6" s="327" t="s">
        <v>474</v>
      </c>
    </row>
    <row r="7" spans="1:20">
      <c r="C7" s="324"/>
      <c r="D7" s="328" t="str">
        <f>RIIO_2_start_date-1&amp;"/"&amp;RIGHT(RIIO_2_start_date,2)</f>
        <v>2023/24</v>
      </c>
      <c r="E7" s="328" t="str">
        <f>RIIO_2_start_date&amp;"/"&amp;RIGHT(RIIO_2_start_date+1,2)</f>
        <v>2024/25</v>
      </c>
      <c r="F7" s="328" t="str">
        <f>RIIO_2_start_date+1&amp;"/"&amp;RIGHT(RIIO_2_start_date+2,2)</f>
        <v>2025/26</v>
      </c>
      <c r="G7" s="328" t="str">
        <f>RIIO_2_start_date+2&amp;"/"&amp;RIGHT(RIIO_2_start_date+3,2)</f>
        <v>2026/27</v>
      </c>
      <c r="H7" s="328" t="str">
        <f>RIIO_2_start_date+3&amp;"/"&amp;RIGHT(RIIO_2_start_date+4,2)</f>
        <v>2027/28</v>
      </c>
      <c r="I7" s="324"/>
      <c r="J7" s="324"/>
      <c r="K7" s="324"/>
      <c r="L7" s="324"/>
    </row>
    <row r="8" spans="1:20">
      <c r="C8" s="34"/>
      <c r="D8" s="34"/>
      <c r="E8" s="34"/>
      <c r="F8" s="34"/>
      <c r="G8" s="34"/>
      <c r="H8" s="34"/>
      <c r="I8" s="34"/>
      <c r="J8" s="34"/>
      <c r="K8" s="34"/>
      <c r="L8" s="34"/>
      <c r="M8" s="34"/>
      <c r="N8" s="34"/>
      <c r="O8" s="34"/>
      <c r="P8" s="34"/>
      <c r="Q8" s="34"/>
      <c r="R8" s="34"/>
      <c r="S8" s="34"/>
      <c r="T8" s="34"/>
    </row>
    <row r="9" spans="1:20">
      <c r="B9" s="329" t="s">
        <v>475</v>
      </c>
      <c r="C9" s="38"/>
      <c r="D9" s="38"/>
      <c r="E9" s="38"/>
      <c r="F9" s="38"/>
      <c r="G9" s="38"/>
      <c r="H9" s="38"/>
      <c r="I9" s="330"/>
      <c r="J9" s="38"/>
      <c r="K9" s="38"/>
      <c r="L9" s="38"/>
    </row>
    <row r="10" spans="1:20">
      <c r="B10" s="331"/>
      <c r="I10" s="10"/>
    </row>
    <row r="11" spans="1:20">
      <c r="B11" s="163" t="s">
        <v>476</v>
      </c>
      <c r="C11" s="162" t="s">
        <v>477</v>
      </c>
      <c r="D11" s="63">
        <f>IFERROR(Equity_Return_on_the_RAV/NPV_neutral_equity_element_of_RAV,0)</f>
        <v>5.2833944000000008E-2</v>
      </c>
      <c r="E11" s="63">
        <f>IFERROR(Equity_Return_on_the_RAV/NPV_neutral_equity_element_of_RAV,0)</f>
        <v>5.5875458000000003E-2</v>
      </c>
      <c r="F11" s="63">
        <f>IFERROR(Equity_Return_on_the_RAV/NPV_neutral_equity_element_of_RAV,0)</f>
        <v>5.5175427000000006E-2</v>
      </c>
      <c r="G11" s="63">
        <f>IFERROR(Equity_Return_on_the_RAV/NPV_neutral_equity_element_of_RAV,0)</f>
        <v>5.5320261000000003E-2</v>
      </c>
      <c r="H11" s="63">
        <f>IFERROR(Equity_Return_on_the_RAV/NPV_neutral_equity_element_of_RAV,0)</f>
        <v>5.5489234000000005E-2</v>
      </c>
      <c r="I11" s="332"/>
      <c r="J11" s="64">
        <f>IFERROR(AVERAGE(D65:INDEX(D65:H65,0,MATCH('RFPR cover'!$C$9,$D$6:$H$6,0)))/AVERAGE($D$90:INDEX($D$90:$H$90,0,MATCH('RFPR cover'!$C$9,$D$6:$H$6,0))),0)</f>
        <v>5.2833944000000008E-2</v>
      </c>
      <c r="K11" s="64">
        <f t="shared" ref="K11:K21" si="2">IFERROR(AVERAGE(D65:H65)/AVERAGE($D$90:$H$90),0)</f>
        <v>5.497704042507269E-2</v>
      </c>
    </row>
    <row r="12" spans="1:20">
      <c r="B12" s="163" t="str">
        <f t="shared" ref="B12:B18" si="3">B66</f>
        <v>Totex outperformance</v>
      </c>
      <c r="C12" s="162" t="s">
        <v>477</v>
      </c>
      <c r="D12" s="63">
        <f>IFERROR(Totex_outperformance/NPV_neutral_equity_element_of_RAV,0)</f>
        <v>-1.0130166891949309E-2</v>
      </c>
      <c r="E12" s="63">
        <f>IFERROR(Totex_outperformance/NPV_neutral_equity_element_of_RAV,0)</f>
        <v>-9.9134893954796102E-3</v>
      </c>
      <c r="F12" s="63">
        <f>IFERROR(Totex_outperformance/NPV_neutral_equity_element_of_RAV,0)</f>
        <v>-5.4314137664880956E-3</v>
      </c>
      <c r="G12" s="63">
        <f>IFERROR(Totex_outperformance/NPV_neutral_equity_element_of_RAV,0)</f>
        <v>5.6824880689620837E-3</v>
      </c>
      <c r="H12" s="63">
        <f>IFERROR(Totex_outperformance/NPV_neutral_equity_element_of_RAV,0)</f>
        <v>1.0443219968978975E-2</v>
      </c>
      <c r="I12" s="332"/>
      <c r="J12" s="64">
        <f>IFERROR(AVERAGE(D66:INDEX(D66:H66,0,MATCH('RFPR cover'!$C$9,$D$6:$H$6,0)))/AVERAGE($D$90:INDEX($D$90:$H$90,0,MATCH('RFPR cover'!$C$9,$D$6:$H$6,0))),0)</f>
        <v>-1.0130166891949309E-2</v>
      </c>
      <c r="K12" s="64">
        <f t="shared" si="2"/>
        <v>-1.3730909187535333E-3</v>
      </c>
      <c r="M12" s="332"/>
    </row>
    <row r="13" spans="1:20">
      <c r="A13" s="333" t="s">
        <v>478</v>
      </c>
      <c r="B13" s="163" t="str">
        <f t="shared" si="3"/>
        <v>Business Plan Incentive</v>
      </c>
      <c r="C13" s="162" t="s">
        <v>477</v>
      </c>
      <c r="D13" s="63">
        <f>IFERROR(Business_Plan_Incentive/NPV_neutral_equity_element_of_RAV,0)</f>
        <v>0</v>
      </c>
      <c r="E13" s="63">
        <f>IFERROR(Business_Plan_Incentive/NPV_neutral_equity_element_of_RAV,0)</f>
        <v>0</v>
      </c>
      <c r="F13" s="63">
        <f>IFERROR(Business_Plan_Incentive/NPV_neutral_equity_element_of_RAV,0)</f>
        <v>0</v>
      </c>
      <c r="G13" s="63">
        <f>IFERROR(Business_Plan_Incentive/NPV_neutral_equity_element_of_RAV,0)</f>
        <v>0</v>
      </c>
      <c r="H13" s="63">
        <f>IFERROR(Business_Plan_Incentive/NPV_neutral_equity_element_of_RAV,0)</f>
        <v>0</v>
      </c>
      <c r="I13" s="332"/>
      <c r="J13" s="64">
        <f>IFERROR(AVERAGE(D67:INDEX(D67:H67,0,MATCH('RFPR cover'!$C$9,$D$6:$H$6,0)))/AVERAGE($D$90:INDEX($D$90:$H$90,0,MATCH('RFPR cover'!$C$9,$D$6:$H$6,0))),0)</f>
        <v>0</v>
      </c>
      <c r="K13" s="64">
        <f t="shared" si="2"/>
        <v>0</v>
      </c>
    </row>
    <row r="14" spans="1:20">
      <c r="A14" s="333" t="s">
        <v>479</v>
      </c>
      <c r="B14" s="163" t="str">
        <f t="shared" si="3"/>
        <v>Time to connect ODI</v>
      </c>
      <c r="C14" s="162" t="s">
        <v>477</v>
      </c>
      <c r="D14" s="63">
        <f>IFERROR(ODI_1/NPV_neutral_equity_element_of_RAV,0)</f>
        <v>0</v>
      </c>
      <c r="E14" s="63">
        <f>IFERROR(ODI_1/NPV_neutral_equity_element_of_RAV,0)</f>
        <v>-6.9037273871591472E-5</v>
      </c>
      <c r="F14" s="63">
        <f>IFERROR(ODI_1/NPV_neutral_equity_element_of_RAV,0)</f>
        <v>-6.605261249722885E-5</v>
      </c>
      <c r="G14" s="63">
        <f>IFERROR(ODI_1/NPV_neutral_equity_element_of_RAV,0)</f>
        <v>-6.3175908571322986E-5</v>
      </c>
      <c r="H14" s="63">
        <f>IFERROR(ODI_1/NPV_neutral_equity_element_of_RAV,0)</f>
        <v>-6.0351075666306973E-5</v>
      </c>
      <c r="I14" s="332"/>
      <c r="J14" s="64">
        <f>IFERROR(AVERAGE(D68:INDEX(D68:H68,0,MATCH('RFPR cover'!$C$9,$D$6:$H$6,0)))/AVERAGE($D$90:INDEX($D$90:$H$90,0,MATCH('RFPR cover'!$C$9,$D$6:$H$6,0))),0)</f>
        <v>0</v>
      </c>
      <c r="K14" s="64">
        <f t="shared" si="2"/>
        <v>-5.2637267982027625E-5</v>
      </c>
    </row>
    <row r="15" spans="1:20">
      <c r="A15" s="333" t="s">
        <v>480</v>
      </c>
      <c r="B15" s="163" t="str">
        <f t="shared" si="3"/>
        <v>Broad Measure of Customer Service ODI</v>
      </c>
      <c r="C15" s="162" t="s">
        <v>477</v>
      </c>
      <c r="D15" s="63">
        <f>IFERROR(ODI_2/NPV_neutral_equity_element_of_RAV,0)</f>
        <v>-2.2350520985326009E-3</v>
      </c>
      <c r="E15" s="63">
        <f>IFERROR(ODI_2/NPV_neutral_equity_element_of_RAV,0)</f>
        <v>7.8019694748374894E-4</v>
      </c>
      <c r="F15" s="63">
        <f>IFERROR(ODI_2/NPV_neutral_equity_element_of_RAV,0)</f>
        <v>7.4646699896519094E-4</v>
      </c>
      <c r="G15" s="63">
        <f>IFERROR(ODI_2/NPV_neutral_equity_element_of_RAV,0)</f>
        <v>7.1395708807298476E-4</v>
      </c>
      <c r="H15" s="63">
        <f>IFERROR(ODI_2/NPV_neutral_equity_element_of_RAV,0)</f>
        <v>6.8203337663350321E-4</v>
      </c>
      <c r="I15" s="332"/>
      <c r="J15" s="64">
        <f>IFERROR(AVERAGE(D69:INDEX(D69:H69,0,MATCH('RFPR cover'!$C$9,$D$6:$H$6,0)))/AVERAGE($D$90:INDEX($D$90:$H$90,0,MATCH('RFPR cover'!$C$9,$D$6:$H$6,0))),0)</f>
        <v>-2.2350520985326009E-3</v>
      </c>
      <c r="K15" s="64">
        <f t="shared" si="2"/>
        <v>1.8400958604709348E-4</v>
      </c>
    </row>
    <row r="16" spans="1:20">
      <c r="A16" s="333" t="s">
        <v>481</v>
      </c>
      <c r="B16" s="163" t="str">
        <f t="shared" si="3"/>
        <v>Interruptions incentive scheme ODI</v>
      </c>
      <c r="C16" s="162" t="s">
        <v>477</v>
      </c>
      <c r="D16" s="63">
        <f>IFERROR(ODI_3/NPV_neutral_equity_element_of_RAV,0)</f>
        <v>-9.0532556633638982E-3</v>
      </c>
      <c r="E16" s="63">
        <f>IFERROR(ODI_3/NPV_neutral_equity_element_of_RAV,0)</f>
        <v>-3.1875333634497401E-3</v>
      </c>
      <c r="F16" s="63">
        <f>IFERROR(ODI_3/NPV_neutral_equity_element_of_RAV,0)</f>
        <v>-1.3871768208279997E-4</v>
      </c>
      <c r="G16" s="63">
        <f>IFERROR(ODI_3/NPV_neutral_equity_element_of_RAV,0)</f>
        <v>1.2688023373890215E-3</v>
      </c>
      <c r="H16" s="63">
        <f>IFERROR(ODI_3/NPV_neutral_equity_element_of_RAV,0)</f>
        <v>2.6688993281527005E-3</v>
      </c>
      <c r="I16" s="332"/>
      <c r="J16" s="64">
        <f>IFERROR(AVERAGE(D70:INDEX(D70:H70,0,MATCH('RFPR cover'!$C$9,$D$6:$H$6,0)))/AVERAGE($D$90:INDEX($D$90:$H$90,0,MATCH('RFPR cover'!$C$9,$D$6:$H$6,0))),0)</f>
        <v>-9.0532556633638982E-3</v>
      </c>
      <c r="K16" s="64">
        <f t="shared" si="2"/>
        <v>-1.4531649099751597E-3</v>
      </c>
    </row>
    <row r="17" spans="1:11">
      <c r="A17" s="333" t="s">
        <v>482</v>
      </c>
      <c r="B17" s="163" t="str">
        <f t="shared" si="3"/>
        <v>Major connections ODI</v>
      </c>
      <c r="C17" s="162" t="s">
        <v>477</v>
      </c>
      <c r="D17" s="63">
        <f>IFERROR(ODI_4/NPV_neutral_equity_element_of_RAV,0)</f>
        <v>0</v>
      </c>
      <c r="E17" s="63">
        <f>IFERROR(ODI_4/NPV_neutral_equity_element_of_RAV,0)</f>
        <v>0</v>
      </c>
      <c r="F17" s="63">
        <f>IFERROR(ODI_4/NPV_neutral_equity_element_of_RAV,0)</f>
        <v>0</v>
      </c>
      <c r="G17" s="63">
        <f>IFERROR(ODI_4/NPV_neutral_equity_element_of_RAV,0)</f>
        <v>0</v>
      </c>
      <c r="H17" s="63">
        <f>IFERROR(ODI_4/NPV_neutral_equity_element_of_RAV,0)</f>
        <v>0</v>
      </c>
      <c r="I17" s="332"/>
      <c r="J17" s="64">
        <f>IFERROR(AVERAGE(D71:INDEX(D71:H71,0,MATCH('RFPR cover'!$C$9,$D$6:$H$6,0)))/AVERAGE($D$90:INDEX($D$90:$H$90,0,MATCH('RFPR cover'!$C$9,$D$6:$H$6,0))),0)</f>
        <v>0</v>
      </c>
      <c r="K17" s="64">
        <f t="shared" si="2"/>
        <v>0</v>
      </c>
    </row>
    <row r="18" spans="1:11">
      <c r="A18" s="333" t="s">
        <v>483</v>
      </c>
      <c r="B18" s="163" t="str">
        <f t="shared" si="3"/>
        <v>Consumer Vulnerability ODI</v>
      </c>
      <c r="C18" s="162" t="s">
        <v>477</v>
      </c>
      <c r="D18" s="63">
        <f>IFERROR(ODI_5/NPV_neutral_equity_element_of_RAV,0)</f>
        <v>0</v>
      </c>
      <c r="E18" s="63">
        <f>IFERROR(ODI_5/NPV_neutral_equity_element_of_RAV,0)</f>
        <v>0</v>
      </c>
      <c r="F18" s="63">
        <f>IFERROR(ODI_5/NPV_neutral_equity_element_of_RAV,0)</f>
        <v>0</v>
      </c>
      <c r="G18" s="63">
        <f>IFERROR(ODI_5/NPV_neutral_equity_element_of_RAV,0)</f>
        <v>0</v>
      </c>
      <c r="H18" s="63">
        <f>IFERROR(ODI_5/NPV_neutral_equity_element_of_RAV,0)</f>
        <v>0</v>
      </c>
      <c r="I18" s="332"/>
      <c r="J18" s="64">
        <f>IFERROR(AVERAGE(D72:INDEX(D72:H72,0,MATCH('RFPR cover'!$C$9,$D$6:$H$6,0)))/AVERAGE($D$90:INDEX($D$90:$H$90,0,MATCH('RFPR cover'!$C$9,$D$6:$H$6,0))),0)</f>
        <v>0</v>
      </c>
      <c r="K18" s="64">
        <f t="shared" si="2"/>
        <v>0</v>
      </c>
    </row>
    <row r="19" spans="1:11">
      <c r="A19" s="333" t="s">
        <v>484</v>
      </c>
      <c r="B19" s="163" t="str">
        <f>B73</f>
        <v>Distribution System Operator ODI</v>
      </c>
      <c r="C19" s="162" t="s">
        <v>477</v>
      </c>
      <c r="D19" s="63">
        <f>IFERROR(ODI_6/NPV_neutral_equity_element_of_RAV,0)</f>
        <v>5.2064105654993093E-4</v>
      </c>
      <c r="E19" s="63">
        <f>IFERROR(ODI_6/NPV_neutral_equity_element_of_RAV,0)</f>
        <v>0</v>
      </c>
      <c r="F19" s="63">
        <f>IFERROR(ODI_6/NPV_neutral_equity_element_of_RAV,0)</f>
        <v>0</v>
      </c>
      <c r="G19" s="63">
        <f>IFERROR(ODI_6/NPV_neutral_equity_element_of_RAV,0)</f>
        <v>0</v>
      </c>
      <c r="H19" s="63">
        <f>IFERROR(ODI_6/NPV_neutral_equity_element_of_RAV,0)</f>
        <v>0</v>
      </c>
      <c r="I19" s="332"/>
      <c r="J19" s="64">
        <f>IFERROR(AVERAGE(D73:INDEX(D73:H73,0,MATCH('RFPR cover'!$C$9,$D$6:$H$6,0)))/AVERAGE($D$90:INDEX($D$90:$H$90,0,MATCH('RFPR cover'!$C$9,$D$6:$H$6,0))),0)</f>
        <v>5.2064105654993093E-4</v>
      </c>
      <c r="K19" s="64">
        <f t="shared" si="2"/>
        <v>9.5704710224736312E-5</v>
      </c>
    </row>
    <row r="20" spans="1:11">
      <c r="A20" s="333" t="s">
        <v>485</v>
      </c>
      <c r="B20" s="163" t="str">
        <f t="shared" ref="B20" si="4">B74</f>
        <v>Network innovation input for RORE</v>
      </c>
      <c r="C20" s="162" t="s">
        <v>477</v>
      </c>
      <c r="D20" s="63">
        <f>IFERROR(ORA_1/NPV_neutral_equity_element_of_RAV,0)</f>
        <v>-1.2187804277708198E-4</v>
      </c>
      <c r="E20" s="63">
        <f>IFERROR(ORA_1/NPV_neutral_equity_element_of_RAV,0)</f>
        <v>-1.598605749711978E-4</v>
      </c>
      <c r="F20" s="63">
        <f>IFERROR(ORA_1/NPV_neutral_equity_element_of_RAV,0)</f>
        <v>-1.2557420809123149E-4</v>
      </c>
      <c r="G20" s="63">
        <f>IFERROR(ORA_1/NPV_neutral_equity_element_of_RAV,0)</f>
        <v>-8.5197803702611357E-5</v>
      </c>
      <c r="H20" s="63">
        <f>IFERROR(ORA_1/NPV_neutral_equity_element_of_RAV,0)</f>
        <v>-6.6357101788052462E-5</v>
      </c>
      <c r="I20" s="332"/>
      <c r="J20" s="64">
        <f>IFERROR(AVERAGE(D74:INDEX(D74:H74,0,MATCH('RFPR cover'!$C$9,$D$6:$H$6,0)))/AVERAGE($D$90:INDEX($D$90:$H$90,0,MATCH('RFPR cover'!$C$9,$D$6:$H$6,0))),0)</f>
        <v>-1.2187804277708198E-4</v>
      </c>
      <c r="K20" s="64">
        <f t="shared" si="2"/>
        <v>-1.1010783994904807E-4</v>
      </c>
    </row>
    <row r="21" spans="1:11">
      <c r="A21" s="333" t="s">
        <v>486</v>
      </c>
      <c r="B21" s="163" t="str">
        <f t="shared" ref="B21" si="5">B75</f>
        <v>Carry-over Network innovation input for RORE</v>
      </c>
      <c r="C21" s="162" t="s">
        <v>477</v>
      </c>
      <c r="D21" s="63">
        <f>IFERROR(ORA_2/NPV_neutral_equity_element_of_RAV,0)</f>
        <v>-7.5300881425017705E-5</v>
      </c>
      <c r="E21" s="63">
        <f>IFERROR(ORA_2/NPV_neutral_equity_element_of_RAV,0)</f>
        <v>0</v>
      </c>
      <c r="F21" s="63">
        <f>IFERROR(ORA_2/NPV_neutral_equity_element_of_RAV,0)</f>
        <v>0</v>
      </c>
      <c r="G21" s="63">
        <f>IFERROR(ORA_2/NPV_neutral_equity_element_of_RAV,0)</f>
        <v>0</v>
      </c>
      <c r="H21" s="63">
        <f>IFERROR(ORA_2/NPV_neutral_equity_element_of_RAV,0)</f>
        <v>0</v>
      </c>
      <c r="I21" s="332"/>
      <c r="J21" s="64">
        <f>IFERROR(AVERAGE(D75:INDEX(D75:H75,0,MATCH('RFPR cover'!$C$9,$D$6:$H$6,0)))/AVERAGE($D$90:INDEX($D$90:$H$90,0,MATCH('RFPR cover'!$C$9,$D$6:$H$6,0))),0)</f>
        <v>-7.5300881425017705E-5</v>
      </c>
      <c r="K21" s="64">
        <f t="shared" si="2"/>
        <v>-1.3841876175121451E-5</v>
      </c>
    </row>
    <row r="22" spans="1:11">
      <c r="A22" s="333" t="s">
        <v>487</v>
      </c>
      <c r="B22" s="163" t="str">
        <f t="shared" ref="B22:B27" si="6">B76</f>
        <v>Strategic innovation input for RORE</v>
      </c>
      <c r="C22" s="162" t="s">
        <v>477</v>
      </c>
      <c r="D22" s="63">
        <f>IFERROR(ORA_3/NPV_neutral_equity_element_of_RAV,0)</f>
        <v>0</v>
      </c>
      <c r="E22" s="63">
        <f>IFERROR(ORA_3/NPV_neutral_equity_element_of_RAV,0)</f>
        <v>0</v>
      </c>
      <c r="F22" s="63">
        <f>IFERROR(ORA_3/NPV_neutral_equity_element_of_RAV,0)</f>
        <v>0</v>
      </c>
      <c r="G22" s="63">
        <f>IFERROR(ORA_3/NPV_neutral_equity_element_of_RAV,0)</f>
        <v>0</v>
      </c>
      <c r="H22" s="63">
        <f>IFERROR(ORA_3/NPV_neutral_equity_element_of_RAV,0)</f>
        <v>0</v>
      </c>
      <c r="I22" s="332"/>
      <c r="J22" s="64">
        <f>IFERROR(AVERAGE(D76:INDEX(D76:H76,0,MATCH('RFPR cover'!$C$9,$D$6:$H$6,0)))/AVERAGE($D$90:INDEX($D$90:$H$90,0,MATCH('RFPR cover'!$C$9,$D$6:$H$6,0))),0)</f>
        <v>0</v>
      </c>
      <c r="K22" s="64">
        <f>IFERROR(AVERAGE(D76:H76)/AVERAGE($D$90:$H$90),0)</f>
        <v>0</v>
      </c>
    </row>
    <row r="23" spans="1:11">
      <c r="A23" s="333" t="s">
        <v>488</v>
      </c>
      <c r="B23" s="163" t="str">
        <f t="shared" si="6"/>
        <v/>
      </c>
      <c r="C23" s="162" t="s">
        <v>477</v>
      </c>
      <c r="D23" s="63">
        <f>IFERROR(ORA_4/NPV_neutral_equity_element_of_RAV,0)</f>
        <v>0</v>
      </c>
      <c r="E23" s="63">
        <f>IFERROR(ORA_4/NPV_neutral_equity_element_of_RAV,0)</f>
        <v>0</v>
      </c>
      <c r="F23" s="63">
        <f>IFERROR(ORA_4/NPV_neutral_equity_element_of_RAV,0)</f>
        <v>0</v>
      </c>
      <c r="G23" s="63">
        <f>IFERROR(ORA_4/NPV_neutral_equity_element_of_RAV,0)</f>
        <v>0</v>
      </c>
      <c r="H23" s="63">
        <f>IFERROR(ORA_4/NPV_neutral_equity_element_of_RAV,0)</f>
        <v>0</v>
      </c>
      <c r="I23" s="332"/>
      <c r="J23" s="64">
        <f>IFERROR(AVERAGE(D77:INDEX(D77:H77,0,MATCH('RFPR cover'!$C$9,$D$6:$H$6,0)))/AVERAGE($D$90:INDEX($D$90:$H$90,0,MATCH('RFPR cover'!$C$9,$D$6:$H$6,0))),0)</f>
        <v>0</v>
      </c>
      <c r="K23" s="64">
        <f t="shared" ref="K23:K28" si="7">IFERROR(AVERAGE(D77:H77)/AVERAGE($D$90:$H$90),0)</f>
        <v>0</v>
      </c>
    </row>
    <row r="24" spans="1:11">
      <c r="A24" s="333" t="s">
        <v>489</v>
      </c>
      <c r="B24" s="163" t="str">
        <f t="shared" si="6"/>
        <v/>
      </c>
      <c r="C24" s="162" t="s">
        <v>477</v>
      </c>
      <c r="D24" s="63">
        <f>IFERROR(ORA_5/NPV_neutral_equity_element_of_RAV,0)</f>
        <v>0</v>
      </c>
      <c r="E24" s="63">
        <f>IFERROR(ORA_5/NPV_neutral_equity_element_of_RAV,0)</f>
        <v>0</v>
      </c>
      <c r="F24" s="63">
        <f>IFERROR(ORA_5/NPV_neutral_equity_element_of_RAV,0)</f>
        <v>0</v>
      </c>
      <c r="G24" s="63">
        <f>IFERROR(ORA_5/NPV_neutral_equity_element_of_RAV,0)</f>
        <v>0</v>
      </c>
      <c r="H24" s="63">
        <f>IFERROR(ORA_5/NPV_neutral_equity_element_of_RAV,0)</f>
        <v>0</v>
      </c>
      <c r="I24" s="332"/>
      <c r="J24" s="64">
        <f>IFERROR(AVERAGE(D78:INDEX(D78:H78,0,MATCH('RFPR cover'!$C$9,$D$6:$H$6,0)))/AVERAGE($D$90:INDEX($D$90:$H$90,0,MATCH('RFPR cover'!$C$9,$D$6:$H$6,0))),0)</f>
        <v>0</v>
      </c>
      <c r="K24" s="64">
        <f t="shared" si="7"/>
        <v>0</v>
      </c>
    </row>
    <row r="25" spans="1:11">
      <c r="A25" s="333" t="s">
        <v>490</v>
      </c>
      <c r="B25" s="163" t="str">
        <f t="shared" si="6"/>
        <v/>
      </c>
      <c r="C25" s="162" t="s">
        <v>477</v>
      </c>
      <c r="D25" s="63">
        <f>IFERROR(ORA_6/NPV_neutral_equity_element_of_RAV,0)</f>
        <v>0</v>
      </c>
      <c r="E25" s="63">
        <f>IFERROR(ORA_6/NPV_neutral_equity_element_of_RAV,0)</f>
        <v>0</v>
      </c>
      <c r="F25" s="63">
        <f>IFERROR(ORA_6/NPV_neutral_equity_element_of_RAV,0)</f>
        <v>0</v>
      </c>
      <c r="G25" s="63">
        <f>IFERROR(ORA_6/NPV_neutral_equity_element_of_RAV,0)</f>
        <v>0</v>
      </c>
      <c r="H25" s="63">
        <f>IFERROR(ORA_6/NPV_neutral_equity_element_of_RAV,0)</f>
        <v>0</v>
      </c>
      <c r="I25" s="332"/>
      <c r="J25" s="64">
        <f>IFERROR(AVERAGE(D79:INDEX(D79:H79,0,MATCH('RFPR cover'!$C$9,$D$6:$H$6,0)))/AVERAGE($D$90:INDEX($D$90:$H$90,0,MATCH('RFPR cover'!$C$9,$D$6:$H$6,0))),0)</f>
        <v>0</v>
      </c>
      <c r="K25" s="64">
        <f t="shared" si="7"/>
        <v>0</v>
      </c>
    </row>
    <row r="26" spans="1:11">
      <c r="A26" s="333" t="s">
        <v>491</v>
      </c>
      <c r="B26" s="163" t="str">
        <f t="shared" si="6"/>
        <v/>
      </c>
      <c r="C26" s="162" t="s">
        <v>477</v>
      </c>
      <c r="D26" s="63">
        <f>IFERROR(ORA_7/NPV_neutral_equity_element_of_RAV,0)</f>
        <v>0</v>
      </c>
      <c r="E26" s="63">
        <f>IFERROR(ORA_7/NPV_neutral_equity_element_of_RAV,0)</f>
        <v>0</v>
      </c>
      <c r="F26" s="63">
        <f>IFERROR(ORA_7/NPV_neutral_equity_element_of_RAV,0)</f>
        <v>0</v>
      </c>
      <c r="G26" s="63">
        <f>IFERROR(ORA_7/NPV_neutral_equity_element_of_RAV,0)</f>
        <v>0</v>
      </c>
      <c r="H26" s="63">
        <f>IFERROR(ORA_7/NPV_neutral_equity_element_of_RAV,0)</f>
        <v>0</v>
      </c>
      <c r="I26" s="332"/>
      <c r="J26" s="64">
        <f>IFERROR(AVERAGE(D80:INDEX(D80:H80,0,MATCH('RFPR cover'!$C$9,$D$6:$H$6,0)))/AVERAGE($D$90:INDEX($D$90:$H$90,0,MATCH('RFPR cover'!$C$9,$D$6:$H$6,0))),0)</f>
        <v>0</v>
      </c>
      <c r="K26" s="64">
        <f t="shared" si="7"/>
        <v>0</v>
      </c>
    </row>
    <row r="27" spans="1:11">
      <c r="A27" s="333" t="s">
        <v>492</v>
      </c>
      <c r="B27" s="163" t="str">
        <f t="shared" si="6"/>
        <v/>
      </c>
      <c r="C27" s="162" t="s">
        <v>477</v>
      </c>
      <c r="D27" s="63">
        <f>IFERROR(ORA_8/NPV_neutral_equity_element_of_RAV,0)</f>
        <v>0</v>
      </c>
      <c r="E27" s="63">
        <f>IFERROR(ORA_8/NPV_neutral_equity_element_of_RAV,0)</f>
        <v>0</v>
      </c>
      <c r="F27" s="63">
        <f>IFERROR(ORA_8/NPV_neutral_equity_element_of_RAV,0)</f>
        <v>0</v>
      </c>
      <c r="G27" s="63">
        <f>IFERROR(ORA_8/NPV_neutral_equity_element_of_RAV,0)</f>
        <v>0</v>
      </c>
      <c r="H27" s="63">
        <f>IFERROR(ORA_8/NPV_neutral_equity_element_of_RAV,0)</f>
        <v>0</v>
      </c>
      <c r="I27" s="332"/>
      <c r="J27" s="64">
        <f>IFERROR(AVERAGE(D81:INDEX(D81:H81,0,MATCH('RFPR cover'!$C$9,$D$6:$H$6,0)))/AVERAGE($D$90:INDEX($D$90:$H$90,0,MATCH('RFPR cover'!$C$9,$D$6:$H$6,0))),0)</f>
        <v>0</v>
      </c>
      <c r="K27" s="64">
        <f t="shared" si="7"/>
        <v>0</v>
      </c>
    </row>
    <row r="28" spans="1:11" ht="14" thickBot="1">
      <c r="B28" s="163" t="str">
        <f t="shared" ref="B28:B30" si="8">B82</f>
        <v>Penalties and fines (Other Activities)</v>
      </c>
      <c r="C28" s="162" t="s">
        <v>477</v>
      </c>
      <c r="D28" s="334">
        <f>IFERROR(Penalties_and_fines/NPV_neutral_equity_element_of_RAV,0)</f>
        <v>-9.8555607157809117E-4</v>
      </c>
      <c r="E28" s="334">
        <f>IFERROR(Penalties_and_fines/NPV_neutral_equity_element_of_RAV,0)</f>
        <v>-5.8025379264261309E-4</v>
      </c>
      <c r="F28" s="334">
        <f>IFERROR(Penalties_and_fines/NPV_neutral_equity_element_of_RAV,0)</f>
        <v>-5.4663128387664735E-4</v>
      </c>
      <c r="G28" s="334">
        <f>IFERROR(Penalties_and_fines/NPV_neutral_equity_element_of_RAV,0)</f>
        <v>-3.1458802218757077E-4</v>
      </c>
      <c r="H28" s="334">
        <f>IFERROR(Penalties_and_fines/NPV_neutral_equity_element_of_RAV,0)</f>
        <v>-2.9922999603308043E-4</v>
      </c>
      <c r="I28" s="332"/>
      <c r="J28" s="64">
        <f>IFERROR(AVERAGE(D82:INDEX(D82:H82,0,MATCH('RFPR cover'!$C$9,$D$6:$H$6,0)))/AVERAGE($D$90:INDEX($D$90:$H$90,0,MATCH('RFPR cover'!$C$9,$D$6:$H$6,0))),0)</f>
        <v>-9.8555607157809117E-4</v>
      </c>
      <c r="K28" s="64">
        <f t="shared" si="7"/>
        <v>-5.3144500840800071E-4</v>
      </c>
    </row>
    <row r="29" spans="1:11" ht="14" thickBot="1">
      <c r="B29" s="164" t="str">
        <f t="shared" si="8"/>
        <v>RoRE - Operational performance</v>
      </c>
      <c r="C29" s="61" t="s">
        <v>477</v>
      </c>
      <c r="D29" s="151">
        <f>SUM(D11:D28)</f>
        <v>3.0753375406923949E-2</v>
      </c>
      <c r="E29" s="152">
        <f t="shared" ref="E29:H29" si="9">SUM(E11:E28)</f>
        <v>4.274548054706899E-2</v>
      </c>
      <c r="F29" s="152">
        <f t="shared" si="9"/>
        <v>4.9613504445929185E-2</v>
      </c>
      <c r="G29" s="152">
        <f t="shared" si="9"/>
        <v>6.2522546759962591E-2</v>
      </c>
      <c r="H29" s="153">
        <f t="shared" si="9"/>
        <v>6.8857448500277751E-2</v>
      </c>
      <c r="I29" s="335"/>
      <c r="J29" s="155">
        <f>SUM(J11:J28)</f>
        <v>3.0753375406923949E-2</v>
      </c>
      <c r="K29" s="153">
        <f>SUM(K11:K28)</f>
        <v>5.1722466900101634E-2</v>
      </c>
    </row>
    <row r="30" spans="1:11">
      <c r="B30" s="163" t="str">
        <f t="shared" si="8"/>
        <v>Debt performance - at notional gearing</v>
      </c>
      <c r="C30" s="162" t="s">
        <v>477</v>
      </c>
      <c r="D30" s="336">
        <f>IFERROR(Debt_performance___at_notional_gearing/NPV_neutral_equity_element_of_RAV,0)</f>
        <v>0.10630086262424519</v>
      </c>
      <c r="E30" s="336">
        <f>IFERROR(Debt_performance___at_notional_gearing/NPV_neutral_equity_element_of_RAV,0)</f>
        <v>3.0066233587393205E-2</v>
      </c>
      <c r="F30" s="336">
        <f>IFERROR(Debt_performance___at_notional_gearing/NPV_neutral_equity_element_of_RAV,0)</f>
        <v>-1.0798878757508584E-3</v>
      </c>
      <c r="G30" s="336">
        <f>IFERROR(Debt_performance___at_notional_gearing/NPV_neutral_equity_element_of_RAV,0)</f>
        <v>2.3940613446249638E-3</v>
      </c>
      <c r="H30" s="336">
        <f>IFERROR(Debt_performance___at_notional_gearing/NPV_neutral_equity_element_of_RAV,0)</f>
        <v>1.1661534051226787E-3</v>
      </c>
      <c r="I30" s="332"/>
      <c r="J30" s="154">
        <f>IFERROR(AVERAGE(D84:INDEX(D84:H84,0,MATCH('RFPR cover'!$C$9,$D$6:$H$6,0)))/AVERAGE($D$90:INDEX($D$90:$H$90,0,MATCH('RFPR cover'!$C$9,$D$6:$H$6,0))),0)</f>
        <v>0.10630086262424519</v>
      </c>
      <c r="K30" s="154">
        <f>IFERROR(AVERAGE(D84:H84)/AVERAGE($D$90:$H$90),0)</f>
        <v>2.5809108036556228E-2</v>
      </c>
    </row>
    <row r="31" spans="1:11" ht="14" thickBot="1">
      <c r="B31" s="163" t="str">
        <f>B86</f>
        <v>Tax performance - at notional gearing</v>
      </c>
      <c r="C31" s="162" t="s">
        <v>477</v>
      </c>
      <c r="D31" s="334">
        <f>IFERROR(Tax_performance___at_notional_gearing/NPV_neutral_equity_element_of_RAV,0)</f>
        <v>-1.2177222813120985E-2</v>
      </c>
      <c r="E31" s="334">
        <f>IFERROR(Tax_performance___at_notional_gearing/NPV_neutral_equity_element_of_RAV,0)</f>
        <v>-3.7380804954331129E-3</v>
      </c>
      <c r="F31" s="334">
        <f>IFERROR(Tax_performance___at_notional_gearing/NPV_neutral_equity_element_of_RAV,0)</f>
        <v>6.1407181533175241E-4</v>
      </c>
      <c r="G31" s="334">
        <f>IFERROR(Tax_performance___at_notional_gearing/NPV_neutral_equity_element_of_RAV,0)</f>
        <v>9.5926220664813722E-5</v>
      </c>
      <c r="H31" s="334">
        <f>IFERROR(Tax_performance___at_notional_gearing/NPV_neutral_equity_element_of_RAV,0)</f>
        <v>4.8592428679007345E-4</v>
      </c>
      <c r="I31" s="332"/>
      <c r="J31" s="33">
        <f>IFERROR(AVERAGE(D86:INDEX(D86:H86,0,MATCH('RFPR cover'!$C$9,$D$6:$H$6,0)))/AVERAGE($D$90:INDEX($D$90:$H$90,0,MATCH('RFPR cover'!$C$9,$D$6:$H$6,0))),0)</f>
        <v>-1.2177222813120985E-2</v>
      </c>
      <c r="K31" s="33">
        <f>IFERROR(AVERAGE(D86:H86)/AVERAGE($D$90:$H$90),0)</f>
        <v>-2.7026769505412757E-3</v>
      </c>
    </row>
    <row r="32" spans="1:11" ht="14" thickBot="1">
      <c r="B32" s="164" t="str">
        <f>B88</f>
        <v>RoRE - including financing and tax</v>
      </c>
      <c r="C32" s="61" t="s">
        <v>477</v>
      </c>
      <c r="D32" s="151">
        <f>SUM(D29:D31)</f>
        <v>0.12487701521804816</v>
      </c>
      <c r="E32" s="152">
        <f t="shared" ref="E32:H32" si="10">SUM(E29:E31)</f>
        <v>6.9073633639029075E-2</v>
      </c>
      <c r="F32" s="152">
        <f t="shared" si="10"/>
        <v>4.9147688385510084E-2</v>
      </c>
      <c r="G32" s="152">
        <f t="shared" si="10"/>
        <v>6.5012534325252377E-2</v>
      </c>
      <c r="H32" s="153">
        <f t="shared" si="10"/>
        <v>7.0509526192190503E-2</v>
      </c>
      <c r="I32" s="335"/>
      <c r="J32" s="155">
        <f>SUM(J29:J31)</f>
        <v>0.12487701521804816</v>
      </c>
      <c r="K32" s="153">
        <f>SUM(K29:K31)</f>
        <v>7.4828897986116583E-2</v>
      </c>
    </row>
    <row r="36" spans="1:13">
      <c r="B36" s="329" t="s">
        <v>493</v>
      </c>
      <c r="C36" s="38"/>
      <c r="D36" s="38"/>
      <c r="E36" s="38"/>
      <c r="F36" s="38"/>
      <c r="G36" s="38"/>
      <c r="H36" s="38"/>
      <c r="I36" s="330"/>
      <c r="J36" s="38"/>
      <c r="K36" s="38"/>
      <c r="L36" s="38"/>
    </row>
    <row r="37" spans="1:13">
      <c r="B37" s="331"/>
      <c r="I37" s="10"/>
    </row>
    <row r="38" spans="1:13">
      <c r="B38" s="163" t="s">
        <v>476</v>
      </c>
      <c r="C38" s="162" t="s">
        <v>477</v>
      </c>
      <c r="D38" s="63">
        <f>IFERROR(Equity_Return_on_the_RAV/Equity_RAV_based_on_actual_gearing,0)</f>
        <v>4.0735811665602827E-2</v>
      </c>
      <c r="E38" s="63">
        <f>IFERROR(Equity_Return_on_the_RAV/Equity_RAV_based_on_actual_gearing,0)</f>
        <v>4.6032860956569145E-2</v>
      </c>
      <c r="F38" s="63">
        <f>IFERROR(Equity_Return_on_the_RAV/Equity_RAV_based_on_actual_gearing,0)</f>
        <v>4.8057993756330145E-2</v>
      </c>
      <c r="G38" s="63">
        <f>IFERROR(Equity_Return_on_the_RAV/Equity_RAV_based_on_actual_gearing,0)</f>
        <v>5.4785212623264405E-2</v>
      </c>
      <c r="H38" s="63">
        <f>IFERROR(Equity_Return_on_the_RAV/Equity_RAV_based_on_actual_gearing,0)</f>
        <v>5.484069287882419E-2</v>
      </c>
      <c r="I38" s="332"/>
      <c r="J38" s="30">
        <f>IFERROR(AVERAGE(D65:INDEX(D65:H65,0,MATCH('RFPR cover'!$C$9,$D$6:$H$6,0)))/AVERAGE($D$91:INDEX($D$91:$H$91,0,MATCH('RFPR cover'!$C$9,$D$6:$H$6,0))),0)</f>
        <v>4.0735811665602827E-2</v>
      </c>
      <c r="K38" s="64">
        <f t="shared" ref="K38:K48" si="11">IFERROR(AVERAGE(D65:H65)/AVERAGE($D$91:$H$91),0)</f>
        <v>4.8675197506714708E-2</v>
      </c>
      <c r="M38" s="337"/>
    </row>
    <row r="39" spans="1:13">
      <c r="B39" s="163" t="str">
        <f t="shared" ref="B39:B46" si="12">B66</f>
        <v>Totex outperformance</v>
      </c>
      <c r="C39" s="162" t="s">
        <v>477</v>
      </c>
      <c r="D39" s="63">
        <f>IFERROR(Totex_outperformance/Equity_RAV_based_on_actual_gearing,0)</f>
        <v>-7.8105198932635449E-3</v>
      </c>
      <c r="E39" s="63">
        <f>IFERROR(Totex_outperformance/Equity_RAV_based_on_actual_gearing,0)</f>
        <v>-8.1672042658967672E-3</v>
      </c>
      <c r="F39" s="63">
        <f>IFERROR(Totex_outperformance/Equity_RAV_based_on_actual_gearing,0)</f>
        <v>-4.7307807672776229E-3</v>
      </c>
      <c r="G39" s="63">
        <f>IFERROR(Totex_outperformance/Equity_RAV_based_on_actual_gearing,0)</f>
        <v>5.6275279881136302E-3</v>
      </c>
      <c r="H39" s="63">
        <f>IFERROR(Totex_outperformance/Equity_RAV_based_on_actual_gearing,0)</f>
        <v>1.0321162822049045E-2</v>
      </c>
      <c r="I39" s="332"/>
      <c r="J39" s="30">
        <f>IFERROR(AVERAGE(D66:INDEX(D66:H66,0,MATCH('RFPR cover'!$C$9,$D$6:$H$6,0)))/AVERAGE($D$91:INDEX($D$91:$H$91,0,MATCH('RFPR cover'!$C$9,$D$6:$H$6,0))),0)</f>
        <v>-7.8105198932635449E-3</v>
      </c>
      <c r="K39" s="64">
        <f t="shared" si="11"/>
        <v>-1.2156978831207468E-3</v>
      </c>
    </row>
    <row r="40" spans="1:13">
      <c r="A40" s="333" t="s">
        <v>478</v>
      </c>
      <c r="B40" s="163" t="str">
        <f t="shared" si="12"/>
        <v>Business Plan Incentive</v>
      </c>
      <c r="C40" s="162" t="s">
        <v>477</v>
      </c>
      <c r="D40" s="63">
        <f>IFERROR(Business_Plan_Incentive/Equity_RAV_based_on_actual_gearing,0)</f>
        <v>0</v>
      </c>
      <c r="E40" s="63">
        <f>IFERROR(Business_Plan_Incentive/Equity_RAV_based_on_actual_gearing,0)</f>
        <v>0</v>
      </c>
      <c r="F40" s="63">
        <f>IFERROR(Business_Plan_Incentive/Equity_RAV_based_on_actual_gearing,0)</f>
        <v>0</v>
      </c>
      <c r="G40" s="63">
        <f>IFERROR(Business_Plan_Incentive/Equity_RAV_based_on_actual_gearing,0)</f>
        <v>0</v>
      </c>
      <c r="H40" s="63">
        <f>IFERROR(Business_Plan_Incentive/Equity_RAV_based_on_actual_gearing,0)</f>
        <v>0</v>
      </c>
      <c r="I40" s="332"/>
      <c r="J40" s="30">
        <f>IFERROR(AVERAGE(D67:INDEX(D67:H67,0,MATCH('RFPR cover'!$C$9,$D$6:$H$6,0)))/AVERAGE($D$91:INDEX($D$91:$H$91,0,MATCH('RFPR cover'!$C$9,$D$6:$H$6,0))),0)</f>
        <v>0</v>
      </c>
      <c r="K40" s="64">
        <f t="shared" si="11"/>
        <v>0</v>
      </c>
    </row>
    <row r="41" spans="1:13">
      <c r="A41" s="333" t="s">
        <v>479</v>
      </c>
      <c r="B41" s="163" t="str">
        <f t="shared" si="12"/>
        <v>Time to connect ODI</v>
      </c>
      <c r="C41" s="162" t="s">
        <v>477</v>
      </c>
      <c r="D41" s="63">
        <f>IFERROR(ODI_1/Equity_RAV_based_on_actual_gearing,0)</f>
        <v>0</v>
      </c>
      <c r="E41" s="63">
        <f>IFERROR(ODI_1/Equity_RAV_based_on_actual_gearing,0)</f>
        <v>-5.6876191134783269E-5</v>
      </c>
      <c r="F41" s="63">
        <f>IFERROR(ODI_1/Equity_RAV_based_on_actual_gearing,0)</f>
        <v>-5.7532061128971748E-5</v>
      </c>
      <c r="G41" s="63">
        <f>IFERROR(ODI_1/Equity_RAV_based_on_actual_gearing,0)</f>
        <v>-6.2564881675953077E-5</v>
      </c>
      <c r="H41" s="63">
        <f>IFERROR(ODI_1/Equity_RAV_based_on_actual_gearing,0)</f>
        <v>-5.9645710833251367E-5</v>
      </c>
      <c r="I41" s="332"/>
      <c r="J41" s="30">
        <f>IFERROR(AVERAGE(D68:INDEX(D68:H68,0,MATCH('RFPR cover'!$C$9,$D$6:$H$6,0)))/AVERAGE($D$91:INDEX($D$91:$H$91,0,MATCH('RFPR cover'!$C$9,$D$6:$H$6,0))),0)</f>
        <v>0</v>
      </c>
      <c r="K41" s="64">
        <f t="shared" si="11"/>
        <v>-4.6603625721376345E-5</v>
      </c>
    </row>
    <row r="42" spans="1:13">
      <c r="A42" s="333" t="s">
        <v>480</v>
      </c>
      <c r="B42" s="163" t="str">
        <f t="shared" si="12"/>
        <v>Broad Measure of Customer Service ODI</v>
      </c>
      <c r="C42" s="162" t="s">
        <v>477</v>
      </c>
      <c r="D42" s="63">
        <f>IFERROR(ODI_2/Equity_RAV_based_on_actual_gearing,0)</f>
        <v>-1.7232607383736939E-3</v>
      </c>
      <c r="E42" s="63">
        <f>IFERROR(ODI_2/Equity_RAV_based_on_actual_gearing,0)</f>
        <v>6.4276336853040376E-4</v>
      </c>
      <c r="F42" s="63">
        <f>IFERROR(ODI_2/Equity_RAV_based_on_actual_gearing,0)</f>
        <v>6.5017541913315214E-4</v>
      </c>
      <c r="G42" s="63">
        <f>IFERROR(ODI_2/Equity_RAV_based_on_actual_gearing,0)</f>
        <v>7.0705181369200667E-4</v>
      </c>
      <c r="H42" s="63">
        <f>IFERROR(ODI_2/Equity_RAV_based_on_actual_gearing,0)</f>
        <v>6.7406198004220732E-4</v>
      </c>
      <c r="I42" s="332"/>
      <c r="J42" s="30">
        <f>IFERROR(AVERAGE(D69:INDEX(D69:H69,0,MATCH('RFPR cover'!$C$9,$D$6:$H$6,0)))/AVERAGE($D$91:INDEX($D$91:$H$91,0,MATCH('RFPR cover'!$C$9,$D$6:$H$6,0))),0)</f>
        <v>-1.7232607383736939E-3</v>
      </c>
      <c r="K42" s="64">
        <f t="shared" si="11"/>
        <v>1.6291715368305491E-4</v>
      </c>
    </row>
    <row r="43" spans="1:13">
      <c r="A43" s="333" t="s">
        <v>481</v>
      </c>
      <c r="B43" s="163" t="str">
        <f t="shared" si="12"/>
        <v>Interruptions incentive scheme ODI</v>
      </c>
      <c r="C43" s="162" t="s">
        <v>477</v>
      </c>
      <c r="D43" s="63">
        <f>IFERROR(ODI_3/Equity_RAV_based_on_actual_gearing,0)</f>
        <v>-6.9802041971983742E-3</v>
      </c>
      <c r="E43" s="63">
        <f>IFERROR(ODI_3/Equity_RAV_based_on_actual_gearing,0)</f>
        <v>-2.6260416534591461E-3</v>
      </c>
      <c r="F43" s="63">
        <f>IFERROR(ODI_3/Equity_RAV_based_on_actual_gearing,0)</f>
        <v>-1.2082359597194942E-4</v>
      </c>
      <c r="G43" s="63">
        <f>IFERROR(ODI_3/Equity_RAV_based_on_actual_gearing,0)</f>
        <v>1.2565306919060343E-3</v>
      </c>
      <c r="H43" s="63">
        <f>IFERROR(ODI_3/Equity_RAV_based_on_actual_gearing,0)</f>
        <v>2.6377060526682067E-3</v>
      </c>
      <c r="I43" s="332"/>
      <c r="J43" s="30">
        <f>IFERROR(AVERAGE(D70:INDEX(D70:H70,0,MATCH('RFPR cover'!$C$9,$D$6:$H$6,0)))/AVERAGE($D$91:INDEX($D$91:$H$91,0,MATCH('RFPR cover'!$C$9,$D$6:$H$6,0))),0)</f>
        <v>-6.9802041971983742E-3</v>
      </c>
      <c r="K43" s="64">
        <f t="shared" si="11"/>
        <v>-1.2865932479444607E-3</v>
      </c>
    </row>
    <row r="44" spans="1:13">
      <c r="A44" s="333" t="s">
        <v>482</v>
      </c>
      <c r="B44" s="163" t="str">
        <f t="shared" si="12"/>
        <v>Major connections ODI</v>
      </c>
      <c r="C44" s="162" t="s">
        <v>477</v>
      </c>
      <c r="D44" s="63">
        <f>IFERROR(ODI_4/Equity_RAV_based_on_actual_gearing,0)</f>
        <v>0</v>
      </c>
      <c r="E44" s="63">
        <f>IFERROR(ODI_4/Equity_RAV_based_on_actual_gearing,0)</f>
        <v>0</v>
      </c>
      <c r="F44" s="63">
        <f>IFERROR(ODI_4/Equity_RAV_based_on_actual_gearing,0)</f>
        <v>0</v>
      </c>
      <c r="G44" s="63">
        <f>IFERROR(ODI_4/Equity_RAV_based_on_actual_gearing,0)</f>
        <v>0</v>
      </c>
      <c r="H44" s="63">
        <f>IFERROR(ODI_4/Equity_RAV_based_on_actual_gearing,0)</f>
        <v>0</v>
      </c>
      <c r="I44" s="332"/>
      <c r="J44" s="30">
        <f>IFERROR(AVERAGE(D71:INDEX(D71:H71,0,MATCH('RFPR cover'!$C$9,$D$6:$H$6,0)))/AVERAGE($D$91:INDEX($D$91:$H$91,0,MATCH('RFPR cover'!$C$9,$D$6:$H$6,0))),0)</f>
        <v>0</v>
      </c>
      <c r="K44" s="64">
        <f t="shared" si="11"/>
        <v>0</v>
      </c>
    </row>
    <row r="45" spans="1:13">
      <c r="A45" s="333" t="s">
        <v>483</v>
      </c>
      <c r="B45" s="163" t="str">
        <f t="shared" si="12"/>
        <v>Consumer Vulnerability ODI</v>
      </c>
      <c r="C45" s="162" t="s">
        <v>477</v>
      </c>
      <c r="D45" s="63">
        <f>IFERROR(ODI_5/Equity_RAV_based_on_actual_gearing,0)</f>
        <v>0</v>
      </c>
      <c r="E45" s="63">
        <f>IFERROR(ODI_5/Equity_RAV_based_on_actual_gearing,0)</f>
        <v>0</v>
      </c>
      <c r="F45" s="63">
        <f>IFERROR(ODI_5/Equity_RAV_based_on_actual_gearing,0)</f>
        <v>0</v>
      </c>
      <c r="G45" s="63">
        <f>IFERROR(ODI_5/Equity_RAV_based_on_actual_gearing,0)</f>
        <v>0</v>
      </c>
      <c r="H45" s="63">
        <f>IFERROR(ODI_5/Equity_RAV_based_on_actual_gearing,0)</f>
        <v>0</v>
      </c>
      <c r="I45" s="332"/>
      <c r="J45" s="30">
        <f>IFERROR(AVERAGE(D72:INDEX(D72:H72,0,MATCH('RFPR cover'!$C$9,$D$6:$H$6,0)))/AVERAGE($D$91:INDEX($D$91:$H$91,0,MATCH('RFPR cover'!$C$9,$D$6:$H$6,0))),0)</f>
        <v>0</v>
      </c>
      <c r="K45" s="64">
        <f t="shared" si="11"/>
        <v>0</v>
      </c>
    </row>
    <row r="46" spans="1:13">
      <c r="A46" s="333" t="s">
        <v>484</v>
      </c>
      <c r="B46" s="163" t="str">
        <f t="shared" si="12"/>
        <v>Distribution System Operator ODI</v>
      </c>
      <c r="C46" s="162" t="s">
        <v>477</v>
      </c>
      <c r="D46" s="63">
        <f>IFERROR(ODI_6/Equity_RAV_based_on_actual_gearing,0)</f>
        <v>4.0142254049779921E-4</v>
      </c>
      <c r="E46" s="63">
        <f>IFERROR(ODI_6/Equity_RAV_based_on_actual_gearing,0)</f>
        <v>0</v>
      </c>
      <c r="F46" s="63">
        <f>IFERROR(ODI_6/Equity_RAV_based_on_actual_gearing,0)</f>
        <v>0</v>
      </c>
      <c r="G46" s="63">
        <f>IFERROR(ODI_6/Equity_RAV_based_on_actual_gearing,0)</f>
        <v>0</v>
      </c>
      <c r="H46" s="63">
        <f>IFERROR(ODI_6/Equity_RAV_based_on_actual_gearing,0)</f>
        <v>0</v>
      </c>
      <c r="I46" s="332"/>
      <c r="J46" s="30">
        <f>IFERROR(AVERAGE(D73:INDEX(D73:H73,0,MATCH('RFPR cover'!$C$9,$D$6:$H$6,0)))/AVERAGE($D$91:INDEX($D$91:$H$91,0,MATCH('RFPR cover'!$C$9,$D$6:$H$6,0))),0)</f>
        <v>4.0142254049779921E-4</v>
      </c>
      <c r="K46" s="64">
        <f t="shared" si="11"/>
        <v>8.4734384326505495E-5</v>
      </c>
    </row>
    <row r="47" spans="1:13">
      <c r="A47" s="333" t="s">
        <v>485</v>
      </c>
      <c r="B47" s="163" t="str">
        <f t="shared" ref="B47" si="13">B74</f>
        <v>Network innovation input for RORE</v>
      </c>
      <c r="C47" s="162" t="s">
        <v>477</v>
      </c>
      <c r="D47" s="63">
        <f>IFERROR(ORA_1/Equity_RAV_based_on_actual_gearing,0)</f>
        <v>-9.3969910645692013E-5</v>
      </c>
      <c r="E47" s="63">
        <f>IFERROR(ORA_1/Equity_RAV_based_on_actual_gearing,0)</f>
        <v>-1.3170074811890304E-4</v>
      </c>
      <c r="F47" s="63">
        <f>IFERROR(ORA_1/Equity_RAV_based_on_actual_gearing,0)</f>
        <v>-1.0937558323571296E-4</v>
      </c>
      <c r="G47" s="63">
        <f>IFERROR(ORA_1/Equity_RAV_based_on_actual_gearing,0)</f>
        <v>-8.437378469495482E-5</v>
      </c>
      <c r="H47" s="63">
        <f>IFERROR(ORA_1/Equity_RAV_based_on_actual_gearing,0)</f>
        <v>-6.5581540366685555E-5</v>
      </c>
      <c r="I47" s="332"/>
      <c r="J47" s="30">
        <f>IFERROR(AVERAGE(D74:INDEX(D74:H74,0,MATCH('RFPR cover'!$C$9,$D$6:$H$6,0)))/AVERAGE($D$91:INDEX($D$91:$H$91,0,MATCH('RFPR cover'!$C$9,$D$6:$H$6,0))),0)</f>
        <v>-9.3969910645692013E-5</v>
      </c>
      <c r="K47" s="64">
        <f t="shared" si="11"/>
        <v>-9.7486529196893563E-5</v>
      </c>
    </row>
    <row r="48" spans="1:13">
      <c r="A48" s="333" t="s">
        <v>486</v>
      </c>
      <c r="B48" s="163" t="str">
        <f t="shared" ref="B48" si="14">B75</f>
        <v>Carry-over Network innovation input for RORE</v>
      </c>
      <c r="C48" s="162" t="s">
        <v>477</v>
      </c>
      <c r="D48" s="63">
        <f>IFERROR(ORA_2/Equity_RAV_based_on_actual_gearing,0)</f>
        <v>-5.8058177977086308E-5</v>
      </c>
      <c r="E48" s="63">
        <f>IFERROR(ORA_2/Equity_RAV_based_on_actual_gearing,0)</f>
        <v>0</v>
      </c>
      <c r="F48" s="63">
        <f>IFERROR(ORA_2/Equity_RAV_based_on_actual_gearing,0)</f>
        <v>0</v>
      </c>
      <c r="G48" s="63">
        <f>IFERROR(ORA_2/Equity_RAV_based_on_actual_gearing,0)</f>
        <v>0</v>
      </c>
      <c r="H48" s="63">
        <f>IFERROR(ORA_2/Equity_RAV_based_on_actual_gearing,0)</f>
        <v>0</v>
      </c>
      <c r="I48" s="332"/>
      <c r="J48" s="30">
        <f>IFERROR(AVERAGE(D75:INDEX(D75:H75,0,MATCH('RFPR cover'!$C$9,$D$6:$H$6,0)))/AVERAGE($D$91:INDEX($D$91:$H$91,0,MATCH('RFPR cover'!$C$9,$D$6:$H$6,0))),0)</f>
        <v>-5.8058177977086308E-5</v>
      </c>
      <c r="K48" s="64">
        <f t="shared" si="11"/>
        <v>-1.2255226026686112E-5</v>
      </c>
    </row>
    <row r="49" spans="1:12">
      <c r="A49" s="333" t="s">
        <v>487</v>
      </c>
      <c r="B49" s="239" t="str">
        <f>B76</f>
        <v>Strategic innovation input for RORE</v>
      </c>
      <c r="C49" s="162" t="s">
        <v>477</v>
      </c>
      <c r="D49" s="63">
        <f>IFERROR(ORA_3/Equity_RAV_based_on_actual_gearing,0)</f>
        <v>0</v>
      </c>
      <c r="E49" s="63">
        <f>IFERROR(ORA_3/Equity_RAV_based_on_actual_gearing,0)</f>
        <v>0</v>
      </c>
      <c r="F49" s="63">
        <f>IFERROR(ORA_3/Equity_RAV_based_on_actual_gearing,0)</f>
        <v>0</v>
      </c>
      <c r="G49" s="63">
        <f>IFERROR(ORA_3/Equity_RAV_based_on_actual_gearing,0)</f>
        <v>0</v>
      </c>
      <c r="H49" s="63">
        <f>IFERROR(ORA_3/Equity_RAV_based_on_actual_gearing,0)</f>
        <v>0</v>
      </c>
      <c r="I49" s="332"/>
      <c r="J49" s="30">
        <f>IFERROR(AVERAGE(D76:INDEX(D76:H76,0,MATCH('RFPR cover'!$C$9,$D$6:$H$6,0)))/AVERAGE($D$91:INDEX($D$91:$H$91,0,MATCH('RFPR cover'!$C$9,$D$6:$H$6,0))),0)</f>
        <v>0</v>
      </c>
      <c r="K49" s="64">
        <f>IFERROR(AVERAGE(D76:H76)/AVERAGE($D$91:$H$91),0)</f>
        <v>0</v>
      </c>
    </row>
    <row r="50" spans="1:12">
      <c r="A50" s="333" t="s">
        <v>488</v>
      </c>
      <c r="B50" s="163" t="str">
        <f t="shared" ref="B50:B54" si="15">B77</f>
        <v/>
      </c>
      <c r="C50" s="162" t="s">
        <v>477</v>
      </c>
      <c r="D50" s="63">
        <f>IFERROR(ORA_4/Equity_RAV_based_on_actual_gearing,0)</f>
        <v>0</v>
      </c>
      <c r="E50" s="63">
        <f>IFERROR(ORA_4/Equity_RAV_based_on_actual_gearing,0)</f>
        <v>0</v>
      </c>
      <c r="F50" s="63">
        <f>IFERROR(ORA_4/Equity_RAV_based_on_actual_gearing,0)</f>
        <v>0</v>
      </c>
      <c r="G50" s="63">
        <f>IFERROR(ORA_4/Equity_RAV_based_on_actual_gearing,0)</f>
        <v>0</v>
      </c>
      <c r="H50" s="63">
        <f>IFERROR(ORA_4/Equity_RAV_based_on_actual_gearing,0)</f>
        <v>0</v>
      </c>
      <c r="I50" s="332"/>
      <c r="J50" s="30">
        <f>IFERROR(AVERAGE(D77:INDEX(D77:H77,0,MATCH('RFPR cover'!$C$9,$D$6:$H$6,0)))/AVERAGE($D$91:INDEX($D$91:$H$91,0,MATCH('RFPR cover'!$C$9,$D$6:$H$6,0))),0)</f>
        <v>0</v>
      </c>
      <c r="K50" s="64">
        <f t="shared" ref="K50:K55" si="16">IFERROR(AVERAGE(D77:H77)/AVERAGE($D$91:$H$91),0)</f>
        <v>0</v>
      </c>
    </row>
    <row r="51" spans="1:12">
      <c r="A51" s="333" t="s">
        <v>489</v>
      </c>
      <c r="B51" s="163" t="str">
        <f t="shared" si="15"/>
        <v/>
      </c>
      <c r="C51" s="162" t="s">
        <v>477</v>
      </c>
      <c r="D51" s="63">
        <f>IFERROR(ORA_5/Equity_RAV_based_on_actual_gearing,0)</f>
        <v>0</v>
      </c>
      <c r="E51" s="63">
        <f>IFERROR(ORA_5/Equity_RAV_based_on_actual_gearing,0)</f>
        <v>0</v>
      </c>
      <c r="F51" s="63">
        <f>IFERROR(ORA_5/Equity_RAV_based_on_actual_gearing,0)</f>
        <v>0</v>
      </c>
      <c r="G51" s="63">
        <f>IFERROR(ORA_5/Equity_RAV_based_on_actual_gearing,0)</f>
        <v>0</v>
      </c>
      <c r="H51" s="63">
        <f>IFERROR(ORA_5/Equity_RAV_based_on_actual_gearing,0)</f>
        <v>0</v>
      </c>
      <c r="I51" s="332"/>
      <c r="J51" s="30">
        <f>IFERROR(AVERAGE(D78:INDEX(D78:H78,0,MATCH('RFPR cover'!$C$9,$D$6:$H$6,0)))/AVERAGE($D$91:INDEX($D$91:$H$91,0,MATCH('RFPR cover'!$C$9,$D$6:$H$6,0))),0)</f>
        <v>0</v>
      </c>
      <c r="K51" s="64">
        <f t="shared" si="16"/>
        <v>0</v>
      </c>
    </row>
    <row r="52" spans="1:12">
      <c r="A52" s="333" t="s">
        <v>490</v>
      </c>
      <c r="B52" s="163" t="str">
        <f t="shared" si="15"/>
        <v/>
      </c>
      <c r="C52" s="162" t="s">
        <v>477</v>
      </c>
      <c r="D52" s="63">
        <f>IFERROR(ORA_6/Equity_RAV_based_on_actual_gearing,0)</f>
        <v>0</v>
      </c>
      <c r="E52" s="63">
        <f>IFERROR(ORA_6/Equity_RAV_based_on_actual_gearing,0)</f>
        <v>0</v>
      </c>
      <c r="F52" s="63">
        <f>IFERROR(ORA_6/Equity_RAV_based_on_actual_gearing,0)</f>
        <v>0</v>
      </c>
      <c r="G52" s="63">
        <f>IFERROR(ORA_6/Equity_RAV_based_on_actual_gearing,0)</f>
        <v>0</v>
      </c>
      <c r="H52" s="63">
        <f>IFERROR(ORA_6/Equity_RAV_based_on_actual_gearing,0)</f>
        <v>0</v>
      </c>
      <c r="I52" s="332"/>
      <c r="J52" s="30">
        <f>IFERROR(AVERAGE(D79:INDEX(D79:H79,0,MATCH('RFPR cover'!$C$9,$D$6:$H$6,0)))/AVERAGE($D$91:INDEX($D$91:$H$91,0,MATCH('RFPR cover'!$C$9,$D$6:$H$6,0))),0)</f>
        <v>0</v>
      </c>
      <c r="K52" s="64">
        <f t="shared" si="16"/>
        <v>0</v>
      </c>
    </row>
    <row r="53" spans="1:12">
      <c r="A53" s="333" t="s">
        <v>491</v>
      </c>
      <c r="B53" s="163" t="str">
        <f t="shared" si="15"/>
        <v/>
      </c>
      <c r="C53" s="162" t="s">
        <v>477</v>
      </c>
      <c r="D53" s="63">
        <f>IFERROR(ORA_7/Equity_RAV_based_on_actual_gearing,0)</f>
        <v>0</v>
      </c>
      <c r="E53" s="63">
        <f>IFERROR(ORA_7/Equity_RAV_based_on_actual_gearing,0)</f>
        <v>0</v>
      </c>
      <c r="F53" s="63">
        <f>IFERROR(ORA_7/Equity_RAV_based_on_actual_gearing,0)</f>
        <v>0</v>
      </c>
      <c r="G53" s="63">
        <f>IFERROR(ORA_7/Equity_RAV_based_on_actual_gearing,0)</f>
        <v>0</v>
      </c>
      <c r="H53" s="63">
        <f>IFERROR(ORA_7/Equity_RAV_based_on_actual_gearing,0)</f>
        <v>0</v>
      </c>
      <c r="I53" s="332"/>
      <c r="J53" s="30">
        <f>IFERROR(AVERAGE(D80:INDEX(D80:H80,0,MATCH('RFPR cover'!$C$9,$D$6:$H$6,0)))/AVERAGE($D$91:INDEX($D$91:$H$91,0,MATCH('RFPR cover'!$C$9,$D$6:$H$6,0))),0)</f>
        <v>0</v>
      </c>
      <c r="K53" s="64">
        <f t="shared" si="16"/>
        <v>0</v>
      </c>
    </row>
    <row r="54" spans="1:12">
      <c r="A54" s="333" t="s">
        <v>492</v>
      </c>
      <c r="B54" s="163" t="str">
        <f t="shared" si="15"/>
        <v/>
      </c>
      <c r="C54" s="162" t="s">
        <v>477</v>
      </c>
      <c r="D54" s="63">
        <f>IFERROR(ORA_8/Equity_RAV_based_on_actual_gearing,0)</f>
        <v>0</v>
      </c>
      <c r="E54" s="63">
        <f>IFERROR(ORA_8/Equity_RAV_based_on_actual_gearing,0)</f>
        <v>0</v>
      </c>
      <c r="F54" s="63">
        <f>IFERROR(ORA_8/Equity_RAV_based_on_actual_gearing,0)</f>
        <v>0</v>
      </c>
      <c r="G54" s="63">
        <f>IFERROR(ORA_8/Equity_RAV_based_on_actual_gearing,0)</f>
        <v>0</v>
      </c>
      <c r="H54" s="63">
        <f>IFERROR(ORA_8/Equity_RAV_based_on_actual_gearing,0)</f>
        <v>0</v>
      </c>
      <c r="I54" s="332"/>
      <c r="J54" s="30">
        <f>IFERROR(AVERAGE(D81:INDEX(D81:H81,0,MATCH('RFPR cover'!$C$9,$D$6:$H$6,0)))/AVERAGE($D$91:INDEX($D$91:$H$91,0,MATCH('RFPR cover'!$C$9,$D$6:$H$6,0))),0)</f>
        <v>0</v>
      </c>
      <c r="K54" s="64">
        <f t="shared" si="16"/>
        <v>0</v>
      </c>
    </row>
    <row r="55" spans="1:12" ht="14" thickBot="1">
      <c r="B55" s="163" t="str">
        <f t="shared" ref="B55:B56" si="17">B82</f>
        <v>Penalties and fines (Other Activities)</v>
      </c>
      <c r="C55" s="162" t="s">
        <v>477</v>
      </c>
      <c r="D55" s="334">
        <f>IFERROR(Penalties_and_fines/Equity_RAV_based_on_actual_gearing,0)</f>
        <v>-7.5987941611355939E-4</v>
      </c>
      <c r="E55" s="334">
        <f>IFERROR(Penalties_and_fines/Equity_RAV_based_on_actual_gearing,0)</f>
        <v>-4.7804068391241314E-4</v>
      </c>
      <c r="F55" s="334">
        <f>IFERROR(Penalties_and_fines/Equity_RAV_based_on_actual_gearing,0)</f>
        <v>-4.7611779837351592E-4</v>
      </c>
      <c r="G55" s="334">
        <f>IFERROR(Penalties_and_fines/Equity_RAV_based_on_actual_gearing,0)</f>
        <v>-3.1154537908413489E-4</v>
      </c>
      <c r="H55" s="334">
        <f>IFERROR(Penalties_and_fines/Equity_RAV_based_on_actual_gearing,0)</f>
        <v>-2.9573268776033099E-4</v>
      </c>
      <c r="I55" s="332"/>
      <c r="J55" s="30">
        <f>IFERROR(AVERAGE(D82:INDEX(D82:H82,0,MATCH('RFPR cover'!$C$9,$D$6:$H$6,0)))/AVERAGE($D$91:INDEX($D$91:$H$91,0,MATCH('RFPR cover'!$C$9,$D$6:$H$6,0))),0)</f>
        <v>-7.5987941611355939E-4</v>
      </c>
      <c r="K55" s="64">
        <f t="shared" si="16"/>
        <v>-4.7052716094225593E-4</v>
      </c>
    </row>
    <row r="56" spans="1:12" ht="14" thickBot="1">
      <c r="B56" s="164" t="str">
        <f t="shared" si="17"/>
        <v>RoRE - Operational performance</v>
      </c>
      <c r="C56" s="61" t="s">
        <v>477</v>
      </c>
      <c r="D56" s="151">
        <f t="shared" ref="D56:H56" si="18">SUM(D38:D55)</f>
        <v>2.3711341872528678E-2</v>
      </c>
      <c r="E56" s="152">
        <f t="shared" si="18"/>
        <v>3.5215760782577536E-2</v>
      </c>
      <c r="F56" s="152">
        <f t="shared" si="18"/>
        <v>4.3213539369475529E-2</v>
      </c>
      <c r="G56" s="152">
        <f t="shared" si="18"/>
        <v>6.1917839071521034E-2</v>
      </c>
      <c r="H56" s="153">
        <f t="shared" si="18"/>
        <v>6.805266379462338E-2</v>
      </c>
      <c r="I56" s="335"/>
      <c r="J56" s="155">
        <f>SUM(J38:J55)</f>
        <v>2.3711341872528678E-2</v>
      </c>
      <c r="K56" s="153">
        <f>SUM(K38:K55)</f>
        <v>4.579368537177185E-2</v>
      </c>
    </row>
    <row r="57" spans="1:12">
      <c r="B57" s="163" t="s">
        <v>494</v>
      </c>
      <c r="C57" s="162" t="s">
        <v>477</v>
      </c>
      <c r="D57" s="336">
        <f>IFERROR((Debt_performance___at_notional_gearing+Debt_performance___impact_of_actual_gearing)/Equity_RAV_based_on_actual_gearing,0)</f>
        <v>7.2830692958669785E-2</v>
      </c>
      <c r="E57" s="336">
        <f>IFERROR((Debt_performance___at_notional_gearing+Debt_performance___impact_of_actual_gearing)/Equity_RAV_based_on_actual_gearing,0)</f>
        <v>2.6823198990453136E-2</v>
      </c>
      <c r="F57" s="336">
        <f>IFERROR((Debt_performance___at_notional_gearing+Debt_performance___impact_of_actual_gearing)/Equity_RAV_based_on_actual_gearing,0)</f>
        <v>3.3188663658377418E-3</v>
      </c>
      <c r="G57" s="336">
        <f>IFERROR((Debt_performance___at_notional_gearing+Debt_performance___impact_of_actual_gearing)/Equity_RAV_based_on_actual_gearing,0)</f>
        <v>2.6688371573991526E-3</v>
      </c>
      <c r="H57" s="336">
        <f>IFERROR((Debt_performance___at_notional_gearing+Debt_performance___impact_of_actual_gearing)/Equity_RAV_based_on_actual_gearing,0)</f>
        <v>1.5244561194046866E-3</v>
      </c>
      <c r="I57" s="332"/>
      <c r="J57" s="154">
        <f>IFERROR((AVERAGE(D84:INDEX(D84:H84,0,MATCH('RFPR cover'!$C$9,$D$6:$H$6,0)))+AVERAGE(D85:INDEX(D85:H85,0,MATCH('RFPR cover'!$C$9,$D$6:$H$6,0))))/AVERAGE($D$91:INDEX($D$91:$H$91,0,MATCH('RFPR cover'!$C$9,$D$6:$H$6,0))),0)</f>
        <v>7.2830692958669785E-2</v>
      </c>
      <c r="K57" s="154">
        <f>IFERROR((AVERAGE(D84:H84)+AVERAGE(D85:H85))/AVERAGE($D$91:$H$91),0)</f>
        <v>2.2335015798039863E-2</v>
      </c>
    </row>
    <row r="58" spans="1:12" ht="14" thickBot="1">
      <c r="B58" s="163" t="s">
        <v>495</v>
      </c>
      <c r="C58" s="162" t="s">
        <v>477</v>
      </c>
      <c r="D58" s="156">
        <f>IFERROR((Tax_performance___at_notional_gearing+Tax_performance___impact_of_actual_gearing)/D$91,0)</f>
        <v>-7.1065916165973693E-3</v>
      </c>
      <c r="E58" s="156">
        <f>IFERROR((Tax_performance___at_notional_gearing+Tax_performance___impact_of_actual_gearing)/E$91,0)</f>
        <v>-3.5929098655596179E-3</v>
      </c>
      <c r="F58" s="156">
        <f>IFERROR((Tax_performance___at_notional_gearing+Tax_performance___impact_of_actual_gearing)/F$91,0)</f>
        <v>-5.3000439766782525E-4</v>
      </c>
      <c r="G58" s="156">
        <f>IFERROR((Tax_performance___at_notional_gearing+Tax_performance___impact_of_actual_gearing)/G$91,0)</f>
        <v>2.0515744067395275E-5</v>
      </c>
      <c r="H58" s="156">
        <f>IFERROR((Tax_performance___at_notional_gearing+Tax_performance___impact_of_actual_gearing)/H$91,0)</f>
        <v>3.8726186373564639E-4</v>
      </c>
      <c r="I58" s="332"/>
      <c r="J58" s="33">
        <f>IFERROR((AVERAGE(D86:INDEX(D86:H86,0,MATCH('RFPR cover'!$C$9,$D$6:$H$6,0)))+AVERAGE(D87:INDEX(D87:H87,0,MATCH('RFPR cover'!$C$9,$D$6:$H$6,0))))/AVERAGE($D$91:INDEX($D$91:$H$91,0,MATCH('RFPR cover'!$C$9,$D$6:$H$6,0))),0)</f>
        <v>-7.1065916165973693E-3</v>
      </c>
      <c r="K58" s="33">
        <f>IFERROR((AVERAGE(D86:H86)+AVERAGE(D87:H87))/AVERAGE($D$91:$H$91),0)</f>
        <v>-2.263958594716735E-3</v>
      </c>
    </row>
    <row r="59" spans="1:12" ht="14" thickBot="1">
      <c r="B59" s="164" t="str">
        <f>B88</f>
        <v>RoRE - including financing and tax</v>
      </c>
      <c r="C59" s="61" t="s">
        <v>477</v>
      </c>
      <c r="D59" s="151">
        <f>SUM(D56:D58)</f>
        <v>8.9435443214601104E-2</v>
      </c>
      <c r="E59" s="152">
        <f t="shared" ref="E59:H59" si="19">SUM(E56:E58)</f>
        <v>5.8446049907471057E-2</v>
      </c>
      <c r="F59" s="152">
        <f t="shared" si="19"/>
        <v>4.6002401337645445E-2</v>
      </c>
      <c r="G59" s="152">
        <f t="shared" si="19"/>
        <v>6.4607191972987574E-2</v>
      </c>
      <c r="H59" s="153">
        <f t="shared" si="19"/>
        <v>6.9964381777763721E-2</v>
      </c>
      <c r="I59" s="335"/>
      <c r="J59" s="155">
        <f>SUM(J56:J58)</f>
        <v>8.9435443214601104E-2</v>
      </c>
      <c r="K59" s="153">
        <f>SUM(K56:K58)</f>
        <v>6.5864742575094976E-2</v>
      </c>
    </row>
    <row r="60" spans="1:12">
      <c r="B60" s="60"/>
      <c r="C60" s="61"/>
      <c r="D60" s="62"/>
      <c r="E60" s="62"/>
      <c r="F60" s="62"/>
      <c r="G60" s="62"/>
      <c r="H60" s="62"/>
      <c r="I60" s="335"/>
      <c r="J60" s="62"/>
      <c r="K60" s="62"/>
    </row>
    <row r="61" spans="1:12">
      <c r="B61" s="60"/>
      <c r="C61" s="61"/>
      <c r="D61" s="62"/>
      <c r="E61" s="62"/>
      <c r="F61" s="62"/>
      <c r="G61" s="62"/>
      <c r="H61" s="62"/>
      <c r="I61" s="335"/>
      <c r="J61" s="62"/>
      <c r="K61" s="62"/>
    </row>
    <row r="62" spans="1:12">
      <c r="B62" s="67" t="s">
        <v>496</v>
      </c>
      <c r="C62" s="68"/>
      <c r="D62" s="69"/>
      <c r="E62" s="69"/>
      <c r="F62" s="69"/>
      <c r="G62" s="69"/>
      <c r="H62" s="69"/>
      <c r="I62" s="338"/>
      <c r="J62" s="69"/>
      <c r="K62" s="69"/>
      <c r="L62" s="38"/>
    </row>
    <row r="63" spans="1:12">
      <c r="B63" s="71" t="str">
        <f>"Input values provided in "&amp;Data!C9&amp;" prices"</f>
        <v>Input values provided in £m 20/21 prices</v>
      </c>
      <c r="C63" s="70"/>
      <c r="D63" s="70"/>
      <c r="E63" s="70"/>
      <c r="F63" s="70"/>
      <c r="G63" s="70"/>
      <c r="H63" s="70"/>
      <c r="I63" s="70"/>
      <c r="J63" s="70"/>
      <c r="K63" s="70"/>
      <c r="L63" s="70"/>
    </row>
    <row r="65" spans="1:12">
      <c r="B65" s="339" t="s">
        <v>497</v>
      </c>
      <c r="C65" s="340" t="str">
        <f>Data!$C$9</f>
        <v>£m 20/21</v>
      </c>
      <c r="D65" s="31">
        <f>'R7 - RAV'!F44</f>
        <v>42.142047747277132</v>
      </c>
      <c r="E65" s="32">
        <f>'R7 - RAV'!G44</f>
        <v>46.214527195584949</v>
      </c>
      <c r="F65" s="32">
        <f>'R7 - RAV'!H44</f>
        <v>47.697625069102877</v>
      </c>
      <c r="G65" s="32">
        <f>'R7 - RAV'!I44</f>
        <v>50.000434227289034</v>
      </c>
      <c r="H65" s="32">
        <f>'R7 - RAV'!J44</f>
        <v>52.500660417739951</v>
      </c>
      <c r="I65" s="34"/>
      <c r="J65" s="18">
        <f>SUM(D65:INDEX(D65:H65,0,MATCH('RFPR cover'!$C$9,$D$6:$H$6,0)))</f>
        <v>42.142047747277132</v>
      </c>
      <c r="K65" s="18">
        <f t="shared" ref="K65:K82" si="20">SUM(D65:H65)</f>
        <v>238.55529465699391</v>
      </c>
      <c r="L65" s="34"/>
    </row>
    <row r="66" spans="1:12">
      <c r="B66" s="339" t="s">
        <v>498</v>
      </c>
      <c r="C66" s="340" t="str">
        <f>Data!$C$9</f>
        <v>£m 20/21</v>
      </c>
      <c r="D66" s="46">
        <f>'R3 - Totex - Reconciliation'!D102</f>
        <v>-8.0801459162014044</v>
      </c>
      <c r="E66" s="46">
        <f>'R3 - Totex - Reconciliation'!E102</f>
        <v>-8.1994357034269942</v>
      </c>
      <c r="F66" s="46">
        <f>'R3 - Totex - Reconciliation'!F102</f>
        <v>-4.6953064346763105</v>
      </c>
      <c r="G66" s="46">
        <f>'R3 - Totex - Reconciliation'!G102</f>
        <v>5.1360363419018098</v>
      </c>
      <c r="H66" s="46">
        <f>'R3 - Totex - Reconciliation'!H102</f>
        <v>9.880762550427816</v>
      </c>
      <c r="I66" s="34"/>
      <c r="J66" s="18">
        <f>SUM(D66:INDEX(D66:H66,0,MATCH('RFPR cover'!$C$9,$D$6:$H$6,0)))</f>
        <v>-8.0801459162014044</v>
      </c>
      <c r="K66" s="18">
        <f t="shared" si="20"/>
        <v>-5.9580891619750833</v>
      </c>
      <c r="L66" s="34"/>
    </row>
    <row r="67" spans="1:12">
      <c r="A67" s="333" t="s">
        <v>478</v>
      </c>
      <c r="B67" s="339" t="s">
        <v>499</v>
      </c>
      <c r="C67" s="340" t="str">
        <f>Data!$C$9</f>
        <v>£m 20/21</v>
      </c>
      <c r="D67" s="43">
        <f>'R4 - Incentives and Other Rev'!D12</f>
        <v>0</v>
      </c>
      <c r="E67" s="43">
        <f>'R4 - Incentives and Other Rev'!E12</f>
        <v>0</v>
      </c>
      <c r="F67" s="43">
        <f>'R4 - Incentives and Other Rev'!F12</f>
        <v>0</v>
      </c>
      <c r="G67" s="43">
        <f>'R4 - Incentives and Other Rev'!G12</f>
        <v>0</v>
      </c>
      <c r="H67" s="43">
        <f>'R4 - Incentives and Other Rev'!H12</f>
        <v>0</v>
      </c>
      <c r="I67" s="34"/>
      <c r="J67" s="18">
        <f>SUM(D67:INDEX(D67:H67,0,MATCH('RFPR cover'!$C$9,$D$6:$H$6,0)))</f>
        <v>0</v>
      </c>
      <c r="K67" s="18">
        <f t="shared" si="20"/>
        <v>0</v>
      </c>
      <c r="L67" s="34"/>
    </row>
    <row r="68" spans="1:12">
      <c r="A68" s="333" t="s">
        <v>479</v>
      </c>
      <c r="B68" s="238" t="str">
        <f>'R4 - Incentives and Other Rev'!B14</f>
        <v>Time to connect ODI</v>
      </c>
      <c r="C68" s="340" t="str">
        <f>Data!$C$9</f>
        <v>£m 20/21</v>
      </c>
      <c r="D68" s="43">
        <f>'R4 - Incentives and Other Rev'!D14</f>
        <v>0</v>
      </c>
      <c r="E68" s="43">
        <f>'R4 - Incentives and Other Rev'!E14</f>
        <v>-5.710065000000019E-2</v>
      </c>
      <c r="F68" s="43">
        <f>'R4 - Incentives and Other Rev'!F14</f>
        <v>-5.710065000000019E-2</v>
      </c>
      <c r="G68" s="43">
        <f>'R4 - Incentives and Other Rev'!G14</f>
        <v>-5.710065000000019E-2</v>
      </c>
      <c r="H68" s="43">
        <f>'R4 - Incentives and Other Rev'!H14</f>
        <v>-5.710065000000019E-2</v>
      </c>
      <c r="I68" s="341"/>
      <c r="J68" s="18">
        <f>SUM(D68:INDEX(D68:H68,0,MATCH('RFPR cover'!$C$9,$D$6:$H$6,0)))</f>
        <v>0</v>
      </c>
      <c r="K68" s="18">
        <f t="shared" si="20"/>
        <v>-0.22840260000000076</v>
      </c>
      <c r="L68" s="34"/>
    </row>
    <row r="69" spans="1:12">
      <c r="A69" s="333" t="s">
        <v>480</v>
      </c>
      <c r="B69" s="238" t="str">
        <f>'R4 - Incentives and Other Rev'!B15</f>
        <v>Broad Measure of Customer Service ODI</v>
      </c>
      <c r="C69" s="340" t="str">
        <f>Data!$C$9</f>
        <v>£m 20/21</v>
      </c>
      <c r="D69" s="43">
        <f>'R4 - Incentives and Other Rev'!D15</f>
        <v>-1.7827492161859584</v>
      </c>
      <c r="E69" s="43">
        <f>'R4 - Incentives and Other Rev'!E15</f>
        <v>0.64530000000000143</v>
      </c>
      <c r="F69" s="43">
        <f>'R4 - Incentives and Other Rev'!F15</f>
        <v>0.64530000000000143</v>
      </c>
      <c r="G69" s="43">
        <f>'R4 - Incentives and Other Rev'!G15</f>
        <v>0.64530000000000143</v>
      </c>
      <c r="H69" s="43">
        <f>'R4 - Incentives and Other Rev'!H15</f>
        <v>0.64530000000000143</v>
      </c>
      <c r="I69" s="341"/>
      <c r="J69" s="18">
        <f>SUM(D69:INDEX(D69:H69,0,MATCH('RFPR cover'!$C$9,$D$6:$H$6,0)))</f>
        <v>-1.7827492161859584</v>
      </c>
      <c r="K69" s="18">
        <f t="shared" si="20"/>
        <v>0.79845078381404744</v>
      </c>
      <c r="L69" s="34"/>
    </row>
    <row r="70" spans="1:12">
      <c r="A70" s="333" t="s">
        <v>481</v>
      </c>
      <c r="B70" s="238" t="str">
        <f>'R4 - Incentives and Other Rev'!B16</f>
        <v>Interruptions incentive scheme ODI</v>
      </c>
      <c r="C70" s="340" t="str">
        <f>Data!$C$9</f>
        <v>£m 20/21</v>
      </c>
      <c r="D70" s="43">
        <f>'R4 - Incentives and Other Rev'!D16</f>
        <v>-7.2211669913150613</v>
      </c>
      <c r="E70" s="43">
        <f>'R4 - Incentives and Other Rev'!E16</f>
        <v>-2.6364051872645478</v>
      </c>
      <c r="F70" s="43">
        <f>'R4 - Incentives and Other Rev'!F16</f>
        <v>-0.11991758560274307</v>
      </c>
      <c r="G70" s="43">
        <f>'R4 - Incentives and Other Rev'!G16</f>
        <v>1.1467890185487439</v>
      </c>
      <c r="H70" s="43">
        <f>'R4 - Incentives and Other Rev'!H16</f>
        <v>2.5251560927382637</v>
      </c>
      <c r="I70" s="341"/>
      <c r="J70" s="18">
        <f>SUM(D70:INDEX(D70:H70,0,MATCH('RFPR cover'!$C$9,$D$6:$H$6,0)))</f>
        <v>-7.2211669913150613</v>
      </c>
      <c r="K70" s="18">
        <f t="shared" si="20"/>
        <v>-6.3055446528953425</v>
      </c>
      <c r="L70" s="34"/>
    </row>
    <row r="71" spans="1:12">
      <c r="A71" s="333" t="s">
        <v>482</v>
      </c>
      <c r="B71" s="238" t="str">
        <f>'R4 - Incentives and Other Rev'!B17</f>
        <v>Major connections ODI</v>
      </c>
      <c r="C71" s="340" t="str">
        <f>Data!$C$9</f>
        <v>£m 20/21</v>
      </c>
      <c r="D71" s="43">
        <f>'R4 - Incentives and Other Rev'!D17</f>
        <v>0</v>
      </c>
      <c r="E71" s="43">
        <f>'R4 - Incentives and Other Rev'!E17</f>
        <v>0</v>
      </c>
      <c r="F71" s="43">
        <f>'R4 - Incentives and Other Rev'!F17</f>
        <v>0</v>
      </c>
      <c r="G71" s="43">
        <f>'R4 - Incentives and Other Rev'!G17</f>
        <v>0</v>
      </c>
      <c r="H71" s="43">
        <f>'R4 - Incentives and Other Rev'!H17</f>
        <v>0</v>
      </c>
      <c r="I71" s="341"/>
      <c r="J71" s="18">
        <f>SUM(D71:INDEX(D71:H71,0,MATCH('RFPR cover'!$C$9,$D$6:$H$6,0)))</f>
        <v>0</v>
      </c>
      <c r="K71" s="18">
        <f t="shared" si="20"/>
        <v>0</v>
      </c>
      <c r="L71" s="34"/>
    </row>
    <row r="72" spans="1:12">
      <c r="A72" s="333" t="s">
        <v>483</v>
      </c>
      <c r="B72" s="238" t="str">
        <f>'R4 - Incentives and Other Rev'!B18</f>
        <v>Consumer Vulnerability ODI</v>
      </c>
      <c r="C72" s="340" t="str">
        <f>Data!$C$9</f>
        <v>£m 20/21</v>
      </c>
      <c r="D72" s="43">
        <f>'R4 - Incentives and Other Rev'!D18</f>
        <v>0</v>
      </c>
      <c r="E72" s="43">
        <f>'R4 - Incentives and Other Rev'!E18</f>
        <v>0</v>
      </c>
      <c r="F72" s="43">
        <f>'R4 - Incentives and Other Rev'!F18</f>
        <v>0</v>
      </c>
      <c r="G72" s="43">
        <f>'R4 - Incentives and Other Rev'!G18</f>
        <v>0</v>
      </c>
      <c r="H72" s="43">
        <f>'R4 - Incentives and Other Rev'!H18</f>
        <v>0</v>
      </c>
      <c r="I72" s="341"/>
      <c r="J72" s="18">
        <f>SUM(D72:INDEX(D72:H72,0,MATCH('RFPR cover'!$C$9,$D$6:$H$6,0)))</f>
        <v>0</v>
      </c>
      <c r="K72" s="18">
        <f t="shared" si="20"/>
        <v>0</v>
      </c>
      <c r="L72" s="34"/>
    </row>
    <row r="73" spans="1:12">
      <c r="A73" s="760" t="s">
        <v>484</v>
      </c>
      <c r="B73" s="238" t="str">
        <f>'R4 - Incentives and Other Rev'!B19</f>
        <v>Distribution System Operator ODI</v>
      </c>
      <c r="C73" s="340" t="str">
        <f>Data!$C$9</f>
        <v>£m 20/21</v>
      </c>
      <c r="D73" s="43">
        <f>'R4 - Incentives and Other Rev'!D19</f>
        <v>0.41528000000000004</v>
      </c>
      <c r="E73" s="43">
        <f>'R4 - Incentives and Other Rev'!E19</f>
        <v>0</v>
      </c>
      <c r="F73" s="43">
        <f>'R4 - Incentives and Other Rev'!F19</f>
        <v>0</v>
      </c>
      <c r="G73" s="43">
        <f>'R4 - Incentives and Other Rev'!G19</f>
        <v>0</v>
      </c>
      <c r="H73" s="43">
        <f>'R4 - Incentives and Other Rev'!H19</f>
        <v>0</v>
      </c>
      <c r="I73" s="341"/>
      <c r="J73" s="18">
        <f>SUM(D73:INDEX(D73:H73,0,MATCH('RFPR cover'!$C$9,$D$6:$H$6,0)))</f>
        <v>0.41528000000000004</v>
      </c>
      <c r="K73" s="18">
        <f t="shared" ref="K73:K76" si="21">SUM(D73:H73)</f>
        <v>0.41528000000000004</v>
      </c>
      <c r="L73" s="34"/>
    </row>
    <row r="74" spans="1:12">
      <c r="A74" s="333" t="s">
        <v>485</v>
      </c>
      <c r="B74" s="238" t="str">
        <f>'R4 - Incentives and Other Rev'!B45</f>
        <v>Network innovation input for RORE</v>
      </c>
      <c r="C74" s="340" t="str">
        <f>Data!$C$9</f>
        <v>£m 20/21</v>
      </c>
      <c r="D74" s="43">
        <f>-'R4 - Incentives and Other Rev'!D45</f>
        <v>-9.7213834690373924E-2</v>
      </c>
      <c r="E74" s="43">
        <f>-'R4 - Incentives and Other Rev'!E45</f>
        <v>-0.1322204981211656</v>
      </c>
      <c r="F74" s="43">
        <f>-'R4 - Incentives and Other Rev'!F45</f>
        <v>-0.1085554171766548</v>
      </c>
      <c r="G74" s="43">
        <f>-'R4 - Incentives and Other Rev'!G45</f>
        <v>-7.7004827947971921E-2</v>
      </c>
      <c r="H74" s="43">
        <f>-'R4 - Incentives and Other Rev'!H45</f>
        <v>-6.2783199841611556E-2</v>
      </c>
      <c r="I74" s="34"/>
      <c r="J74" s="18">
        <f>SUM(D74:INDEX(D74:H74,0,MATCH('RFPR cover'!$C$9,$D$6:$H$6,0)))</f>
        <v>-9.7213834690373924E-2</v>
      </c>
      <c r="K74" s="18">
        <f t="shared" si="21"/>
        <v>-0.4777777777777778</v>
      </c>
      <c r="L74" s="34"/>
    </row>
    <row r="75" spans="1:12">
      <c r="A75" s="333" t="s">
        <v>486</v>
      </c>
      <c r="B75" s="238" t="str">
        <f>'R4 - Incentives and Other Rev'!B52</f>
        <v>Carry-over Network innovation input for RORE</v>
      </c>
      <c r="C75" s="340" t="str">
        <f>Data!$C$9</f>
        <v>£m 20/21</v>
      </c>
      <c r="D75" s="43">
        <f>-'R4 - Incentives and Other Rev'!D52</f>
        <v>-6.0062397394090999E-2</v>
      </c>
      <c r="E75" s="43">
        <f>-'R4 - Incentives and Other Rev'!E52</f>
        <v>0</v>
      </c>
      <c r="F75" s="43">
        <f>-'R4 - Incentives and Other Rev'!F52</f>
        <v>0</v>
      </c>
      <c r="G75" s="43">
        <f>-'R4 - Incentives and Other Rev'!G52</f>
        <v>0</v>
      </c>
      <c r="H75" s="43">
        <f>-'R4 - Incentives and Other Rev'!H52</f>
        <v>0</v>
      </c>
      <c r="I75" s="34"/>
      <c r="J75" s="18">
        <f>SUM(D75:INDEX(D75:H75,0,MATCH('RFPR cover'!$C$9,$D$6:$H$6,0)))</f>
        <v>-6.0062397394090999E-2</v>
      </c>
      <c r="K75" s="18">
        <f t="shared" si="21"/>
        <v>-6.0062397394090999E-2</v>
      </c>
      <c r="L75" s="34"/>
    </row>
    <row r="76" spans="1:12">
      <c r="A76" s="333" t="s">
        <v>487</v>
      </c>
      <c r="B76" s="238" t="str">
        <f>'R4 - Incentives and Other Rev'!B59</f>
        <v>Strategic innovation input for RORE</v>
      </c>
      <c r="C76" s="340" t="str">
        <f>Data!$C$9</f>
        <v>£m 20/21</v>
      </c>
      <c r="D76" s="43">
        <f>-'R4 - Incentives and Other Rev'!D59</f>
        <v>0</v>
      </c>
      <c r="E76" s="43">
        <f>-'R4 - Incentives and Other Rev'!E59</f>
        <v>0</v>
      </c>
      <c r="F76" s="43">
        <f>-'R4 - Incentives and Other Rev'!F59</f>
        <v>0</v>
      </c>
      <c r="G76" s="43">
        <f>-'R4 - Incentives and Other Rev'!G59</f>
        <v>0</v>
      </c>
      <c r="H76" s="43">
        <f>-'R4 - Incentives and Other Rev'!H59</f>
        <v>0</v>
      </c>
      <c r="I76" s="34"/>
      <c r="J76" s="18">
        <f>SUM(D76:INDEX(D76:H76,0,MATCH('RFPR cover'!$C$9,$D$6:$H$6,0)))</f>
        <v>0</v>
      </c>
      <c r="K76" s="18">
        <f t="shared" si="21"/>
        <v>0</v>
      </c>
      <c r="L76" s="34"/>
    </row>
    <row r="77" spans="1:12">
      <c r="A77" s="333" t="s">
        <v>488</v>
      </c>
      <c r="B77" s="238" t="str">
        <f>'R4 - Incentives and Other Rev'!B66</f>
        <v/>
      </c>
      <c r="C77" s="340" t="str">
        <f>Data!$C$9</f>
        <v>£m 20/21</v>
      </c>
      <c r="D77" s="44">
        <f>'R4 - Incentives and Other Rev'!D66</f>
        <v>0</v>
      </c>
      <c r="E77" s="44">
        <f>'R4 - Incentives and Other Rev'!E66</f>
        <v>0</v>
      </c>
      <c r="F77" s="44">
        <f>'R4 - Incentives and Other Rev'!F66</f>
        <v>0</v>
      </c>
      <c r="G77" s="44">
        <f>'R4 - Incentives and Other Rev'!G66</f>
        <v>0</v>
      </c>
      <c r="H77" s="44">
        <f>'R4 - Incentives and Other Rev'!H66</f>
        <v>0</v>
      </c>
      <c r="I77" s="34"/>
      <c r="J77" s="18">
        <f>SUM(D77:INDEX(D77:H77,0,MATCH('RFPR cover'!$C$9,$D$6:$H$6,0)))</f>
        <v>0</v>
      </c>
      <c r="K77" s="18">
        <f t="shared" si="20"/>
        <v>0</v>
      </c>
      <c r="L77" s="34"/>
    </row>
    <row r="78" spans="1:12">
      <c r="A78" s="333" t="s">
        <v>489</v>
      </c>
      <c r="B78" s="238" t="str">
        <f>'R4 - Incentives and Other Rev'!B67</f>
        <v/>
      </c>
      <c r="C78" s="340" t="str">
        <f>Data!$C$9</f>
        <v>£m 20/21</v>
      </c>
      <c r="D78" s="44">
        <f>'R4 - Incentives and Other Rev'!D67</f>
        <v>0</v>
      </c>
      <c r="E78" s="44">
        <f>'R4 - Incentives and Other Rev'!E67</f>
        <v>0</v>
      </c>
      <c r="F78" s="44">
        <f>'R4 - Incentives and Other Rev'!F67</f>
        <v>0</v>
      </c>
      <c r="G78" s="44">
        <f>'R4 - Incentives and Other Rev'!G67</f>
        <v>0</v>
      </c>
      <c r="H78" s="44">
        <f>'R4 - Incentives and Other Rev'!H67</f>
        <v>0</v>
      </c>
      <c r="I78" s="34"/>
      <c r="J78" s="18">
        <f>SUM(D78:INDEX(D78:H78,0,MATCH('RFPR cover'!$C$9,$D$6:$H$6,0)))</f>
        <v>0</v>
      </c>
      <c r="K78" s="18">
        <f t="shared" si="20"/>
        <v>0</v>
      </c>
      <c r="L78" s="34"/>
    </row>
    <row r="79" spans="1:12">
      <c r="A79" s="333" t="s">
        <v>490</v>
      </c>
      <c r="B79" s="238" t="str">
        <f>'R4 - Incentives and Other Rev'!B68</f>
        <v/>
      </c>
      <c r="C79" s="340" t="str">
        <f>Data!$C$9</f>
        <v>£m 20/21</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333" t="s">
        <v>491</v>
      </c>
      <c r="B80" s="238" t="str">
        <f>'R4 - Incentives and Other Rev'!B69</f>
        <v/>
      </c>
      <c r="C80" s="340" t="str">
        <f>Data!$C$9</f>
        <v>£m 20/21</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333" t="s">
        <v>492</v>
      </c>
      <c r="B81" s="238" t="str">
        <f>'R4 - Incentives and Other Rev'!B70</f>
        <v/>
      </c>
      <c r="C81" s="340" t="str">
        <f>Data!$C$9</f>
        <v>£m 20/21</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339" t="s">
        <v>500</v>
      </c>
      <c r="C82" s="340" t="str">
        <f>Data!$C$9</f>
        <v>£m 20/21</v>
      </c>
      <c r="D82" s="44">
        <f>-'R10 - Pensions &amp; Oth Activities'!D54</f>
        <v>-0.78611112254013804</v>
      </c>
      <c r="E82" s="44">
        <f>-'R10 - Pensions &amp; Oth Activities'!E54</f>
        <v>-0.47992724606254422</v>
      </c>
      <c r="F82" s="44">
        <f>-'R10 - Pensions &amp; Oth Activities'!F54</f>
        <v>-0.47254757139243642</v>
      </c>
      <c r="G82" s="44">
        <f>-'R10 - Pensions &amp; Oth Activities'!G54</f>
        <v>-0.28433592733921798</v>
      </c>
      <c r="H82" s="44">
        <f>-'R10 - Pensions &amp; Oth Activities'!H54</f>
        <v>-0.28311388130775827</v>
      </c>
      <c r="I82" s="34"/>
      <c r="J82" s="142">
        <f>SUM(D82:INDEX(D82:H82,0,MATCH('RFPR cover'!$C$9,$D$6:$H$6,0)))</f>
        <v>-0.78611112254013804</v>
      </c>
      <c r="K82" s="142">
        <f t="shared" si="20"/>
        <v>-2.3060357486420946</v>
      </c>
      <c r="L82" s="34"/>
    </row>
    <row r="83" spans="1:23" ht="14" thickBot="1">
      <c r="B83" s="342" t="s">
        <v>501</v>
      </c>
      <c r="C83" s="343" t="str">
        <f>Data!$C$9</f>
        <v>£m 20/21</v>
      </c>
      <c r="D83" s="147">
        <f>SUM(D65:D82)</f>
        <v>24.529878268950107</v>
      </c>
      <c r="E83" s="149">
        <f>SUM(E65:E82)</f>
        <v>35.354737910709694</v>
      </c>
      <c r="F83" s="149">
        <f>SUM(F65:F82)</f>
        <v>42.889497410254727</v>
      </c>
      <c r="G83" s="149">
        <f>SUM(G65:G82)</f>
        <v>56.510118182452388</v>
      </c>
      <c r="H83" s="148">
        <f>SUM(H65:H82)</f>
        <v>65.148881329756648</v>
      </c>
      <c r="I83" s="80"/>
      <c r="J83" s="147">
        <f>SUM(J65:J82)</f>
        <v>24.529878268950107</v>
      </c>
      <c r="K83" s="148">
        <f>SUM(K65:K82)</f>
        <v>224.43311310212351</v>
      </c>
      <c r="L83" s="34"/>
    </row>
    <row r="84" spans="1:23">
      <c r="B84" s="339" t="s">
        <v>502</v>
      </c>
      <c r="C84" s="340" t="str">
        <f>Data!$C$9</f>
        <v>£m 20/21</v>
      </c>
      <c r="D84" s="44">
        <f>IFERROR('R5 - Financing'!D85,0)</f>
        <v>84.788976349895208</v>
      </c>
      <c r="E84" s="44">
        <f>IFERROR('R5 - Financing'!E85,0)</f>
        <v>24.867747299599635</v>
      </c>
      <c r="F84" s="44">
        <f>IFERROR('R5 - Financing'!F85,0)</f>
        <v>-0.93353309280659291</v>
      </c>
      <c r="G84" s="44">
        <f>IFERROR('R5 - Financing'!G85,0)</f>
        <v>2.1638384316013197</v>
      </c>
      <c r="H84" s="44">
        <f>IFERROR('R5 - Financing'!H85,0)</f>
        <v>1.1033459917168233</v>
      </c>
      <c r="I84" s="34"/>
      <c r="J84" s="146">
        <f>SUM(D84:INDEX(D84:H84,0,MATCH('RFPR cover'!$C$9,$D$6:$H$6,0)))</f>
        <v>84.788976349895208</v>
      </c>
      <c r="K84" s="146">
        <f>SUM(D84:H84)</f>
        <v>111.99037498000638</v>
      </c>
      <c r="L84" s="34"/>
    </row>
    <row r="85" spans="1:23">
      <c r="B85" s="339" t="s">
        <v>503</v>
      </c>
      <c r="C85" s="340" t="str">
        <f>Data!$C$9</f>
        <v>£m 20/21</v>
      </c>
      <c r="D85" s="44">
        <f>IFERROR('R5 - Financing'!D87,0)</f>
        <v>-9.4441037516355948</v>
      </c>
      <c r="E85" s="44">
        <f>IFERROR('R5 - Financing'!E87,0)</f>
        <v>2.0613080199564315</v>
      </c>
      <c r="F85" s="44">
        <f>IFERROR('R5 - Financing'!F87,0)</f>
        <v>4.2275125372009663</v>
      </c>
      <c r="G85" s="44">
        <f>IFERROR('R5 - Financing'!G87,0)</f>
        <v>0.27191038385942568</v>
      </c>
      <c r="H85" s="44">
        <f>IFERROR('R5 - Financing'!H87,0)</f>
        <v>0.3560621383638094</v>
      </c>
      <c r="I85" s="34"/>
      <c r="J85" s="18">
        <f>SUM(D85:INDEX(D85:H85,0,MATCH('RFPR cover'!$C$9,$D$6:$H$6,0)))</f>
        <v>-9.4441037516355948</v>
      </c>
      <c r="K85" s="18">
        <f>SUM(D85:H85)</f>
        <v>-2.5273106722549619</v>
      </c>
      <c r="L85" s="34"/>
    </row>
    <row r="86" spans="1:23">
      <c r="B86" s="339" t="s">
        <v>504</v>
      </c>
      <c r="C86" s="340" t="str">
        <f>Data!$C$9</f>
        <v>£m 20/21</v>
      </c>
      <c r="D86" s="44">
        <f>IFERROR('R8 - Tax'!E62,0)</f>
        <v>-9.7129433536095071</v>
      </c>
      <c r="E86" s="44">
        <f>IFERROR('R8 - Tax'!F62,0)</f>
        <v>-3.0917620883837635</v>
      </c>
      <c r="F86" s="44">
        <f>IFERROR('R8 - Tax'!G62,0)</f>
        <v>0.53084803880534182</v>
      </c>
      <c r="G86" s="44">
        <f>IFERROR('R8 - Tax'!H62,0)</f>
        <v>8.6701555638420302E-2</v>
      </c>
      <c r="H86" s="44">
        <f>IFERROR('R8 - Tax'!I62,0)</f>
        <v>0.45975307515504937</v>
      </c>
      <c r="I86" s="34"/>
      <c r="J86" s="18">
        <f>SUM(D86:INDEX(D86:H86,0,MATCH('RFPR cover'!$C$9,$D$6:$H$6,0)))</f>
        <v>-9.7129433536095071</v>
      </c>
      <c r="K86" s="18">
        <f>SUM(D86:H86)</f>
        <v>-11.727402772394459</v>
      </c>
      <c r="L86" s="34"/>
    </row>
    <row r="87" spans="1:23" ht="14" thickBot="1">
      <c r="B87" s="339" t="s">
        <v>505</v>
      </c>
      <c r="C87" s="340" t="str">
        <f>Data!$C$9</f>
        <v>£m 20/21</v>
      </c>
      <c r="D87" s="44">
        <f>IFERROR('R8 - Tax'!E64,0)</f>
        <v>2.3610259379088916</v>
      </c>
      <c r="E87" s="44">
        <f>IFERROR('R8 - Tax'!F64,0)</f>
        <v>-0.515327004989107</v>
      </c>
      <c r="F87" s="44">
        <f>IFERROR('R8 - Tax'!G64,0)</f>
        <v>-1.0568781343002414</v>
      </c>
      <c r="G87" s="44">
        <f>IFERROR('R8 - Tax'!H64,0)</f>
        <v>-6.7977595964855198E-2</v>
      </c>
      <c r="H87" s="44">
        <f>IFERROR('R8 - Tax'!I64,0)</f>
        <v>-8.9015534590952683E-2</v>
      </c>
      <c r="I87" s="34"/>
      <c r="J87" s="142">
        <f>SUM(D87:INDEX(D87:H87,0,MATCH('RFPR cover'!$C$9,$D$6:$H$6,0)))</f>
        <v>2.3610259379088916</v>
      </c>
      <c r="K87" s="142">
        <f>SUM(D87:H87)</f>
        <v>0.63182766806373536</v>
      </c>
      <c r="L87" s="34"/>
    </row>
    <row r="88" spans="1:23" ht="14" thickBot="1">
      <c r="B88" s="342" t="s">
        <v>506</v>
      </c>
      <c r="C88" s="343" t="str">
        <f>Data!$C$9</f>
        <v>£m 20/21</v>
      </c>
      <c r="D88" s="230">
        <f>IF(OR(Licensee=Data!$B$86,Licensee=Data!$B$89),"N/A",SUM(D83:D87))</f>
        <v>92.522833451509101</v>
      </c>
      <c r="E88" s="230">
        <f>IF(OR(Licensee=Data!$B$86,Licensee=Data!$B$89),"N/A",SUM(E83:E87))</f>
        <v>58.676704136892894</v>
      </c>
      <c r="F88" s="230">
        <f>IF(OR(Licensee=Data!$B$86,Licensee=Data!$B$89),"N/A",SUM(F83:F87))</f>
        <v>45.657446759154205</v>
      </c>
      <c r="G88" s="230">
        <f>IF(OR(Licensee=Data!$B$86,Licensee=Data!$B$89),"N/A",SUM(G83:G87))</f>
        <v>58.964590957586701</v>
      </c>
      <c r="H88" s="230">
        <f>IF(OR(Licensee=Data!$B$86,Licensee=Data!$B$89),"N/A",SUM(H83:H87))</f>
        <v>66.979027000401373</v>
      </c>
      <c r="I88" s="80"/>
      <c r="J88" s="147">
        <f>SUM(J83:J87)</f>
        <v>92.522833451509101</v>
      </c>
      <c r="K88" s="148">
        <f>SUM(K83:K87)</f>
        <v>322.80060230554426</v>
      </c>
      <c r="L88" s="34"/>
    </row>
    <row r="89" spans="1:23">
      <c r="D89" s="150"/>
      <c r="I89" s="34"/>
      <c r="L89" s="34"/>
    </row>
    <row r="90" spans="1:23">
      <c r="B90" s="344" t="s">
        <v>507</v>
      </c>
      <c r="C90" s="340" t="str">
        <f>Data!$C$9</f>
        <v>£m 20/21</v>
      </c>
      <c r="D90" s="42">
        <f>'R7 - RAV'!F40</f>
        <v>797.63206296461851</v>
      </c>
      <c r="E90" s="32">
        <f>'R7 - RAV'!G40</f>
        <v>827.09885251562412</v>
      </c>
      <c r="F90" s="32">
        <f>'R7 - RAV'!H40</f>
        <v>864.47224176630061</v>
      </c>
      <c r="G90" s="32">
        <f>'R7 - RAV'!I40</f>
        <v>903.83583380579194</v>
      </c>
      <c r="H90" s="32">
        <f>'R7 - RAV'!J40</f>
        <v>946.14137974476171</v>
      </c>
      <c r="I90" s="34"/>
      <c r="L90" s="34"/>
    </row>
    <row r="91" spans="1:23">
      <c r="B91" s="339" t="s">
        <v>508</v>
      </c>
      <c r="C91" s="340" t="str">
        <f>Data!$C$9</f>
        <v>£m 20/21</v>
      </c>
      <c r="D91" s="45">
        <f>IFERROR('R6 - Net Debt'!D73,0)</f>
        <v>1034.5208803796029</v>
      </c>
      <c r="E91" s="45">
        <f>IFERROR('R6 - Net Debt'!E73,0)</f>
        <v>1003.9464468477681</v>
      </c>
      <c r="F91" s="45">
        <f>IFERROR('R6 - Net Debt'!F73,0)</f>
        <v>992.50137887456447</v>
      </c>
      <c r="G91" s="45">
        <f>IFERROR('R6 - Net Debt'!G73,0)</f>
        <v>912.66295836290089</v>
      </c>
      <c r="H91" s="45">
        <f>IFERROR('R6 - Net Debt'!H73,0)</f>
        <v>957.33036294317492</v>
      </c>
      <c r="I91" s="34"/>
      <c r="L91" s="34"/>
    </row>
    <row r="92" spans="1:23">
      <c r="L92" s="34"/>
    </row>
    <row r="93" spans="1:23">
      <c r="L93" s="34"/>
    </row>
    <row r="94" spans="1:23">
      <c r="L94" s="34"/>
      <c r="S94" s="103"/>
      <c r="T94" s="103"/>
      <c r="U94" s="103"/>
      <c r="V94" s="103"/>
      <c r="W94" s="103"/>
    </row>
    <row r="95" spans="1:23">
      <c r="S95" s="103"/>
      <c r="T95" s="103"/>
      <c r="U95" s="103"/>
      <c r="V95" s="103"/>
      <c r="W95" s="103"/>
    </row>
    <row r="99" spans="13:17">
      <c r="M99" s="103"/>
      <c r="N99" s="103"/>
      <c r="O99" s="103"/>
      <c r="P99" s="103"/>
      <c r="Q99" s="103"/>
    </row>
    <row r="101" spans="13:17">
      <c r="M101" s="103"/>
      <c r="N101" s="103"/>
      <c r="O101" s="103"/>
      <c r="P101" s="103"/>
      <c r="Q101" s="103"/>
    </row>
  </sheetData>
  <sheetProtection algorithmName="SHA-512" hashValue="A4hor9VlsGe47EpdtVaUyNINL9OO053KGvpYcLGlgChRbXfOL4fDpZbd3sBgfGV1eikQEgHU165cWxKlyIHxWg==" saltValue="fRoceLkrgKZleQS9LkWQHA==" spinCount="100000" sheet="1" objects="1" scenarios="1"/>
  <phoneticPr fontId="248" type="noConversion"/>
  <conditionalFormatting sqref="D6:G6">
    <cfRule type="expression" dxfId="80" priority="8">
      <formula>AND(D$5="Actuals",E$5="Forecast")</formula>
    </cfRule>
  </conditionalFormatting>
  <conditionalFormatting sqref="D7:H7">
    <cfRule type="expression" dxfId="79" priority="2">
      <formula>AND(D$5="Actuals",E$5="Forecast")</formula>
    </cfRule>
  </conditionalFormatting>
  <conditionalFormatting sqref="H6">
    <cfRule type="expression" dxfId="78" priority="201">
      <formula>AND(H$5="Actuals",#REF!="Forecast")</formula>
    </cfRule>
  </conditionalFormatting>
  <pageMargins left="0.70866141732283472" right="0.70866141732283472" top="0.74803149606299213" bottom="0.74803149606299213" header="0.31496062992125984" footer="0.31496062992125984"/>
  <pageSetup paperSize="8"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85" zoomScaleNormal="85" workbookViewId="0">
      <selection activeCell="B1" sqref="B1"/>
    </sheetView>
  </sheetViews>
  <sheetFormatPr defaultColWidth="9" defaultRowHeight="13.5" outlineLevelCol="1"/>
  <cols>
    <col min="1" max="1" width="0.765625" style="103" customWidth="1"/>
    <col min="2" max="2" width="54.84375" style="79" customWidth="1"/>
    <col min="3" max="3" width="37.15234375" style="79" customWidth="1"/>
    <col min="4" max="4" width="14.4609375" style="29" customWidth="1"/>
    <col min="5" max="5" width="10.3828125" style="103" customWidth="1"/>
    <col min="6" max="9" width="11.15234375" style="103" customWidth="1"/>
    <col min="10" max="10" width="5" style="103" customWidth="1"/>
    <col min="11" max="20" width="9.23046875" style="103" customWidth="1" outlineLevel="1"/>
    <col min="21" max="16384" width="9" style="103"/>
  </cols>
  <sheetData>
    <row r="1" spans="1:14" ht="20">
      <c r="A1" s="287" t="s">
        <v>509</v>
      </c>
      <c r="B1" s="345"/>
      <c r="C1" s="345"/>
      <c r="D1" s="346"/>
      <c r="E1" s="347"/>
      <c r="F1" s="347"/>
      <c r="G1" s="347"/>
      <c r="H1" s="347"/>
      <c r="I1" s="347"/>
      <c r="J1" s="348"/>
    </row>
    <row r="2" spans="1:14" ht="20">
      <c r="A2" s="292" t="str">
        <f t="shared" ref="A2" si="0">Licensee</f>
        <v>NPgY</v>
      </c>
      <c r="B2" s="293"/>
      <c r="C2" s="293"/>
      <c r="D2" s="349"/>
      <c r="E2" s="295"/>
      <c r="F2" s="295"/>
      <c r="G2" s="295"/>
      <c r="H2" s="295"/>
      <c r="I2" s="295"/>
      <c r="J2" s="297"/>
    </row>
    <row r="3" spans="1:14" ht="20">
      <c r="A3" s="294">
        <f>Reporting_Year</f>
        <v>2024</v>
      </c>
      <c r="B3" s="350"/>
      <c r="C3" s="350"/>
      <c r="D3" s="351"/>
      <c r="E3" s="298"/>
      <c r="F3" s="298"/>
      <c r="G3" s="298"/>
      <c r="H3" s="298"/>
      <c r="I3" s="298"/>
      <c r="J3" s="300"/>
    </row>
    <row r="4" spans="1:14" s="302" customFormat="1" ht="12.75" customHeight="1">
      <c r="B4" s="352"/>
      <c r="C4" s="352"/>
      <c r="D4" s="29"/>
    </row>
    <row r="5" spans="1:14" s="302" customFormat="1">
      <c r="B5" s="352"/>
      <c r="C5" s="352"/>
      <c r="D5" s="29"/>
      <c r="E5" s="301" t="str">
        <f>IF(E6&lt;=Reporting_Year,"Actuals","Forecast")</f>
        <v>Actuals</v>
      </c>
      <c r="F5" s="301" t="str">
        <f>IF(F6&lt;=Reporting_Year,"Actuals","Forecast")</f>
        <v>Forecast</v>
      </c>
      <c r="G5" s="301" t="str">
        <f>IF(G6&lt;=Reporting_Year,"Actuals","Forecast")</f>
        <v>Forecast</v>
      </c>
      <c r="H5" s="301" t="str">
        <f>IF(H6&lt;=Reporting_Year,"Actuals","Forecast")</f>
        <v>Forecast</v>
      </c>
      <c r="I5" s="301" t="str">
        <f>IF(I6&lt;=Reporting_Year,"Actuals","Forecast")</f>
        <v>Forecast</v>
      </c>
    </row>
    <row r="6" spans="1:14" s="302" customFormat="1">
      <c r="B6" s="352"/>
      <c r="C6" s="352"/>
      <c r="D6" s="29"/>
      <c r="E6" s="303">
        <f>RIIO_2_start_date</f>
        <v>2024</v>
      </c>
      <c r="F6" s="303">
        <f>E6+1</f>
        <v>2025</v>
      </c>
      <c r="G6" s="303">
        <f>F6+1</f>
        <v>2026</v>
      </c>
      <c r="H6" s="303">
        <f t="shared" ref="H6:I6" si="1">G6+1</f>
        <v>2027</v>
      </c>
      <c r="I6" s="303">
        <f t="shared" si="1"/>
        <v>2028</v>
      </c>
    </row>
    <row r="7" spans="1:14" s="302" customFormat="1">
      <c r="B7" s="78"/>
      <c r="C7" s="78"/>
      <c r="D7" s="29"/>
      <c r="E7" s="306" t="str">
        <f>RIIO_2_start_date-1&amp;"/"&amp;RIGHT(RIIO_2_start_date,2)</f>
        <v>2023/24</v>
      </c>
      <c r="F7" s="306" t="str">
        <f>RIIO_2_start_date&amp;"/"&amp;RIGHT(RIIO_2_start_date+1,2)</f>
        <v>2024/25</v>
      </c>
      <c r="G7" s="306" t="str">
        <f>RIIO_2_start_date+1&amp;"/"&amp;RIGHT(RIIO_2_start_date+2,2)</f>
        <v>2025/26</v>
      </c>
      <c r="H7" s="306" t="str">
        <f>RIIO_2_start_date+2&amp;"/"&amp;RIGHT(RIIO_2_start_date+3,2)</f>
        <v>2026/27</v>
      </c>
      <c r="I7" s="306" t="str">
        <f>RIIO_2_start_date+3&amp;"/"&amp;RIGHT(RIIO_2_start_date+4,2)</f>
        <v>2027/28</v>
      </c>
    </row>
    <row r="8" spans="1:14" s="302" customFormat="1">
      <c r="B8" s="78"/>
      <c r="C8" s="78"/>
      <c r="D8" s="29"/>
      <c r="E8" s="353"/>
      <c r="F8" s="353"/>
      <c r="G8" s="353"/>
      <c r="H8" s="353"/>
      <c r="I8" s="353"/>
    </row>
    <row r="9" spans="1:14" s="302" customFormat="1">
      <c r="B9" s="354" t="s">
        <v>510</v>
      </c>
      <c r="C9" s="354"/>
      <c r="D9" s="355"/>
      <c r="E9" s="356"/>
      <c r="F9" s="356"/>
      <c r="G9" s="356"/>
      <c r="H9" s="356"/>
      <c r="I9" s="356"/>
      <c r="J9" s="357"/>
    </row>
    <row r="10" spans="1:14" s="302" customFormat="1">
      <c r="B10" s="78"/>
      <c r="C10" s="78"/>
      <c r="D10" s="29"/>
      <c r="E10" s="353"/>
      <c r="F10" s="353"/>
      <c r="G10" s="353"/>
      <c r="H10" s="353"/>
      <c r="I10" s="353"/>
    </row>
    <row r="11" spans="1:14" s="302" customFormat="1">
      <c r="B11" s="358" t="s">
        <v>511</v>
      </c>
      <c r="C11" s="78"/>
      <c r="D11" s="29"/>
    </row>
    <row r="12" spans="1:14" s="302" customFormat="1">
      <c r="B12" s="359"/>
      <c r="C12" s="78"/>
      <c r="D12" s="29"/>
    </row>
    <row r="13" spans="1:14" s="302" customFormat="1">
      <c r="B13" s="79" t="s">
        <v>512</v>
      </c>
      <c r="C13" s="304" t="str">
        <f>IF(Licensee="NGGT (SO)","SORt* x  PIt* / PI2018/19",IF(Sector="ED2","Rt* x  PIt* / PI2020/21","Rt* x  PIt* / PI2018/19"))</f>
        <v>Rt* x  PIt* / PI2020/21</v>
      </c>
      <c r="D13" s="28" t="s">
        <v>513</v>
      </c>
      <c r="E13" s="360">
        <v>488.94943073967738</v>
      </c>
      <c r="F13" s="360"/>
      <c r="G13" s="360"/>
      <c r="H13" s="360"/>
      <c r="I13" s="360"/>
      <c r="N13" s="304"/>
    </row>
    <row r="14" spans="1:14" s="302" customFormat="1">
      <c r="B14" s="728" t="s">
        <v>514</v>
      </c>
      <c r="C14" s="103" t="str">
        <f>IF(Licensee="NGGT (SO)","SOADJt*","ADJt*")</f>
        <v>ADJt*</v>
      </c>
      <c r="D14" s="28" t="s">
        <v>513</v>
      </c>
      <c r="E14" s="360"/>
      <c r="F14" s="360"/>
      <c r="G14" s="360"/>
      <c r="H14" s="360"/>
      <c r="I14" s="360"/>
    </row>
    <row r="15" spans="1:14" s="302" customFormat="1">
      <c r="B15" s="79" t="str">
        <f>IF(Sector="ED2","Calculated revenue","Adjusted revenue (as published)")</f>
        <v>Calculated revenue</v>
      </c>
      <c r="C15" s="103" t="str">
        <f>IF(Licensee="NGGT (SO)","SOADJRt*",IF(Sector="ED2"," ","ADJRt*"))</f>
        <v xml:space="preserve"> </v>
      </c>
      <c r="D15" s="28" t="s">
        <v>513</v>
      </c>
      <c r="E15" s="403">
        <f>SUM(E13:E14)</f>
        <v>488.94943073967738</v>
      </c>
      <c r="F15" s="403">
        <f t="shared" ref="F15:I15" si="2">SUM(F13:F14)</f>
        <v>0</v>
      </c>
      <c r="G15" s="403">
        <f t="shared" si="2"/>
        <v>0</v>
      </c>
      <c r="H15" s="403">
        <f t="shared" si="2"/>
        <v>0</v>
      </c>
      <c r="I15" s="403">
        <f t="shared" si="2"/>
        <v>0</v>
      </c>
    </row>
    <row r="16" spans="1:14" s="302" customFormat="1">
      <c r="B16" s="79" t="s">
        <v>515</v>
      </c>
      <c r="C16" s="103" t="str">
        <f>IF(OR(Licensee="ESO",Licensee="NGGT (SO)"),"SOLARt","LARt")</f>
        <v>LARt</v>
      </c>
      <c r="D16" s="28" t="s">
        <v>513</v>
      </c>
      <c r="E16" s="360">
        <v>16.453239351862692</v>
      </c>
      <c r="F16" s="360"/>
      <c r="G16" s="360"/>
      <c r="H16" s="360"/>
      <c r="I16" s="360"/>
    </row>
    <row r="17" spans="2:10" s="302" customFormat="1">
      <c r="B17" s="79" t="s">
        <v>516</v>
      </c>
      <c r="C17" s="103" t="str">
        <f>IF(Licensee="NGGT (SO)","SOKt","Kt")</f>
        <v>Kt</v>
      </c>
      <c r="D17" s="28" t="s">
        <v>513</v>
      </c>
      <c r="E17" s="360">
        <v>10.371926127213841</v>
      </c>
      <c r="F17" s="360"/>
      <c r="G17" s="360"/>
      <c r="H17" s="360"/>
      <c r="I17" s="360"/>
    </row>
    <row r="18" spans="2:10" s="302" customFormat="1">
      <c r="B18" s="79" t="s">
        <v>517</v>
      </c>
      <c r="C18" s="103" t="s">
        <v>518</v>
      </c>
      <c r="D18" s="28" t="s">
        <v>513</v>
      </c>
      <c r="E18" s="727"/>
      <c r="F18" s="727"/>
      <c r="G18" s="727"/>
      <c r="H18" s="727"/>
      <c r="I18" s="727"/>
    </row>
    <row r="19" spans="2:10" s="302" customFormat="1">
      <c r="B19" s="78" t="s">
        <v>519</v>
      </c>
      <c r="C19" s="78" t="str">
        <f>IF(Licensee="ESO","SOIARt",IF(Licensee="NGGT (SO)","SOARt","ARt"))</f>
        <v>ARt</v>
      </c>
      <c r="D19" s="29" t="s">
        <v>513</v>
      </c>
      <c r="E19" s="402">
        <f>SUM(E15:E18)</f>
        <v>515.77459621875391</v>
      </c>
      <c r="F19" s="402">
        <f t="shared" ref="F19:I19" si="3">SUM(F15:F18)</f>
        <v>0</v>
      </c>
      <c r="G19" s="402">
        <f t="shared" si="3"/>
        <v>0</v>
      </c>
      <c r="H19" s="402">
        <f t="shared" si="3"/>
        <v>0</v>
      </c>
      <c r="I19" s="402">
        <f t="shared" si="3"/>
        <v>0</v>
      </c>
    </row>
    <row r="20" spans="2:10" s="302" customFormat="1">
      <c r="B20" s="352"/>
      <c r="C20" s="352"/>
      <c r="D20" s="29"/>
      <c r="E20" s="361"/>
      <c r="F20" s="361"/>
      <c r="G20" s="361"/>
      <c r="H20" s="362"/>
      <c r="I20" s="362"/>
    </row>
    <row r="21" spans="2:10" s="302" customFormat="1">
      <c r="B21" s="352" t="s">
        <v>520</v>
      </c>
      <c r="C21" s="359"/>
      <c r="D21" s="29" t="s">
        <v>513</v>
      </c>
      <c r="E21" s="402">
        <f>IF(ISBLANK(E25),0,E25-E19)</f>
        <v>-72.753414362087199</v>
      </c>
      <c r="F21" s="402">
        <f t="shared" ref="F21:I21" si="4">IF(ISBLANK(F25),0,F25-F19)</f>
        <v>0</v>
      </c>
      <c r="G21" s="402">
        <f t="shared" si="4"/>
        <v>0</v>
      </c>
      <c r="H21" s="402">
        <f t="shared" si="4"/>
        <v>0</v>
      </c>
      <c r="I21" s="402">
        <f t="shared" si="4"/>
        <v>0</v>
      </c>
    </row>
    <row r="22" spans="2:10" s="302" customFormat="1">
      <c r="B22" s="352"/>
      <c r="C22" s="352"/>
      <c r="D22" s="29"/>
    </row>
    <row r="23" spans="2:10" s="302" customFormat="1">
      <c r="B23" s="352"/>
      <c r="C23" s="352"/>
      <c r="D23" s="29"/>
    </row>
    <row r="24" spans="2:10" s="302" customFormat="1">
      <c r="B24" s="352"/>
      <c r="C24" s="352"/>
      <c r="D24" s="29"/>
    </row>
    <row r="25" spans="2:10" s="302" customFormat="1">
      <c r="B25" s="359" t="s">
        <v>521</v>
      </c>
      <c r="C25" s="359" t="s">
        <v>522</v>
      </c>
      <c r="D25" s="29" t="s">
        <v>513</v>
      </c>
      <c r="E25" s="360">
        <v>443.02118185666671</v>
      </c>
      <c r="F25" s="360"/>
      <c r="G25" s="360"/>
      <c r="H25" s="360"/>
      <c r="I25" s="360"/>
    </row>
    <row r="26" spans="2:10" s="302" customFormat="1">
      <c r="B26" s="352"/>
      <c r="C26" s="352"/>
      <c r="D26" s="29"/>
    </row>
    <row r="27" spans="2:10" s="302" customFormat="1">
      <c r="B27" s="359" t="s">
        <v>523</v>
      </c>
      <c r="C27" s="359"/>
      <c r="D27" s="29"/>
      <c r="E27" s="29"/>
      <c r="F27" s="29"/>
      <c r="G27" s="29"/>
      <c r="H27" s="29"/>
      <c r="I27" s="29"/>
      <c r="J27" s="29"/>
    </row>
    <row r="28" spans="2:10" s="302" customFormat="1">
      <c r="B28" s="363" t="s">
        <v>524</v>
      </c>
      <c r="C28" s="363"/>
      <c r="D28" s="29" t="s">
        <v>513</v>
      </c>
      <c r="E28" s="364">
        <v>0</v>
      </c>
      <c r="F28" s="364"/>
      <c r="G28" s="364"/>
      <c r="H28" s="364"/>
      <c r="I28" s="364"/>
    </row>
    <row r="29" spans="2:10" s="302" customFormat="1">
      <c r="B29" s="363" t="s">
        <v>525</v>
      </c>
      <c r="C29" s="363"/>
      <c r="D29" s="29" t="s">
        <v>513</v>
      </c>
      <c r="E29" s="364">
        <v>1.29093167</v>
      </c>
      <c r="F29" s="364"/>
      <c r="G29" s="364"/>
      <c r="H29" s="364"/>
      <c r="I29" s="364"/>
    </row>
    <row r="30" spans="2:10" s="302" customFormat="1">
      <c r="B30" s="363" t="s">
        <v>526</v>
      </c>
      <c r="C30" s="363"/>
      <c r="D30" s="29" t="s">
        <v>513</v>
      </c>
      <c r="E30" s="364">
        <v>56.685644191993411</v>
      </c>
      <c r="F30" s="364"/>
      <c r="G30" s="364"/>
      <c r="H30" s="364"/>
      <c r="I30" s="364"/>
    </row>
    <row r="31" spans="2:10" s="302" customFormat="1">
      <c r="B31" s="363" t="s">
        <v>527</v>
      </c>
      <c r="C31" s="363"/>
      <c r="D31" s="29" t="s">
        <v>513</v>
      </c>
      <c r="E31" s="364">
        <v>0</v>
      </c>
      <c r="F31" s="364"/>
      <c r="G31" s="364"/>
      <c r="H31" s="364"/>
      <c r="I31" s="364"/>
    </row>
    <row r="32" spans="2:10" s="302" customFormat="1">
      <c r="B32" s="363" t="s">
        <v>528</v>
      </c>
      <c r="C32" s="363"/>
      <c r="D32" s="29" t="s">
        <v>513</v>
      </c>
      <c r="E32" s="364">
        <v>0</v>
      </c>
      <c r="F32" s="364"/>
      <c r="G32" s="364"/>
      <c r="H32" s="364"/>
      <c r="I32" s="364"/>
    </row>
    <row r="33" spans="2:9" s="302" customFormat="1">
      <c r="B33" s="363" t="s">
        <v>529</v>
      </c>
      <c r="C33" s="363"/>
      <c r="D33" s="29" t="s">
        <v>513</v>
      </c>
      <c r="E33" s="364">
        <v>18.187643880000003</v>
      </c>
      <c r="F33" s="364"/>
      <c r="G33" s="364"/>
      <c r="H33" s="364"/>
      <c r="I33" s="364"/>
    </row>
    <row r="34" spans="2:9" s="302" customFormat="1">
      <c r="B34" s="363" t="s">
        <v>530</v>
      </c>
      <c r="C34" s="363"/>
      <c r="D34" s="29" t="s">
        <v>513</v>
      </c>
      <c r="E34" s="364">
        <v>0</v>
      </c>
      <c r="F34" s="364"/>
      <c r="G34" s="364"/>
      <c r="H34" s="364"/>
      <c r="I34" s="364"/>
    </row>
    <row r="35" spans="2:9" s="302" customFormat="1">
      <c r="B35" s="167" t="s">
        <v>531</v>
      </c>
      <c r="C35" s="167"/>
      <c r="D35" s="29" t="s">
        <v>513</v>
      </c>
      <c r="E35" s="364">
        <v>0</v>
      </c>
      <c r="F35" s="364"/>
      <c r="G35" s="364"/>
      <c r="H35" s="364"/>
      <c r="I35" s="364"/>
    </row>
    <row r="36" spans="2:9" s="302" customFormat="1">
      <c r="B36" s="365" t="s">
        <v>532</v>
      </c>
      <c r="C36" s="366"/>
      <c r="D36" s="29" t="s">
        <v>513</v>
      </c>
      <c r="E36" s="364"/>
      <c r="F36" s="364"/>
      <c r="G36" s="364"/>
      <c r="H36" s="364"/>
      <c r="I36" s="364"/>
    </row>
    <row r="37" spans="2:9" s="302" customFormat="1">
      <c r="B37" s="359" t="s">
        <v>533</v>
      </c>
      <c r="C37" s="359"/>
      <c r="D37" s="29" t="s">
        <v>513</v>
      </c>
      <c r="E37" s="402">
        <f>SUM(E28:E36)</f>
        <v>76.164219741993406</v>
      </c>
      <c r="F37" s="402">
        <f t="shared" ref="F37:I37" si="5">SUM(F28:F36)</f>
        <v>0</v>
      </c>
      <c r="G37" s="402">
        <f t="shared" si="5"/>
        <v>0</v>
      </c>
      <c r="H37" s="402">
        <f t="shared" si="5"/>
        <v>0</v>
      </c>
      <c r="I37" s="402">
        <f t="shared" si="5"/>
        <v>0</v>
      </c>
    </row>
    <row r="38" spans="2:9" s="302" customFormat="1">
      <c r="B38" s="352"/>
      <c r="C38" s="352"/>
      <c r="D38" s="29"/>
    </row>
    <row r="39" spans="2:9" s="302" customFormat="1">
      <c r="B39" s="359" t="s">
        <v>534</v>
      </c>
      <c r="D39" s="359"/>
      <c r="E39" s="367"/>
    </row>
    <row r="40" spans="2:9" s="302" customFormat="1">
      <c r="B40" s="365" t="s">
        <v>922</v>
      </c>
      <c r="C40" s="365"/>
      <c r="D40" s="29" t="s">
        <v>513</v>
      </c>
      <c r="E40" s="364">
        <v>-44.1795084619934</v>
      </c>
      <c r="F40" s="364"/>
      <c r="G40" s="364"/>
      <c r="H40" s="364"/>
      <c r="I40" s="364"/>
    </row>
    <row r="41" spans="2:9" s="302" customFormat="1">
      <c r="B41" s="365" t="s">
        <v>923</v>
      </c>
      <c r="C41" s="365"/>
      <c r="D41" s="29" t="s">
        <v>513</v>
      </c>
      <c r="E41" s="364">
        <v>37.521088969999987</v>
      </c>
      <c r="F41" s="364"/>
      <c r="G41" s="364"/>
      <c r="H41" s="364"/>
      <c r="I41" s="364"/>
    </row>
    <row r="42" spans="2:9" s="302" customFormat="1">
      <c r="B42" s="365" t="s">
        <v>924</v>
      </c>
      <c r="C42" s="365"/>
      <c r="D42" s="29" t="s">
        <v>513</v>
      </c>
      <c r="E42" s="364">
        <v>-2.6570212900000114</v>
      </c>
      <c r="F42" s="364"/>
      <c r="G42" s="364"/>
      <c r="H42" s="364"/>
      <c r="I42" s="364"/>
    </row>
    <row r="43" spans="2:9" s="302" customFormat="1">
      <c r="B43" s="365" t="s">
        <v>925</v>
      </c>
      <c r="C43" s="365"/>
      <c r="D43" s="29" t="s">
        <v>513</v>
      </c>
      <c r="E43" s="364">
        <v>0.40963387644209498</v>
      </c>
      <c r="F43" s="364"/>
      <c r="G43" s="364"/>
      <c r="H43" s="364"/>
      <c r="I43" s="364"/>
    </row>
    <row r="44" spans="2:9" s="302" customFormat="1">
      <c r="B44" s="365" t="s">
        <v>535</v>
      </c>
      <c r="C44" s="365"/>
      <c r="D44" s="29" t="s">
        <v>513</v>
      </c>
      <c r="E44" s="364"/>
      <c r="F44" s="364"/>
      <c r="G44" s="364"/>
      <c r="H44" s="364"/>
      <c r="I44" s="364"/>
    </row>
    <row r="45" spans="2:9" s="302" customFormat="1">
      <c r="B45" s="365" t="s">
        <v>535</v>
      </c>
      <c r="C45" s="365"/>
      <c r="D45" s="29" t="s">
        <v>513</v>
      </c>
      <c r="E45" s="364"/>
      <c r="F45" s="364"/>
      <c r="G45" s="364"/>
      <c r="H45" s="364"/>
      <c r="I45" s="364"/>
    </row>
    <row r="46" spans="2:9" s="302" customFormat="1">
      <c r="B46" s="365" t="s">
        <v>535</v>
      </c>
      <c r="C46" s="365"/>
      <c r="D46" s="29" t="s">
        <v>513</v>
      </c>
      <c r="E46" s="364"/>
      <c r="F46" s="364"/>
      <c r="G46" s="364"/>
      <c r="H46" s="364"/>
      <c r="I46" s="364"/>
    </row>
    <row r="47" spans="2:9" s="302" customFormat="1">
      <c r="B47" s="365" t="s">
        <v>535</v>
      </c>
      <c r="C47" s="365"/>
      <c r="D47" s="29" t="s">
        <v>513</v>
      </c>
      <c r="E47" s="364"/>
      <c r="F47" s="364"/>
      <c r="G47" s="364"/>
      <c r="H47" s="364"/>
      <c r="I47" s="364"/>
    </row>
    <row r="48" spans="2:9" s="302" customFormat="1">
      <c r="B48" s="365" t="s">
        <v>535</v>
      </c>
      <c r="C48" s="365"/>
      <c r="D48" s="29" t="s">
        <v>513</v>
      </c>
      <c r="E48" s="364"/>
      <c r="F48" s="364"/>
      <c r="G48" s="364"/>
      <c r="H48" s="364"/>
      <c r="I48" s="364"/>
    </row>
    <row r="49" spans="2:10" s="302" customFormat="1">
      <c r="B49" s="365" t="s">
        <v>535</v>
      </c>
      <c r="C49" s="365"/>
      <c r="D49" s="29" t="s">
        <v>513</v>
      </c>
      <c r="E49" s="364"/>
      <c r="F49" s="364"/>
      <c r="G49" s="364"/>
      <c r="H49" s="364"/>
      <c r="I49" s="364"/>
    </row>
    <row r="50" spans="2:10" s="302" customFormat="1">
      <c r="B50" s="365" t="s">
        <v>535</v>
      </c>
      <c r="C50" s="365"/>
      <c r="D50" s="29" t="s">
        <v>513</v>
      </c>
      <c r="E50" s="364"/>
      <c r="F50" s="364"/>
      <c r="G50" s="364"/>
      <c r="H50" s="364"/>
      <c r="I50" s="364"/>
    </row>
    <row r="51" spans="2:10" s="302" customFormat="1">
      <c r="B51" s="365" t="s">
        <v>535</v>
      </c>
      <c r="C51" s="365"/>
      <c r="D51" s="29" t="s">
        <v>513</v>
      </c>
      <c r="E51" s="364"/>
      <c r="F51" s="364"/>
      <c r="G51" s="364"/>
      <c r="H51" s="364"/>
      <c r="I51" s="364"/>
    </row>
    <row r="52" spans="2:10" s="302" customFormat="1">
      <c r="B52" s="365" t="s">
        <v>535</v>
      </c>
      <c r="C52" s="365"/>
      <c r="D52" s="29" t="s">
        <v>513</v>
      </c>
      <c r="E52" s="364"/>
      <c r="F52" s="364"/>
      <c r="G52" s="364"/>
      <c r="H52" s="364"/>
      <c r="I52" s="364"/>
    </row>
    <row r="53" spans="2:10" s="302" customFormat="1">
      <c r="B53" s="365" t="s">
        <v>535</v>
      </c>
      <c r="C53" s="365"/>
      <c r="D53" s="29" t="s">
        <v>513</v>
      </c>
      <c r="E53" s="364"/>
      <c r="F53" s="364"/>
      <c r="G53" s="364"/>
      <c r="H53" s="364"/>
      <c r="I53" s="364"/>
    </row>
    <row r="54" spans="2:10" s="302" customFormat="1">
      <c r="B54" s="365" t="s">
        <v>535</v>
      </c>
      <c r="C54" s="365"/>
      <c r="D54" s="29" t="s">
        <v>513</v>
      </c>
      <c r="E54" s="364"/>
      <c r="F54" s="364"/>
      <c r="G54" s="364"/>
      <c r="H54" s="364"/>
      <c r="I54" s="364"/>
    </row>
    <row r="55" spans="2:10" s="302" customFormat="1">
      <c r="B55" s="365" t="s">
        <v>535</v>
      </c>
      <c r="C55" s="365"/>
      <c r="D55" s="29" t="s">
        <v>513</v>
      </c>
      <c r="E55" s="364"/>
      <c r="F55" s="364"/>
      <c r="G55" s="364"/>
      <c r="H55" s="364"/>
      <c r="I55" s="364"/>
    </row>
    <row r="56" spans="2:10" s="302" customFormat="1">
      <c r="B56" s="359" t="s">
        <v>536</v>
      </c>
      <c r="C56" s="359"/>
      <c r="D56" s="29" t="s">
        <v>513</v>
      </c>
      <c r="E56" s="402">
        <f t="shared" ref="E56:I56" si="6">SUM(E40:E55)</f>
        <v>-8.90580690555133</v>
      </c>
      <c r="F56" s="402">
        <f t="shared" si="6"/>
        <v>0</v>
      </c>
      <c r="G56" s="402">
        <f t="shared" si="6"/>
        <v>0</v>
      </c>
      <c r="H56" s="402">
        <f t="shared" si="6"/>
        <v>0</v>
      </c>
      <c r="I56" s="402">
        <f t="shared" si="6"/>
        <v>0</v>
      </c>
    </row>
    <row r="57" spans="2:10" s="302" customFormat="1">
      <c r="B57" s="352"/>
      <c r="C57" s="352"/>
      <c r="D57" s="29"/>
      <c r="E57" s="368"/>
      <c r="F57" s="368"/>
      <c r="G57" s="368"/>
      <c r="H57" s="368"/>
      <c r="I57" s="368"/>
    </row>
    <row r="58" spans="2:10" s="302" customFormat="1">
      <c r="B58" s="369" t="s">
        <v>537</v>
      </c>
      <c r="C58" s="369"/>
      <c r="D58" s="29" t="s">
        <v>513</v>
      </c>
      <c r="E58" s="402">
        <f>E25+E37+E56</f>
        <v>510.27959469310872</v>
      </c>
      <c r="F58" s="402">
        <f t="shared" ref="F58:I58" si="7">F25+F37+F56</f>
        <v>0</v>
      </c>
      <c r="G58" s="402">
        <f t="shared" si="7"/>
        <v>0</v>
      </c>
      <c r="H58" s="402">
        <f t="shared" si="7"/>
        <v>0</v>
      </c>
      <c r="I58" s="402">
        <f t="shared" si="7"/>
        <v>0</v>
      </c>
    </row>
    <row r="59" spans="2:10" s="302" customFormat="1">
      <c r="B59" s="370" t="s">
        <v>538</v>
      </c>
      <c r="C59" s="370"/>
      <c r="D59" s="29" t="s">
        <v>513</v>
      </c>
      <c r="E59" s="364">
        <v>510.27959469310872</v>
      </c>
      <c r="F59" s="364"/>
      <c r="G59" s="364"/>
      <c r="H59" s="364"/>
      <c r="I59" s="364"/>
    </row>
    <row r="60" spans="2:10" s="302" customFormat="1">
      <c r="B60" s="352" t="s">
        <v>539</v>
      </c>
      <c r="C60" s="352"/>
      <c r="D60" s="29"/>
      <c r="E60" s="404" t="str">
        <f>IF(ABS(E58-E59)&lt;Data!$F$7,"OK","Error")</f>
        <v>OK</v>
      </c>
      <c r="F60" s="404" t="str">
        <f>IF(ABS(F58-F59)&lt;Data!$F$7,"OK","Error")</f>
        <v>OK</v>
      </c>
      <c r="G60" s="404" t="str">
        <f>IF(ABS(G58-G59)&lt;Data!$F$7,"OK","Error")</f>
        <v>OK</v>
      </c>
      <c r="H60" s="404" t="str">
        <f>IF(ABS(H58-H59)&lt;Data!$F$7,"OK","Error")</f>
        <v>OK</v>
      </c>
      <c r="I60" s="404" t="str">
        <f>IF(ABS(I58-I59)&lt;Data!$F$7,"OK","Error")</f>
        <v>OK</v>
      </c>
    </row>
    <row r="61" spans="2:10" s="302" customFormat="1">
      <c r="B61" s="352"/>
      <c r="C61" s="352"/>
      <c r="D61" s="29"/>
      <c r="E61" s="371"/>
      <c r="F61" s="371"/>
      <c r="G61" s="371"/>
      <c r="H61" s="371"/>
      <c r="I61" s="371"/>
    </row>
    <row r="62" spans="2:10" s="302" customFormat="1">
      <c r="B62" s="352"/>
      <c r="C62" s="352"/>
      <c r="D62" s="29"/>
    </row>
    <row r="63" spans="2:10" s="302" customFormat="1">
      <c r="B63" s="352"/>
      <c r="C63" s="352"/>
      <c r="D63" s="29"/>
    </row>
    <row r="64" spans="2:10" s="302" customFormat="1">
      <c r="B64" s="354" t="s">
        <v>540</v>
      </c>
      <c r="C64" s="354"/>
      <c r="D64" s="355"/>
      <c r="E64" s="356"/>
      <c r="F64" s="356"/>
      <c r="G64" s="356"/>
      <c r="H64" s="356"/>
      <c r="I64" s="356"/>
      <c r="J64" s="357"/>
    </row>
    <row r="65" spans="1:14" s="302" customFormat="1">
      <c r="A65" s="103"/>
      <c r="B65" s="79"/>
      <c r="C65" s="79"/>
      <c r="D65" s="29"/>
      <c r="E65" s="103"/>
      <c r="F65" s="103"/>
      <c r="G65" s="103"/>
      <c r="H65" s="103"/>
      <c r="I65" s="103"/>
      <c r="J65" s="103"/>
      <c r="K65" s="103"/>
      <c r="L65" s="103"/>
      <c r="M65" s="103"/>
      <c r="N65" s="103"/>
    </row>
    <row r="66" spans="1:14" s="302" customFormat="1">
      <c r="A66" s="103"/>
      <c r="B66" s="79"/>
      <c r="C66" s="79"/>
      <c r="D66" s="29"/>
      <c r="E66" s="301" t="str">
        <f>IF(E$6&lt;=Reporting_Year,"Actuals","N/A")</f>
        <v>Actuals</v>
      </c>
      <c r="F66" s="301" t="str">
        <f>IF(F$6&lt;=Reporting_Year,"Actuals","N/A")</f>
        <v>N/A</v>
      </c>
      <c r="G66" s="301" t="str">
        <f>IF(G$6&lt;=Reporting_Year,"Actuals","N/A")</f>
        <v>N/A</v>
      </c>
      <c r="H66" s="301" t="str">
        <f>IF(H$6&lt;=Reporting_Year,"Actuals","N/A")</f>
        <v>N/A</v>
      </c>
      <c r="I66" s="301" t="str">
        <f>IF(I$6&lt;=Reporting_Year,"Actuals","N/A")</f>
        <v>N/A</v>
      </c>
      <c r="J66" s="103"/>
      <c r="K66" s="103"/>
      <c r="L66" s="103"/>
      <c r="M66" s="103"/>
      <c r="N66" s="103"/>
    </row>
    <row r="67" spans="1:14" s="302" customFormat="1">
      <c r="A67" s="103"/>
      <c r="B67" s="79"/>
      <c r="C67" s="79"/>
      <c r="D67" s="29"/>
      <c r="E67" s="103"/>
      <c r="F67" s="103"/>
      <c r="G67" s="103"/>
      <c r="H67" s="103"/>
      <c r="I67" s="103"/>
      <c r="J67" s="103"/>
      <c r="K67" s="103"/>
      <c r="L67" s="103"/>
      <c r="M67" s="103"/>
      <c r="N67" s="103"/>
    </row>
    <row r="68" spans="1:14" s="302" customFormat="1">
      <c r="A68" s="103"/>
      <c r="B68" s="309" t="s">
        <v>541</v>
      </c>
      <c r="C68" s="79"/>
      <c r="D68" s="29" t="s">
        <v>513</v>
      </c>
      <c r="E68" s="405">
        <f t="shared" ref="E68:I68" si="8">E59</f>
        <v>510.27959469310872</v>
      </c>
      <c r="F68" s="405">
        <f t="shared" si="8"/>
        <v>0</v>
      </c>
      <c r="G68" s="405">
        <f t="shared" si="8"/>
        <v>0</v>
      </c>
      <c r="H68" s="405">
        <f t="shared" si="8"/>
        <v>0</v>
      </c>
      <c r="I68" s="405">
        <f t="shared" si="8"/>
        <v>0</v>
      </c>
      <c r="J68" s="103"/>
      <c r="K68" s="103"/>
      <c r="L68" s="103"/>
      <c r="M68" s="103"/>
      <c r="N68" s="103"/>
    </row>
    <row r="69" spans="1:14" s="302" customFormat="1">
      <c r="A69" s="103"/>
      <c r="B69" s="302" t="s">
        <v>542</v>
      </c>
      <c r="C69" s="79"/>
      <c r="D69" s="29" t="s">
        <v>513</v>
      </c>
      <c r="E69" s="405">
        <f>E25</f>
        <v>443.02118185666671</v>
      </c>
      <c r="F69" s="405">
        <f>F25</f>
        <v>0</v>
      </c>
      <c r="G69" s="405">
        <f t="shared" ref="G69:I69" si="9">G25</f>
        <v>0</v>
      </c>
      <c r="H69" s="405">
        <f t="shared" si="9"/>
        <v>0</v>
      </c>
      <c r="I69" s="405">
        <f t="shared" si="9"/>
        <v>0</v>
      </c>
      <c r="J69" s="103"/>
      <c r="K69" s="103"/>
      <c r="L69" s="103"/>
      <c r="M69" s="103"/>
      <c r="N69" s="103"/>
    </row>
    <row r="70" spans="1:14" s="302" customFormat="1">
      <c r="A70" s="103"/>
      <c r="B70" s="365" t="s">
        <v>913</v>
      </c>
      <c r="C70" s="365"/>
      <c r="D70" s="29" t="s">
        <v>513</v>
      </c>
      <c r="E70" s="364">
        <v>20.694189845781597</v>
      </c>
      <c r="F70" s="364"/>
      <c r="G70" s="364"/>
      <c r="H70" s="364"/>
      <c r="I70" s="364"/>
      <c r="J70" s="103"/>
      <c r="K70" s="103"/>
      <c r="L70" s="103"/>
      <c r="M70" s="103"/>
      <c r="N70" s="103"/>
    </row>
    <row r="71" spans="1:14">
      <c r="B71" s="372"/>
    </row>
    <row r="72" spans="1:14">
      <c r="B72" s="309" t="s">
        <v>543</v>
      </c>
      <c r="D72" s="29" t="s">
        <v>513</v>
      </c>
      <c r="E72" s="405">
        <f>'R3 - Totex - Reconciliation'!D129</f>
        <v>179.09801489</v>
      </c>
      <c r="F72" s="405">
        <f>'R3 - Totex - Reconciliation'!E129</f>
        <v>0</v>
      </c>
      <c r="G72" s="405">
        <f>'R3 - Totex - Reconciliation'!F129</f>
        <v>0</v>
      </c>
      <c r="H72" s="405">
        <f>'R3 - Totex - Reconciliation'!G129</f>
        <v>0</v>
      </c>
      <c r="I72" s="405">
        <f>'R3 - Totex - Reconciliation'!H129</f>
        <v>0</v>
      </c>
    </row>
    <row r="73" spans="1:14">
      <c r="B73" s="373" t="s">
        <v>544</v>
      </c>
      <c r="D73" s="103"/>
    </row>
    <row r="74" spans="1:14" ht="8.15" customHeight="1">
      <c r="B74" s="103"/>
      <c r="D74" s="103"/>
    </row>
    <row r="75" spans="1:14" ht="12.65" customHeight="1">
      <c r="B75" s="302" t="s">
        <v>545</v>
      </c>
      <c r="D75" s="29" t="s">
        <v>513</v>
      </c>
      <c r="E75" s="364">
        <v>-23.412564476610871</v>
      </c>
      <c r="F75" s="406">
        <f>'R3 - Totex - Reconciliation'!E150</f>
        <v>0</v>
      </c>
      <c r="G75" s="406">
        <f>'R3 - Totex - Reconciliation'!F150</f>
        <v>0</v>
      </c>
      <c r="H75" s="406">
        <f>'R3 - Totex - Reconciliation'!G150</f>
        <v>0</v>
      </c>
      <c r="I75" s="406">
        <f>'R3 - Totex - Reconciliation'!H150</f>
        <v>0</v>
      </c>
    </row>
    <row r="76" spans="1:14">
      <c r="B76" s="103" t="s">
        <v>546</v>
      </c>
      <c r="D76" s="29" t="s">
        <v>513</v>
      </c>
      <c r="E76" s="364"/>
      <c r="F76" s="364"/>
      <c r="G76" s="364"/>
      <c r="H76" s="364"/>
      <c r="I76" s="364"/>
    </row>
    <row r="77" spans="1:14" ht="5.15" customHeight="1">
      <c r="B77" s="103"/>
      <c r="D77" s="79"/>
      <c r="E77" s="79"/>
      <c r="F77" s="79"/>
      <c r="G77" s="79"/>
      <c r="H77" s="79"/>
      <c r="I77" s="79"/>
    </row>
    <row r="78" spans="1:14">
      <c r="B78" s="302" t="s">
        <v>547</v>
      </c>
      <c r="D78" s="29" t="s">
        <v>513</v>
      </c>
      <c r="E78" s="405">
        <f>'R3 - Totex - Reconciliation'!D129+E75+E76</f>
        <v>155.68545041338913</v>
      </c>
      <c r="F78" s="407">
        <f>'R3 - Totex - Reconciliation'!E129+'R3 - Totex - Reconciliation'!E150+F76</f>
        <v>0</v>
      </c>
      <c r="G78" s="407">
        <f>'R3 - Totex - Reconciliation'!F129+'R3 - Totex - Reconciliation'!F150+G76</f>
        <v>0</v>
      </c>
      <c r="H78" s="407">
        <f>'R3 - Totex - Reconciliation'!G129+'R3 - Totex - Reconciliation'!G150+H76</f>
        <v>0</v>
      </c>
      <c r="I78" s="407">
        <f>'R3 - Totex - Reconciliation'!H129+'R3 - Totex - Reconciliation'!H150+I76</f>
        <v>0</v>
      </c>
      <c r="K78" s="79"/>
      <c r="N78" s="79"/>
    </row>
    <row r="79" spans="1:14">
      <c r="B79" s="373" t="s">
        <v>548</v>
      </c>
      <c r="D79" s="29" t="s">
        <v>513</v>
      </c>
      <c r="E79" s="408" t="str">
        <f>IF(ABS(E78-SUM(E72,E75,E76))&lt;=materiality_threshold,"ok","error")</f>
        <v>ok</v>
      </c>
      <c r="F79" s="408" t="str">
        <f>IF(ABS(F78-SUM(F72,F75,F76))&lt;=materiality_threshold,"ok","error")</f>
        <v>ok</v>
      </c>
      <c r="G79" s="408" t="str">
        <f>IF(ABS(G78-SUM(G72,G75,G76))&lt;=materiality_threshold,"ok","error")</f>
        <v>ok</v>
      </c>
      <c r="H79" s="408" t="str">
        <f>IF(ABS(H78-SUM(H72,H75,H76))&lt;=materiality_threshold,"ok","error")</f>
        <v>ok</v>
      </c>
      <c r="I79" s="408" t="str">
        <f>IF(ABS(I78-SUM(I72,I75,I76))&lt;=materiality_threshold,"ok","error")</f>
        <v>ok</v>
      </c>
    </row>
    <row r="80" spans="1:14">
      <c r="B80" s="103"/>
      <c r="E80" s="29"/>
      <c r="F80" s="29"/>
      <c r="G80" s="29"/>
      <c r="H80" s="29"/>
      <c r="I80" s="29"/>
    </row>
    <row r="81" spans="2:13">
      <c r="B81" s="309" t="s">
        <v>549</v>
      </c>
      <c r="D81" s="29" t="s">
        <v>513</v>
      </c>
      <c r="E81" s="409">
        <f>E68-E72</f>
        <v>331.18157980310872</v>
      </c>
      <c r="F81" s="409">
        <f>F68-F72</f>
        <v>0</v>
      </c>
      <c r="G81" s="409">
        <f>G68-G72</f>
        <v>0</v>
      </c>
      <c r="H81" s="409">
        <f>H68-H72</f>
        <v>0</v>
      </c>
      <c r="I81" s="409">
        <f>I68-I72</f>
        <v>0</v>
      </c>
    </row>
    <row r="82" spans="2:13">
      <c r="B82" s="374" t="s">
        <v>550</v>
      </c>
      <c r="D82" s="29" t="s">
        <v>513</v>
      </c>
      <c r="E82" s="409">
        <f>E69+E70-E78</f>
        <v>308.02992128905919</v>
      </c>
      <c r="F82" s="409">
        <f>F69-F78</f>
        <v>0</v>
      </c>
      <c r="G82" s="409">
        <f>G69-G78</f>
        <v>0</v>
      </c>
      <c r="H82" s="409">
        <f>H69-H78</f>
        <v>0</v>
      </c>
      <c r="I82" s="409">
        <f>I69-I78</f>
        <v>0</v>
      </c>
    </row>
    <row r="84" spans="2:13">
      <c r="B84" s="309" t="s">
        <v>551</v>
      </c>
      <c r="D84" s="29" t="s">
        <v>513</v>
      </c>
      <c r="E84" s="407">
        <f>'R3 - Totex - Reconciliation'!D124</f>
        <v>137.76829633999998</v>
      </c>
      <c r="F84" s="407">
        <f>'R3 - Totex - Reconciliation'!E124</f>
        <v>0</v>
      </c>
      <c r="G84" s="407">
        <f>'R3 - Totex - Reconciliation'!F124</f>
        <v>0</v>
      </c>
      <c r="H84" s="407">
        <f>'R3 - Totex - Reconciliation'!G124</f>
        <v>0</v>
      </c>
      <c r="I84" s="407">
        <f>'R3 - Totex - Reconciliation'!H124</f>
        <v>0</v>
      </c>
    </row>
    <row r="85" spans="2:13" ht="16" customHeight="1">
      <c r="B85" s="373" t="s">
        <v>544</v>
      </c>
    </row>
    <row r="86" spans="2:13" ht="22" customHeight="1">
      <c r="B86" s="103" t="s">
        <v>552</v>
      </c>
      <c r="D86" s="103"/>
    </row>
    <row r="87" spans="2:13">
      <c r="B87" s="352" t="s">
        <v>553</v>
      </c>
      <c r="D87" s="29" t="s">
        <v>513</v>
      </c>
      <c r="E87" s="364">
        <v>0</v>
      </c>
      <c r="F87" s="375">
        <v>0</v>
      </c>
      <c r="G87" s="375">
        <v>0</v>
      </c>
      <c r="H87" s="375">
        <v>0</v>
      </c>
      <c r="I87" s="375">
        <v>0</v>
      </c>
    </row>
    <row r="88" spans="2:13">
      <c r="B88" s="365" t="s">
        <v>926</v>
      </c>
      <c r="C88" s="365"/>
      <c r="D88" s="29" t="s">
        <v>513</v>
      </c>
      <c r="E88" s="364">
        <v>-16.701674031935607</v>
      </c>
      <c r="F88" s="364"/>
      <c r="G88" s="364"/>
      <c r="H88" s="364"/>
      <c r="I88" s="364"/>
    </row>
    <row r="89" spans="2:13">
      <c r="B89" s="352" t="s">
        <v>554</v>
      </c>
      <c r="D89" s="29" t="s">
        <v>513</v>
      </c>
      <c r="E89" s="403">
        <f>SUM(E87:E88)</f>
        <v>-16.701674031935607</v>
      </c>
      <c r="F89" s="410">
        <f t="shared" ref="F89:I89" si="10">SUM(F87:F88)</f>
        <v>0</v>
      </c>
      <c r="G89" s="410">
        <f t="shared" si="10"/>
        <v>0</v>
      </c>
      <c r="H89" s="410">
        <f t="shared" si="10"/>
        <v>0</v>
      </c>
      <c r="I89" s="410">
        <f t="shared" si="10"/>
        <v>0</v>
      </c>
    </row>
    <row r="90" spans="2:13" ht="5.15" customHeight="1">
      <c r="B90" s="352"/>
      <c r="D90" s="79"/>
      <c r="E90" s="79"/>
      <c r="F90" s="79"/>
      <c r="G90" s="79"/>
      <c r="H90" s="79"/>
      <c r="I90" s="79"/>
      <c r="J90" s="79"/>
      <c r="K90" s="79"/>
      <c r="L90" s="79"/>
      <c r="M90" s="79"/>
    </row>
    <row r="91" spans="2:13">
      <c r="B91" s="302" t="s">
        <v>555</v>
      </c>
      <c r="D91" s="29" t="s">
        <v>513</v>
      </c>
      <c r="E91" s="411">
        <f>SUM(E84,E89)</f>
        <v>121.06662230806437</v>
      </c>
      <c r="F91" s="411">
        <f t="shared" ref="F91:I91" si="11">SUM(F84,F89)</f>
        <v>0</v>
      </c>
      <c r="G91" s="411">
        <f t="shared" si="11"/>
        <v>0</v>
      </c>
      <c r="H91" s="411">
        <f t="shared" si="11"/>
        <v>0</v>
      </c>
      <c r="I91" s="411">
        <f t="shared" si="11"/>
        <v>0</v>
      </c>
    </row>
    <row r="92" spans="2:13">
      <c r="B92" s="103"/>
      <c r="C92" s="103"/>
      <c r="D92" s="103"/>
    </row>
    <row r="93" spans="2:13">
      <c r="B93" s="376" t="s">
        <v>556</v>
      </c>
      <c r="C93" s="377"/>
      <c r="D93" s="286" t="s">
        <v>513</v>
      </c>
      <c r="E93" s="403">
        <f>E81-E84</f>
        <v>193.41328346310874</v>
      </c>
      <c r="F93" s="403">
        <f t="shared" ref="F93:I93" si="12">F81-F84</f>
        <v>0</v>
      </c>
      <c r="G93" s="403">
        <f t="shared" si="12"/>
        <v>0</v>
      </c>
      <c r="H93" s="403">
        <f t="shared" si="12"/>
        <v>0</v>
      </c>
      <c r="I93" s="403">
        <f t="shared" si="12"/>
        <v>0</v>
      </c>
    </row>
    <row r="94" spans="2:13">
      <c r="B94" s="378" t="s">
        <v>557</v>
      </c>
      <c r="D94" s="29" t="s">
        <v>513</v>
      </c>
      <c r="E94" s="411">
        <f>E82-E91</f>
        <v>186.96329898099481</v>
      </c>
      <c r="F94" s="411">
        <f t="shared" ref="F94:I94" si="13">F82-F91</f>
        <v>0</v>
      </c>
      <c r="G94" s="411">
        <f t="shared" si="13"/>
        <v>0</v>
      </c>
      <c r="H94" s="411">
        <f t="shared" si="13"/>
        <v>0</v>
      </c>
      <c r="I94" s="411">
        <f t="shared" si="13"/>
        <v>0</v>
      </c>
    </row>
    <row r="95" spans="2:13">
      <c r="B95" s="378"/>
      <c r="E95" s="379"/>
      <c r="F95" s="379"/>
      <c r="G95" s="379"/>
      <c r="H95" s="379"/>
      <c r="I95" s="380"/>
    </row>
    <row r="96" spans="2:13">
      <c r="B96" s="381" t="s">
        <v>558</v>
      </c>
      <c r="D96" s="29" t="s">
        <v>513</v>
      </c>
      <c r="E96" s="412">
        <f>'R5 - Financing'!D9</f>
        <v>40.0658533886171</v>
      </c>
      <c r="F96" s="412">
        <f>'R5 - Financing'!E9</f>
        <v>46.782679940000001</v>
      </c>
      <c r="G96" s="412">
        <f>'R5 - Financing'!F9</f>
        <v>41.628411960000008</v>
      </c>
      <c r="H96" s="412">
        <f>'R5 - Financing'!G9</f>
        <v>40.172096630000013</v>
      </c>
      <c r="I96" s="412">
        <f>'R5 - Financing'!H9</f>
        <v>39.523854410000006</v>
      </c>
    </row>
    <row r="97" spans="2:9">
      <c r="B97" s="382" t="s">
        <v>559</v>
      </c>
      <c r="D97" s="29" t="s">
        <v>513</v>
      </c>
      <c r="E97" s="412">
        <f>'R5 - Financing'!D29</f>
        <v>40.9474894686171</v>
      </c>
      <c r="F97" s="412">
        <f>'R5 - Financing'!E29</f>
        <v>47.341999999999999</v>
      </c>
      <c r="G97" s="412">
        <f>'R5 - Financing'!F29</f>
        <v>42.172000000000011</v>
      </c>
      <c r="H97" s="412">
        <f>'R5 - Financing'!G29</f>
        <v>41.479000000000013</v>
      </c>
      <c r="I97" s="412">
        <f>'R5 - Financing'!H29</f>
        <v>40.51100000000001</v>
      </c>
    </row>
    <row r="98" spans="2:9">
      <c r="B98" s="383" t="s">
        <v>560</v>
      </c>
      <c r="D98" s="29" t="s">
        <v>513</v>
      </c>
      <c r="E98" s="411">
        <f>E96-E97</f>
        <v>-0.88163607999999982</v>
      </c>
      <c r="F98" s="411">
        <f>F96-F97</f>
        <v>-0.55932005999999745</v>
      </c>
      <c r="G98" s="411">
        <f>G96-G97</f>
        <v>-0.54358804000000305</v>
      </c>
      <c r="H98" s="411">
        <f>H96-H97</f>
        <v>-1.3069033700000006</v>
      </c>
      <c r="I98" s="413">
        <f>I96-I97</f>
        <v>-0.98714559000000435</v>
      </c>
    </row>
    <row r="99" spans="2:9">
      <c r="B99" s="378"/>
      <c r="E99" s="379"/>
      <c r="F99" s="379"/>
      <c r="G99" s="379"/>
      <c r="H99" s="379"/>
      <c r="I99" s="380"/>
    </row>
    <row r="100" spans="2:9">
      <c r="B100" s="381" t="s">
        <v>561</v>
      </c>
      <c r="D100" s="29" t="s">
        <v>513</v>
      </c>
      <c r="E100" s="364">
        <v>35.46658535163261</v>
      </c>
      <c r="F100" s="364"/>
      <c r="G100" s="364"/>
      <c r="H100" s="364"/>
      <c r="I100" s="364"/>
    </row>
    <row r="101" spans="2:9">
      <c r="B101" s="381" t="s">
        <v>562</v>
      </c>
      <c r="D101" s="29" t="s">
        <v>513</v>
      </c>
      <c r="E101" s="364">
        <v>-0.9737874118094787</v>
      </c>
      <c r="F101" s="364"/>
      <c r="G101" s="364"/>
      <c r="H101" s="364"/>
      <c r="I101" s="364"/>
    </row>
    <row r="102" spans="2:9">
      <c r="B102" s="381" t="s">
        <v>563</v>
      </c>
      <c r="D102" s="29" t="s">
        <v>513</v>
      </c>
      <c r="E102" s="403">
        <f>SUM(E100:E101)</f>
        <v>34.492797939823134</v>
      </c>
      <c r="F102" s="403">
        <f t="shared" ref="F102:I102" si="14">SUM(F100:F101)</f>
        <v>0</v>
      </c>
      <c r="G102" s="403">
        <f t="shared" si="14"/>
        <v>0</v>
      </c>
      <c r="H102" s="403">
        <f t="shared" si="14"/>
        <v>0</v>
      </c>
      <c r="I102" s="403">
        <f t="shared" si="14"/>
        <v>0</v>
      </c>
    </row>
    <row r="103" spans="2:9">
      <c r="B103" s="382" t="s">
        <v>564</v>
      </c>
      <c r="D103" s="29" t="s">
        <v>513</v>
      </c>
      <c r="E103" s="412">
        <f>Adjusted_regulated_tax_liability</f>
        <v>42.700638763234011</v>
      </c>
      <c r="F103" s="412">
        <f>Adjusted_regulated_tax_liability</f>
        <v>32.609605401002902</v>
      </c>
      <c r="G103" s="412">
        <f>Adjusted_regulated_tax_liability</f>
        <v>23.032461781368017</v>
      </c>
      <c r="H103" s="412">
        <f>Adjusted_regulated_tax_liability</f>
        <v>26.271632431792213</v>
      </c>
      <c r="I103" s="412">
        <f>Adjusted_regulated_tax_liability</f>
        <v>24.224138918784888</v>
      </c>
    </row>
    <row r="104" spans="2:9">
      <c r="B104" s="383" t="s">
        <v>560</v>
      </c>
      <c r="D104" s="29" t="s">
        <v>513</v>
      </c>
      <c r="E104" s="414">
        <f>E102-E103</f>
        <v>-8.2078408234108764</v>
      </c>
      <c r="F104" s="414">
        <f t="shared" ref="F104:I104" si="15">F102-F103</f>
        <v>-32.609605401002902</v>
      </c>
      <c r="G104" s="414">
        <f t="shared" si="15"/>
        <v>-23.032461781368017</v>
      </c>
      <c r="H104" s="414">
        <f t="shared" si="15"/>
        <v>-26.271632431792213</v>
      </c>
      <c r="I104" s="414">
        <f t="shared" si="15"/>
        <v>-24.224138918784888</v>
      </c>
    </row>
    <row r="105" spans="2:9">
      <c r="B105" s="384"/>
      <c r="E105" s="379"/>
      <c r="F105" s="379"/>
      <c r="G105" s="379"/>
      <c r="H105" s="379"/>
      <c r="I105" s="380"/>
    </row>
    <row r="106" spans="2:9">
      <c r="B106" s="385" t="s">
        <v>565</v>
      </c>
      <c r="D106" s="29" t="s">
        <v>513</v>
      </c>
      <c r="E106" s="403">
        <f>IFERROR(E93-E96-E100,0)</f>
        <v>117.88084472285902</v>
      </c>
      <c r="F106" s="403">
        <f>IFERROR(F93-F96-F100,0)</f>
        <v>-46.782679940000001</v>
      </c>
      <c r="G106" s="403">
        <f>IFERROR(G93-G96-G100,0)</f>
        <v>-41.628411960000008</v>
      </c>
      <c r="H106" s="403">
        <f>IFERROR(H93-H96-H100,0)</f>
        <v>-40.172096630000013</v>
      </c>
      <c r="I106" s="403">
        <f>IFERROR(I93-I96-I100,0)</f>
        <v>-39.523854410000006</v>
      </c>
    </row>
    <row r="107" spans="2:9">
      <c r="B107" s="386" t="s">
        <v>566</v>
      </c>
      <c r="D107" s="29" t="s">
        <v>513</v>
      </c>
      <c r="E107" s="403">
        <f>IFERROR(E94-E97-E103,0)</f>
        <v>103.31517074914369</v>
      </c>
      <c r="F107" s="403">
        <f>IFERROR(F94-F97-F103,0)</f>
        <v>-79.951605401002894</v>
      </c>
      <c r="G107" s="403">
        <f>IFERROR(G94-G97-G103,0)</f>
        <v>-65.204461781368025</v>
      </c>
      <c r="H107" s="403">
        <f>IFERROR(H94-H97-H103,0)</f>
        <v>-67.750632431792226</v>
      </c>
      <c r="I107" s="403">
        <f>IFERROR(I94-I97-I103,0)</f>
        <v>-64.735138918784898</v>
      </c>
    </row>
    <row r="108" spans="2:9">
      <c r="B108" s="383" t="s">
        <v>560</v>
      </c>
      <c r="D108" s="29" t="s">
        <v>513</v>
      </c>
      <c r="E108" s="411">
        <f>IFERROR(E106-E107,0)</f>
        <v>14.565673973715334</v>
      </c>
      <c r="F108" s="411">
        <f>IFERROR(F106-F107,0)</f>
        <v>33.168925461002893</v>
      </c>
      <c r="G108" s="411">
        <f>IFERROR(G106-G107,0)</f>
        <v>23.576049821368017</v>
      </c>
      <c r="H108" s="411">
        <f>IFERROR(H106-H107,0)</f>
        <v>27.578535801792214</v>
      </c>
      <c r="I108" s="411">
        <f>IFERROR(I106-I107,0)</f>
        <v>25.211284508784892</v>
      </c>
    </row>
    <row r="109" spans="2:9">
      <c r="B109" s="384"/>
      <c r="C109" s="103"/>
      <c r="D109" s="103"/>
      <c r="I109" s="387"/>
    </row>
    <row r="110" spans="2:9">
      <c r="B110" s="388"/>
      <c r="C110" s="389"/>
      <c r="D110" s="190"/>
      <c r="E110" s="191"/>
      <c r="F110" s="190"/>
      <c r="G110" s="190"/>
      <c r="H110" s="190"/>
      <c r="I110" s="192"/>
    </row>
    <row r="111" spans="2:9">
      <c r="B111" s="103"/>
      <c r="D111" s="103"/>
    </row>
    <row r="112" spans="2:9">
      <c r="B112" s="103"/>
      <c r="C112" s="103"/>
      <c r="D112" s="103"/>
    </row>
    <row r="113" spans="2:9">
      <c r="B113" s="390"/>
      <c r="D113" s="103"/>
    </row>
    <row r="114" spans="2:9">
      <c r="B114" s="391" t="s">
        <v>567</v>
      </c>
      <c r="C114" s="103"/>
      <c r="D114" s="103"/>
    </row>
    <row r="115" spans="2:9" ht="28.5" customHeight="1">
      <c r="B115" s="844" t="s">
        <v>927</v>
      </c>
      <c r="C115" s="845"/>
      <c r="D115" s="845"/>
      <c r="E115" s="845"/>
      <c r="F115" s="845"/>
      <c r="G115" s="845"/>
      <c r="H115" s="845"/>
      <c r="I115" s="846"/>
    </row>
    <row r="116" spans="2:9" ht="20.5" customHeight="1">
      <c r="B116" s="780" t="s">
        <v>928</v>
      </c>
      <c r="C116" s="778"/>
      <c r="D116" s="778"/>
      <c r="E116" s="778"/>
      <c r="F116" s="778"/>
      <c r="G116" s="778"/>
      <c r="H116" s="778"/>
      <c r="I116" s="779"/>
    </row>
    <row r="117" spans="2:9" ht="32" customHeight="1">
      <c r="B117" s="847" t="s">
        <v>930</v>
      </c>
      <c r="C117" s="848"/>
      <c r="D117" s="848"/>
      <c r="E117" s="848"/>
      <c r="F117" s="848"/>
      <c r="G117" s="848"/>
      <c r="H117" s="848"/>
      <c r="I117" s="849"/>
    </row>
    <row r="118" spans="2:9">
      <c r="B118" s="392"/>
      <c r="C118" s="393"/>
      <c r="D118" s="394"/>
      <c r="E118" s="395"/>
      <c r="F118" s="395"/>
      <c r="G118" s="395"/>
      <c r="H118" s="395"/>
      <c r="I118" s="396"/>
    </row>
    <row r="119" spans="2:9">
      <c r="B119" s="392"/>
      <c r="C119" s="393"/>
      <c r="D119" s="394"/>
      <c r="E119" s="395"/>
      <c r="F119" s="395"/>
      <c r="G119" s="395"/>
      <c r="H119" s="395"/>
      <c r="I119" s="396"/>
    </row>
    <row r="120" spans="2:9">
      <c r="B120" s="397"/>
      <c r="C120" s="398"/>
      <c r="D120" s="399"/>
      <c r="E120" s="400"/>
      <c r="F120" s="400"/>
      <c r="G120" s="400"/>
      <c r="H120" s="400"/>
      <c r="I120" s="401"/>
    </row>
    <row r="122" spans="2:9" ht="13.5" customHeight="1"/>
    <row r="128" spans="2:9" ht="15" customHeight="1"/>
    <row r="142" ht="91.5" customHeight="1"/>
  </sheetData>
  <sheetProtection algorithmName="SHA-512" hashValue="ICwZNylbSqECsEY6Weqk3R4pj761XaoN/OWU30vGVkvpAoZnncUKDsm24HngauwqBUHVmcCxk9iJn9MdfaJ5WA==" saltValue="czfCNTDkSmORXRTjr1aa/Q==" spinCount="100000" sheet="1" objects="1" scenarios="1"/>
  <mergeCells count="2">
    <mergeCell ref="B115:I115"/>
    <mergeCell ref="B117:I117"/>
  </mergeCells>
  <conditionalFormatting sqref="C36">
    <cfRule type="expression" dxfId="77" priority="59">
      <formula>C$5="Forecast"</formula>
    </cfRule>
  </conditionalFormatting>
  <conditionalFormatting sqref="E75">
    <cfRule type="expression" dxfId="76" priority="3">
      <formula>D$12="N/A"</formula>
    </cfRule>
  </conditionalFormatting>
  <conditionalFormatting sqref="E6:H6">
    <cfRule type="expression" dxfId="75" priority="26">
      <formula>AND(E$5="Actuals",F$5="Forecast")</formula>
    </cfRule>
  </conditionalFormatting>
  <conditionalFormatting sqref="E66:H66">
    <cfRule type="expression" dxfId="74" priority="29">
      <formula>AND(E$5="Actuals",F$5="N/A")</formula>
    </cfRule>
  </conditionalFormatting>
  <conditionalFormatting sqref="E7:I7">
    <cfRule type="expression" dxfId="73" priority="28">
      <formula>AND(E$5="Actuals",F$5="Forecast")</formula>
    </cfRule>
  </conditionalFormatting>
  <conditionalFormatting sqref="E13:I19 E21:I21 E25:I25 E28:I37 E40:I56 E58:I60 E66:I66 E72:I72 E87:I89 E91:I91 E93:I94 E96:I98 E100:I104">
    <cfRule type="expression" dxfId="72" priority="23">
      <formula>E$5="Forecast"</formula>
    </cfRule>
  </conditionalFormatting>
  <conditionalFormatting sqref="E25:I25">
    <cfRule type="expression" priority="11">
      <formula>E$5="Forecast"</formula>
    </cfRule>
    <cfRule type="expression" priority="12">
      <formula>$E3="Forecast"</formula>
    </cfRule>
  </conditionalFormatting>
  <conditionalFormatting sqref="E28:I36 E40:I55">
    <cfRule type="expression" priority="24">
      <formula>E$5="Forecast"</formula>
    </cfRule>
  </conditionalFormatting>
  <conditionalFormatting sqref="E28:I36">
    <cfRule type="expression" priority="25">
      <formula>$E6="Forecast"</formula>
    </cfRule>
  </conditionalFormatting>
  <conditionalFormatting sqref="E60:I60">
    <cfRule type="expression" dxfId="70" priority="63">
      <formula>E$5="Forecast"</formula>
    </cfRule>
  </conditionalFormatting>
  <conditionalFormatting sqref="E68:I70">
    <cfRule type="expression" dxfId="69" priority="1">
      <formula>E$5="Forecast"</formula>
    </cfRule>
  </conditionalFormatting>
  <conditionalFormatting sqref="E72:I72 E87:I87 E68:I69">
    <cfRule type="expression" dxfId="68" priority="55">
      <formula>D$12="N/A"</formula>
    </cfRule>
  </conditionalFormatting>
  <conditionalFormatting sqref="E75:I76">
    <cfRule type="expression" dxfId="67" priority="2">
      <formula>E$5="Forecast"</formula>
    </cfRule>
  </conditionalFormatting>
  <conditionalFormatting sqref="E78:I78">
    <cfRule type="expression" dxfId="66" priority="10">
      <formula>D$12="N/A"</formula>
    </cfRule>
  </conditionalFormatting>
  <conditionalFormatting sqref="E78:I79">
    <cfRule type="expression" dxfId="65" priority="9">
      <formula>E$5="Forecast"</formula>
    </cfRule>
  </conditionalFormatting>
  <conditionalFormatting sqref="E84:I84">
    <cfRule type="expression" dxfId="64" priority="7">
      <formula>E$5="Forecast"</formula>
    </cfRule>
    <cfRule type="expression" dxfId="63" priority="8">
      <formula>D$12="N/A"</formula>
    </cfRule>
  </conditionalFormatting>
  <conditionalFormatting sqref="E106:I108">
    <cfRule type="expression" dxfId="62" priority="21">
      <formula>E$5="Forecast"</formula>
    </cfRule>
  </conditionalFormatting>
  <conditionalFormatting sqref="I6">
    <cfRule type="expression" dxfId="61" priority="27">
      <formula>AND(I$5="Actuals",#REF!="Forecast")</formula>
    </cfRule>
  </conditionalFormatting>
  <conditionalFormatting sqref="I66">
    <cfRule type="expression" dxfId="60" priority="241">
      <formula>AND(I$5="Actuals",#REF!="N/A")</formula>
    </cfRule>
  </conditionalFormatting>
  <pageMargins left="0.70866141732283472" right="0.70866141732283472" top="0.74803149606299213" bottom="0.74803149606299213" header="0.31496062992125984" footer="0.31496062992125984"/>
  <pageSetup paperSize="8" scale="6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F64DC2A1-1BFC-4A45-BEAE-BCD4DDABF2EA}">
            <xm:f>'RFPR cover'!$C$7="ESO"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3"/>
  <sheetViews>
    <sheetView zoomScaleNormal="100" workbookViewId="0"/>
  </sheetViews>
  <sheetFormatPr defaultColWidth="9.15234375" defaultRowHeight="13.5"/>
  <cols>
    <col min="1" max="1" width="8.3828125" style="302" customWidth="1"/>
    <col min="2" max="2" width="64.4609375" style="352" customWidth="1"/>
    <col min="3" max="3" width="13.3828125" style="29" customWidth="1"/>
    <col min="4" max="8" width="11.15234375" style="302" customWidth="1"/>
    <col min="9" max="10" width="12.84375" style="302" customWidth="1"/>
    <col min="11" max="16384" width="9.15234375" style="302"/>
  </cols>
  <sheetData>
    <row r="1" spans="1:19" s="103" customFormat="1" ht="20">
      <c r="A1" s="287" t="s">
        <v>568</v>
      </c>
      <c r="B1" s="288"/>
      <c r="C1" s="415"/>
      <c r="D1" s="290"/>
      <c r="E1" s="290"/>
      <c r="F1" s="290"/>
      <c r="G1" s="290"/>
      <c r="H1" s="290"/>
      <c r="I1" s="291"/>
      <c r="J1" s="291"/>
      <c r="K1" s="416"/>
    </row>
    <row r="2" spans="1:19" s="103" customFormat="1" ht="20">
      <c r="A2" s="292" t="str">
        <f>Licensee</f>
        <v>NPgY</v>
      </c>
      <c r="B2" s="293"/>
      <c r="C2" s="349"/>
      <c r="D2" s="295"/>
      <c r="E2" s="295"/>
      <c r="F2" s="295"/>
      <c r="G2" s="295"/>
      <c r="H2" s="295"/>
      <c r="I2" s="296"/>
      <c r="J2" s="296"/>
      <c r="K2" s="297"/>
    </row>
    <row r="3" spans="1:19" s="103" customFormat="1" ht="20">
      <c r="A3" s="294">
        <f>Reporting_Year</f>
        <v>2024</v>
      </c>
      <c r="B3" s="350"/>
      <c r="C3" s="351"/>
      <c r="D3" s="298"/>
      <c r="E3" s="298"/>
      <c r="F3" s="298"/>
      <c r="G3" s="298"/>
      <c r="H3" s="298"/>
      <c r="I3" s="299"/>
      <c r="J3" s="299"/>
      <c r="K3" s="300"/>
    </row>
    <row r="4" spans="1:19" ht="12.75" customHeight="1"/>
    <row r="5" spans="1:19" ht="30" customHeight="1">
      <c r="D5" s="301" t="str">
        <f>IF(D6&lt;=Reporting_Year,"Actuals","Forecast")</f>
        <v>Actuals</v>
      </c>
      <c r="E5" s="301" t="str">
        <f t="shared" ref="E5:H5" si="0">IF(E6&lt;=Reporting_Year,"Actuals","Forecast")</f>
        <v>Forecast</v>
      </c>
      <c r="F5" s="301" t="str">
        <f t="shared" si="0"/>
        <v>Forecast</v>
      </c>
      <c r="G5" s="301" t="str">
        <f t="shared" si="0"/>
        <v>Forecast</v>
      </c>
      <c r="H5" s="301" t="str">
        <f t="shared" si="0"/>
        <v>Forecast</v>
      </c>
    </row>
    <row r="6" spans="1:19" ht="27.75" customHeight="1">
      <c r="D6" s="417">
        <f>'RFPR cover'!$C$6</f>
        <v>2024</v>
      </c>
      <c r="E6" s="418">
        <f>D6+1</f>
        <v>2025</v>
      </c>
      <c r="F6" s="418">
        <f t="shared" ref="F6:H6" si="1">E6+1</f>
        <v>2026</v>
      </c>
      <c r="G6" s="418">
        <f t="shared" si="1"/>
        <v>2027</v>
      </c>
      <c r="H6" s="418">
        <f t="shared" si="1"/>
        <v>2028</v>
      </c>
      <c r="I6" s="305" t="str">
        <f>"Cumulative to "&amp;'RFPR cover'!$C$9</f>
        <v>Cumulative to 2024</v>
      </c>
      <c r="J6" s="419" t="s">
        <v>474</v>
      </c>
    </row>
    <row r="7" spans="1:19">
      <c r="D7" s="306" t="str">
        <f>RIIO_2_start_date-1&amp;"/"&amp;RIGHT(RIIO_2_start_date,2)</f>
        <v>2023/24</v>
      </c>
      <c r="E7" s="306" t="str">
        <f>RIIO_2_start_date&amp;"/"&amp;RIGHT(RIIO_2_start_date+1,2)</f>
        <v>2024/25</v>
      </c>
      <c r="F7" s="306" t="str">
        <f>RIIO_2_start_date+1&amp;"/"&amp;RIGHT(RIIO_2_start_date+2,2)</f>
        <v>2025/26</v>
      </c>
      <c r="G7" s="306" t="str">
        <f>RIIO_2_start_date+2&amp;"/"&amp;RIGHT(RIIO_2_start_date+3,2)</f>
        <v>2026/27</v>
      </c>
      <c r="H7" s="306" t="str">
        <f>RIIO_2_start_date+3&amp;"/"&amp;RIGHT(RIIO_2_start_date+4,2)</f>
        <v>2027/28</v>
      </c>
    </row>
    <row r="8" spans="1:19">
      <c r="B8" s="420" t="s">
        <v>569</v>
      </c>
      <c r="C8" s="421"/>
      <c r="D8" s="421"/>
      <c r="E8" s="421"/>
      <c r="F8" s="421"/>
      <c r="G8" s="421"/>
      <c r="H8" s="422"/>
      <c r="I8" s="422"/>
      <c r="J8" s="422"/>
      <c r="K8" s="352"/>
    </row>
    <row r="9" spans="1:19">
      <c r="B9" s="423" t="s">
        <v>570</v>
      </c>
      <c r="C9" s="424"/>
      <c r="D9" s="424"/>
      <c r="E9" s="424"/>
      <c r="F9" s="424"/>
      <c r="G9" s="424"/>
      <c r="H9" s="424"/>
      <c r="I9" s="424"/>
      <c r="J9" s="424"/>
      <c r="K9" s="352"/>
      <c r="L9" s="352"/>
    </row>
    <row r="11" spans="1:19">
      <c r="B11" s="425" t="str">
        <f>IF(Sector="GD2","Capitalisation 1 totex (excluding repex)","Capitalisation 1 totex")</f>
        <v>Capitalisation 1 totex</v>
      </c>
      <c r="C11" s="426"/>
      <c r="D11" s="357"/>
      <c r="E11" s="357"/>
      <c r="F11" s="357"/>
      <c r="G11" s="357"/>
      <c r="H11" s="357"/>
      <c r="I11" s="357"/>
      <c r="J11" s="357"/>
      <c r="K11" s="352"/>
    </row>
    <row r="12" spans="1:19">
      <c r="B12" s="359"/>
      <c r="D12" s="427"/>
      <c r="E12" s="427"/>
      <c r="F12" s="427"/>
      <c r="G12" s="427"/>
      <c r="H12" s="427"/>
      <c r="I12" s="427"/>
      <c r="J12" s="427"/>
      <c r="K12" s="352"/>
    </row>
    <row r="13" spans="1:19">
      <c r="B13" s="79" t="s">
        <v>571</v>
      </c>
      <c r="C13" s="428" t="str">
        <f>Data!$C$9</f>
        <v>£m 20/21</v>
      </c>
      <c r="D13" s="429">
        <v>235.18582149322737</v>
      </c>
      <c r="E13" s="429">
        <v>283.51640196271347</v>
      </c>
      <c r="F13" s="429">
        <v>297.66963946382322</v>
      </c>
      <c r="G13" s="429">
        <v>292.29071309157905</v>
      </c>
      <c r="H13" s="429">
        <v>290.29846080819664</v>
      </c>
      <c r="I13" s="459">
        <f>SUM(D13:INDEX(D13:H13,0,MATCH('RFPR cover'!$C$9,$D$6:$H$6,0)))</f>
        <v>235.18582149322737</v>
      </c>
      <c r="J13" s="460">
        <f>SUM(D13:H13)</f>
        <v>1398.9610368195395</v>
      </c>
      <c r="K13" s="352"/>
    </row>
    <row r="14" spans="1:19" ht="17.149999999999999" customHeight="1">
      <c r="B14" s="430" t="s">
        <v>572</v>
      </c>
      <c r="C14" s="428" t="str">
        <f>Data!$C$9</f>
        <v>£m 20/21</v>
      </c>
      <c r="D14" s="429">
        <v>294.97428397722172</v>
      </c>
      <c r="E14" s="429">
        <v>303.31913770720666</v>
      </c>
      <c r="F14" s="429">
        <v>268.24651626206025</v>
      </c>
      <c r="G14" s="429">
        <v>293.74067183210462</v>
      </c>
      <c r="H14" s="429">
        <v>285.52121075456341</v>
      </c>
      <c r="I14" s="461">
        <f>SUM(D14:INDEX(D14:H14,0,MATCH('RFPR cover'!$C$9,$D$6:$H$6,0)))</f>
        <v>294.97428397722172</v>
      </c>
      <c r="J14" s="462">
        <f>SUM(D14:H14)</f>
        <v>1445.8018205331568</v>
      </c>
      <c r="K14" s="431"/>
    </row>
    <row r="15" spans="1:19">
      <c r="B15" s="78" t="s">
        <v>573</v>
      </c>
      <c r="C15" s="428" t="str">
        <f>Data!$C$9</f>
        <v>£m 20/21</v>
      </c>
      <c r="D15" s="458">
        <f>D14-D13</f>
        <v>59.788462483994351</v>
      </c>
      <c r="E15" s="458">
        <f>E14-E13</f>
        <v>19.802735744493191</v>
      </c>
      <c r="F15" s="458">
        <f t="shared" ref="F15:J15" si="2">F14-F13</f>
        <v>-29.423123201762962</v>
      </c>
      <c r="G15" s="458">
        <f t="shared" si="2"/>
        <v>1.4499587405255738</v>
      </c>
      <c r="H15" s="458">
        <f t="shared" si="2"/>
        <v>-4.7772500536332245</v>
      </c>
      <c r="I15" s="21">
        <f t="shared" si="2"/>
        <v>59.788462483994351</v>
      </c>
      <c r="J15" s="23">
        <f t="shared" si="2"/>
        <v>46.840783713617384</v>
      </c>
      <c r="K15" s="850"/>
      <c r="L15" s="850"/>
      <c r="M15" s="850"/>
      <c r="N15" s="124"/>
      <c r="O15" s="124"/>
      <c r="P15" s="124"/>
      <c r="Q15" s="103"/>
      <c r="R15" s="103"/>
      <c r="S15" s="103"/>
    </row>
    <row r="16" spans="1:19">
      <c r="B16" s="78"/>
      <c r="C16" s="428"/>
      <c r="D16" s="432"/>
      <c r="E16" s="432"/>
      <c r="F16" s="432"/>
      <c r="G16" s="432"/>
      <c r="H16" s="432"/>
      <c r="I16" s="432"/>
      <c r="J16" s="432"/>
      <c r="K16" s="433"/>
      <c r="L16" s="433"/>
      <c r="M16" s="433"/>
      <c r="N16" s="433"/>
      <c r="O16" s="433"/>
      <c r="P16" s="433"/>
      <c r="Q16" s="103"/>
      <c r="R16" s="103"/>
      <c r="S16" s="103"/>
    </row>
    <row r="17" spans="2:19">
      <c r="B17" s="352" t="s">
        <v>574</v>
      </c>
      <c r="C17" s="29" t="s">
        <v>477</v>
      </c>
      <c r="D17" s="463">
        <f>INDEX(Data!$C$63:$C$91,MATCH('RFPR cover'!$C$7,Data!$B$63:$B$91,0),0)</f>
        <v>0.501</v>
      </c>
      <c r="E17" s="463">
        <f>INDEX(Data!$C$63:$C$91,MATCH('RFPR cover'!$C$7,Data!$B$63:$B$91,0),0)</f>
        <v>0.501</v>
      </c>
      <c r="F17" s="463">
        <f>INDEX(Data!$C$63:$C$91,MATCH('RFPR cover'!$C$7,Data!$B$63:$B$91,0),0)</f>
        <v>0.501</v>
      </c>
      <c r="G17" s="463">
        <f>INDEX(Data!$C$63:$C$91,MATCH('RFPR cover'!$C$7,Data!$B$63:$B$91,0),0)</f>
        <v>0.501</v>
      </c>
      <c r="H17" s="463">
        <f>INDEX(Data!$C$63:$C$91,MATCH('RFPR cover'!$C$7,Data!$B$63:$B$91,0),0)</f>
        <v>0.501</v>
      </c>
      <c r="I17" s="434"/>
      <c r="J17" s="434"/>
      <c r="K17" s="103"/>
      <c r="L17" s="103"/>
      <c r="M17" s="103"/>
      <c r="N17" s="103"/>
      <c r="O17" s="103"/>
      <c r="P17" s="103"/>
      <c r="Q17" s="103"/>
      <c r="R17" s="103"/>
      <c r="S17" s="103"/>
    </row>
    <row r="18" spans="2:19">
      <c r="K18" s="103"/>
      <c r="L18" s="103"/>
      <c r="M18" s="103"/>
      <c r="N18" s="103"/>
      <c r="O18" s="103"/>
      <c r="P18" s="103"/>
      <c r="Q18" s="103"/>
      <c r="R18" s="103"/>
      <c r="S18" s="103"/>
    </row>
    <row r="19" spans="2:19">
      <c r="B19" s="352" t="s">
        <v>575</v>
      </c>
      <c r="C19" s="428" t="str">
        <f>Data!$C$9</f>
        <v>£m 20/21</v>
      </c>
      <c r="D19" s="458">
        <f>D15*D17</f>
        <v>29.954019704481169</v>
      </c>
      <c r="E19" s="458">
        <f t="shared" ref="E19:H19" si="3">E15*E17</f>
        <v>9.9211706079910886</v>
      </c>
      <c r="F19" s="458">
        <f t="shared" si="3"/>
        <v>-14.740984724083244</v>
      </c>
      <c r="G19" s="458">
        <f t="shared" si="3"/>
        <v>0.72642932900331247</v>
      </c>
      <c r="H19" s="458">
        <f t="shared" si="3"/>
        <v>-2.3934022768702454</v>
      </c>
      <c r="I19" s="18">
        <f>SUM(D19:INDEX(D19:H19,0,MATCH('RFPR cover'!$C$9,$D$6:$H$6,0)))</f>
        <v>29.954019704481169</v>
      </c>
      <c r="J19" s="20">
        <f>SUM(D19:H19)</f>
        <v>23.467232640522081</v>
      </c>
      <c r="K19" s="103"/>
      <c r="L19" s="103"/>
      <c r="M19" s="103"/>
      <c r="N19" s="103"/>
      <c r="O19" s="103"/>
      <c r="P19" s="103"/>
      <c r="Q19" s="103"/>
      <c r="R19" s="103"/>
      <c r="S19" s="103"/>
    </row>
    <row r="20" spans="2:19">
      <c r="B20" s="352" t="s">
        <v>576</v>
      </c>
      <c r="C20" s="428" t="str">
        <f>Data!$C$9</f>
        <v>£m 20/21</v>
      </c>
      <c r="D20" s="458">
        <f>D15*(1-D17)</f>
        <v>29.834442779513182</v>
      </c>
      <c r="E20" s="458">
        <f t="shared" ref="E20:H20" si="4">E15*(1-E17)</f>
        <v>9.8815651365021022</v>
      </c>
      <c r="F20" s="458">
        <f t="shared" si="4"/>
        <v>-14.682138477679718</v>
      </c>
      <c r="G20" s="458">
        <f t="shared" si="4"/>
        <v>0.72352941152226136</v>
      </c>
      <c r="H20" s="458">
        <f t="shared" si="4"/>
        <v>-2.3838477767629791</v>
      </c>
      <c r="I20" s="15">
        <f>SUM(D20:INDEX(D20:H20,0,MATCH('RFPR cover'!$C$9,$D$6:$H$6,0)))</f>
        <v>29.834442779513182</v>
      </c>
      <c r="J20" s="17">
        <f>SUM(D20:H20)</f>
        <v>23.373551073094848</v>
      </c>
      <c r="L20" s="103"/>
      <c r="M20" s="103"/>
      <c r="N20" s="103"/>
      <c r="O20" s="103"/>
      <c r="P20" s="103"/>
      <c r="Q20" s="103"/>
      <c r="R20" s="103"/>
      <c r="S20" s="103"/>
    </row>
    <row r="21" spans="2:19">
      <c r="C21" s="352"/>
      <c r="D21" s="352"/>
      <c r="E21" s="352"/>
      <c r="F21" s="352"/>
      <c r="G21" s="352"/>
      <c r="H21" s="352"/>
      <c r="I21" s="352"/>
      <c r="J21" s="352"/>
      <c r="L21" s="103"/>
      <c r="M21" s="103"/>
      <c r="N21" s="103"/>
      <c r="O21" s="103"/>
      <c r="P21" s="103"/>
      <c r="Q21" s="103"/>
      <c r="R21" s="103"/>
      <c r="S21" s="103"/>
    </row>
    <row r="22" spans="2:19">
      <c r="B22" s="359" t="s">
        <v>577</v>
      </c>
      <c r="L22" s="103"/>
      <c r="M22" s="103"/>
      <c r="N22" s="103"/>
      <c r="O22" s="103"/>
      <c r="P22" s="103"/>
    </row>
    <row r="23" spans="2:19" ht="27">
      <c r="B23" s="763" t="s">
        <v>929</v>
      </c>
      <c r="C23" s="428" t="str">
        <f>Data!$C$9</f>
        <v>£m 20/21</v>
      </c>
      <c r="D23" s="764">
        <v>-11.545204670131227</v>
      </c>
      <c r="E23" s="764">
        <v>-12.002614715980712</v>
      </c>
      <c r="F23" s="764">
        <v>-10.697778764604323</v>
      </c>
      <c r="G23" s="764">
        <v>-12.074146199742017</v>
      </c>
      <c r="H23" s="764">
        <v>-12.14043707968915</v>
      </c>
      <c r="I23" s="765">
        <f>SUM(D23:INDEX(D23:H23,0,MATCH('RFPR cover'!$C$9,$D$6:$H$6,0)))</f>
        <v>-11.545204670131227</v>
      </c>
      <c r="J23" s="766">
        <f t="shared" ref="J23:J28" si="5">SUM(D23:H23)</f>
        <v>-58.460181430147429</v>
      </c>
      <c r="L23" s="103"/>
      <c r="M23" s="103"/>
      <c r="N23" s="103"/>
      <c r="O23" s="103"/>
      <c r="P23" s="103"/>
      <c r="Q23" s="103"/>
      <c r="R23" s="103"/>
      <c r="S23" s="103"/>
    </row>
    <row r="24" spans="2:19">
      <c r="B24" s="365" t="s">
        <v>887</v>
      </c>
      <c r="C24" s="428" t="str">
        <f>Data!$C$9</f>
        <v>£m 20/21</v>
      </c>
      <c r="D24" s="764">
        <v>-63.583777625562313</v>
      </c>
      <c r="E24" s="764">
        <v>-24.285698868854535</v>
      </c>
      <c r="F24" s="764">
        <v>30.33800990072006</v>
      </c>
      <c r="G24" s="764">
        <v>20.916845459019672</v>
      </c>
      <c r="H24" s="764">
        <v>36.614621134677101</v>
      </c>
      <c r="I24" s="765">
        <f>SUM(D24:INDEX(D24:H24,0,MATCH('RFPR cover'!$C$9,$D$6:$H$6,0)))</f>
        <v>-63.583777625562313</v>
      </c>
      <c r="J24" s="766">
        <f t="shared" si="5"/>
        <v>0</v>
      </c>
      <c r="L24" s="103"/>
      <c r="M24" s="103"/>
      <c r="N24" s="103"/>
      <c r="O24" s="103"/>
      <c r="P24" s="103"/>
      <c r="Q24" s="103"/>
      <c r="R24" s="103"/>
      <c r="S24" s="103"/>
    </row>
    <row r="25" spans="2:19">
      <c r="B25" s="365" t="s">
        <v>579</v>
      </c>
      <c r="C25" s="428" t="str">
        <f>Data!$C$9</f>
        <v>£m 20/21</v>
      </c>
      <c r="D25" s="764"/>
      <c r="E25" s="764"/>
      <c r="F25" s="764"/>
      <c r="G25" s="764"/>
      <c r="H25" s="764"/>
      <c r="I25" s="765">
        <f>SUM(D25:INDEX(D25:H25,0,MATCH('RFPR cover'!$C$9,$D$6:$H$6,0)))</f>
        <v>0</v>
      </c>
      <c r="J25" s="766">
        <f t="shared" si="5"/>
        <v>0</v>
      </c>
      <c r="L25" s="103"/>
      <c r="M25" s="103"/>
      <c r="N25" s="103"/>
      <c r="O25" s="103"/>
      <c r="P25" s="103"/>
      <c r="Q25" s="103"/>
      <c r="R25" s="103"/>
      <c r="S25" s="103"/>
    </row>
    <row r="26" spans="2:19">
      <c r="B26" s="365" t="s">
        <v>579</v>
      </c>
      <c r="C26" s="428" t="str">
        <f>Data!$C$9</f>
        <v>£m 20/21</v>
      </c>
      <c r="D26" s="764"/>
      <c r="E26" s="764"/>
      <c r="F26" s="764"/>
      <c r="G26" s="764"/>
      <c r="H26" s="764"/>
      <c r="I26" s="765">
        <f>SUM(D26:INDEX(D26:H26,0,MATCH('RFPR cover'!$C$9,$D$6:$H$6,0)))</f>
        <v>0</v>
      </c>
      <c r="J26" s="766">
        <f t="shared" si="5"/>
        <v>0</v>
      </c>
      <c r="L26" s="103"/>
      <c r="M26" s="103"/>
      <c r="N26" s="103"/>
      <c r="O26" s="103"/>
      <c r="P26" s="103"/>
      <c r="Q26" s="103"/>
      <c r="R26" s="103"/>
      <c r="S26" s="103"/>
    </row>
    <row r="27" spans="2:19">
      <c r="B27" s="365" t="s">
        <v>579</v>
      </c>
      <c r="C27" s="428" t="str">
        <f>Data!$C$9</f>
        <v>£m 20/21</v>
      </c>
      <c r="D27" s="764"/>
      <c r="E27" s="764"/>
      <c r="F27" s="764"/>
      <c r="G27" s="764"/>
      <c r="H27" s="764"/>
      <c r="I27" s="765">
        <f>SUM(D27:INDEX(D27:H27,0,MATCH('RFPR cover'!$C$9,$D$6:$H$6,0)))</f>
        <v>0</v>
      </c>
      <c r="J27" s="766">
        <f t="shared" si="5"/>
        <v>0</v>
      </c>
      <c r="L27" s="103"/>
      <c r="M27" s="103"/>
      <c r="N27" s="103"/>
      <c r="O27" s="103"/>
      <c r="P27" s="103"/>
      <c r="Q27" s="103"/>
      <c r="R27" s="103"/>
      <c r="S27" s="103"/>
    </row>
    <row r="28" spans="2:19">
      <c r="B28" s="365" t="s">
        <v>579</v>
      </c>
      <c r="C28" s="428" t="str">
        <f>Data!$C$9</f>
        <v>£m 20/21</v>
      </c>
      <c r="D28" s="764"/>
      <c r="E28" s="764"/>
      <c r="F28" s="764"/>
      <c r="G28" s="764"/>
      <c r="H28" s="764"/>
      <c r="I28" s="765">
        <f>SUM(D28:INDEX(D28:H28,0,MATCH('RFPR cover'!$C$9,$D$6:$H$6,0)))</f>
        <v>0</v>
      </c>
      <c r="J28" s="766">
        <f t="shared" si="5"/>
        <v>0</v>
      </c>
      <c r="L28" s="103"/>
      <c r="M28" s="103"/>
      <c r="N28" s="103"/>
      <c r="O28" s="103"/>
      <c r="P28" s="103"/>
      <c r="Q28" s="103"/>
      <c r="R28" s="103"/>
      <c r="S28" s="103"/>
    </row>
    <row r="29" spans="2:19">
      <c r="B29" s="365" t="s">
        <v>579</v>
      </c>
      <c r="C29" s="428" t="str">
        <f>Data!$C$9</f>
        <v>£m 20/21</v>
      </c>
      <c r="D29" s="764"/>
      <c r="E29" s="764"/>
      <c r="F29" s="764"/>
      <c r="G29" s="764"/>
      <c r="H29" s="764"/>
      <c r="I29" s="765">
        <f>SUM(D29:INDEX(D29:H29,0,MATCH('RFPR cover'!$C$9,$D$6:$H$6,0)))</f>
        <v>0</v>
      </c>
      <c r="J29" s="766">
        <f t="shared" ref="J29" si="6">SUM(D29:H29)</f>
        <v>0</v>
      </c>
      <c r="L29" s="103"/>
      <c r="M29" s="103"/>
      <c r="N29" s="103"/>
      <c r="O29" s="103"/>
      <c r="P29" s="103"/>
      <c r="Q29" s="103"/>
      <c r="R29" s="103"/>
      <c r="S29" s="103"/>
    </row>
    <row r="30" spans="2:19">
      <c r="B30" s="359" t="s">
        <v>580</v>
      </c>
      <c r="C30" s="428" t="str">
        <f>Data!$C$9</f>
        <v>£m 20/21</v>
      </c>
      <c r="D30" s="458">
        <f>SUM(D23:D29)</f>
        <v>-75.128982295693532</v>
      </c>
      <c r="E30" s="458">
        <f t="shared" ref="E30:H30" si="7">SUM(E23:E29)</f>
        <v>-36.288313584835251</v>
      </c>
      <c r="F30" s="458">
        <f t="shared" si="7"/>
        <v>19.640231136115737</v>
      </c>
      <c r="G30" s="458">
        <f t="shared" si="7"/>
        <v>8.842699259277655</v>
      </c>
      <c r="H30" s="458">
        <f t="shared" si="7"/>
        <v>24.474184054987951</v>
      </c>
      <c r="I30" s="15">
        <f>SUM(D30:INDEX(D30:H30,0,MATCH('RFPR cover'!$C$9,$D$6:$H$6,0)))</f>
        <v>-75.128982295693532</v>
      </c>
      <c r="J30" s="17">
        <f t="shared" ref="J30" si="8">SUM(D30:H30)</f>
        <v>-58.46018143014745</v>
      </c>
      <c r="L30" s="103"/>
      <c r="M30" s="103"/>
      <c r="N30" s="103"/>
      <c r="O30" s="103"/>
      <c r="P30" s="103"/>
      <c r="Q30" s="103"/>
      <c r="R30" s="103"/>
      <c r="S30" s="103"/>
    </row>
    <row r="31" spans="2:19">
      <c r="B31" s="359"/>
      <c r="L31" s="103"/>
      <c r="M31" s="103"/>
      <c r="N31" s="103"/>
      <c r="O31" s="103"/>
      <c r="P31" s="103"/>
      <c r="Q31" s="103"/>
      <c r="R31" s="103"/>
      <c r="S31" s="103"/>
    </row>
    <row r="32" spans="2:19">
      <c r="B32" s="359" t="s">
        <v>581</v>
      </c>
      <c r="L32" s="103"/>
      <c r="M32" s="103"/>
      <c r="N32" s="103"/>
      <c r="O32" s="103"/>
      <c r="P32" s="103"/>
      <c r="Q32" s="103"/>
      <c r="R32" s="103"/>
      <c r="S32" s="103"/>
    </row>
    <row r="33" spans="2:19">
      <c r="B33" s="365" t="s">
        <v>578</v>
      </c>
      <c r="C33" s="428" t="str">
        <f>Data!$C$9</f>
        <v>£m 20/21</v>
      </c>
      <c r="D33" s="435"/>
      <c r="E33" s="435"/>
      <c r="F33" s="435"/>
      <c r="G33" s="435"/>
      <c r="H33" s="435"/>
      <c r="I33" s="15">
        <f>SUM(D33:INDEX(D33:H33,0,MATCH('RFPR cover'!$C$9,$D$6:$H$6,0)))</f>
        <v>0</v>
      </c>
      <c r="J33" s="17">
        <f>SUM(D33:H33)</f>
        <v>0</v>
      </c>
      <c r="L33" s="103"/>
      <c r="M33" s="103"/>
      <c r="N33" s="103"/>
      <c r="O33" s="103"/>
      <c r="P33" s="103"/>
      <c r="Q33" s="103"/>
      <c r="R33" s="103"/>
      <c r="S33" s="103"/>
    </row>
    <row r="34" spans="2:19">
      <c r="B34" s="365" t="s">
        <v>579</v>
      </c>
      <c r="C34" s="428" t="str">
        <f>Data!$C$9</f>
        <v>£m 20/21</v>
      </c>
      <c r="D34" s="435"/>
      <c r="E34" s="435"/>
      <c r="F34" s="435"/>
      <c r="G34" s="435"/>
      <c r="H34" s="435"/>
      <c r="I34" s="15">
        <f>SUM(D34:INDEX(D34:H34,0,MATCH('RFPR cover'!$C$9,$D$6:$H$6,0)))</f>
        <v>0</v>
      </c>
      <c r="J34" s="17">
        <f t="shared" ref="J34:J35" si="9">SUM(D34:H34)</f>
        <v>0</v>
      </c>
      <c r="L34" s="103"/>
      <c r="M34" s="103"/>
      <c r="N34" s="103"/>
      <c r="O34" s="103"/>
      <c r="P34" s="103"/>
      <c r="Q34" s="103"/>
      <c r="R34" s="103"/>
      <c r="S34" s="103"/>
    </row>
    <row r="35" spans="2:19">
      <c r="B35" s="359" t="s">
        <v>580</v>
      </c>
      <c r="C35" s="428" t="str">
        <f>Data!$C$9</f>
        <v>£m 20/21</v>
      </c>
      <c r="D35" s="458">
        <f>SUM(D33:D34)</f>
        <v>0</v>
      </c>
      <c r="E35" s="458">
        <f t="shared" ref="E35:H35" si="10">SUM(E33:E34)</f>
        <v>0</v>
      </c>
      <c r="F35" s="458">
        <f t="shared" si="10"/>
        <v>0</v>
      </c>
      <c r="G35" s="458">
        <f t="shared" si="10"/>
        <v>0</v>
      </c>
      <c r="H35" s="458">
        <f t="shared" si="10"/>
        <v>0</v>
      </c>
      <c r="I35" s="15">
        <f>SUM(D35:INDEX(D35:H35,0,MATCH('RFPR cover'!$C$9,$D$6:$H$6,0)))</f>
        <v>0</v>
      </c>
      <c r="J35" s="17">
        <f t="shared" si="9"/>
        <v>0</v>
      </c>
      <c r="L35" s="103"/>
      <c r="M35" s="103"/>
      <c r="N35" s="103"/>
      <c r="O35" s="103"/>
      <c r="P35" s="103"/>
      <c r="Q35" s="103"/>
      <c r="R35" s="103"/>
      <c r="S35" s="103"/>
    </row>
    <row r="36" spans="2:19">
      <c r="B36" s="359"/>
      <c r="L36" s="103"/>
      <c r="M36" s="103"/>
      <c r="N36" s="103"/>
      <c r="O36" s="103"/>
      <c r="P36" s="103"/>
      <c r="Q36" s="103"/>
      <c r="R36" s="103"/>
      <c r="S36" s="103"/>
    </row>
    <row r="37" spans="2:19">
      <c r="B37" s="352" t="s">
        <v>582</v>
      </c>
      <c r="C37" s="428" t="str">
        <f>Data!$C$9</f>
        <v>£m 20/21</v>
      </c>
      <c r="D37" s="458">
        <f>D30*D17</f>
        <v>-37.639620130142461</v>
      </c>
      <c r="E37" s="458">
        <f t="shared" ref="E37:H37" si="11">E30*E17</f>
        <v>-18.180445106002459</v>
      </c>
      <c r="F37" s="458">
        <f t="shared" si="11"/>
        <v>9.8397557991939841</v>
      </c>
      <c r="G37" s="458">
        <f t="shared" si="11"/>
        <v>4.4301923288981051</v>
      </c>
      <c r="H37" s="458">
        <f t="shared" si="11"/>
        <v>12.261566211548963</v>
      </c>
      <c r="I37" s="18">
        <f>SUM(D37:INDEX(D37:H37,0,MATCH('RFPR cover'!$C$9,$D$6:$H$6,0)))</f>
        <v>-37.639620130142461</v>
      </c>
      <c r="J37" s="20">
        <f>SUM(D37:H37)</f>
        <v>-29.288550896503867</v>
      </c>
      <c r="L37" s="103"/>
      <c r="M37" s="103"/>
      <c r="N37" s="103"/>
      <c r="O37" s="103"/>
      <c r="P37" s="103"/>
      <c r="Q37" s="103"/>
      <c r="R37" s="103"/>
      <c r="S37" s="103"/>
    </row>
    <row r="38" spans="2:19">
      <c r="B38" s="352" t="s">
        <v>583</v>
      </c>
      <c r="C38" s="428" t="str">
        <f>Data!$C$9</f>
        <v>£m 20/21</v>
      </c>
      <c r="D38" s="458">
        <f>D30*(1-D17)+D35</f>
        <v>-37.489362165551071</v>
      </c>
      <c r="E38" s="458">
        <f t="shared" ref="E38:H38" si="12">E30*(1-E17)+E35</f>
        <v>-18.107868478832792</v>
      </c>
      <c r="F38" s="458">
        <f t="shared" si="12"/>
        <v>9.8004753369217532</v>
      </c>
      <c r="G38" s="458">
        <f t="shared" si="12"/>
        <v>4.4125069303795499</v>
      </c>
      <c r="H38" s="458">
        <f t="shared" si="12"/>
        <v>12.212617843438988</v>
      </c>
      <c r="I38" s="18">
        <f>SUM(D38:INDEX(D38:H38,0,MATCH('RFPR cover'!$C$9,$D$6:$H$6,0)))</f>
        <v>-37.489362165551071</v>
      </c>
      <c r="J38" s="17">
        <f>SUM(D38:H38)</f>
        <v>-29.171630533643569</v>
      </c>
      <c r="L38" s="103"/>
      <c r="M38" s="103"/>
      <c r="N38" s="103"/>
      <c r="O38" s="103"/>
      <c r="P38" s="103"/>
      <c r="Q38" s="103"/>
      <c r="R38" s="103"/>
      <c r="S38" s="103"/>
    </row>
    <row r="39" spans="2:19">
      <c r="B39" s="359"/>
      <c r="L39" s="103"/>
      <c r="M39" s="103"/>
      <c r="N39" s="103"/>
      <c r="O39" s="103"/>
      <c r="P39" s="103"/>
      <c r="Q39" s="103"/>
      <c r="R39" s="103"/>
      <c r="S39" s="103"/>
    </row>
    <row r="40" spans="2:19">
      <c r="B40" s="359" t="s">
        <v>584</v>
      </c>
      <c r="L40" s="103"/>
      <c r="M40" s="103"/>
      <c r="N40" s="103"/>
      <c r="O40" s="103"/>
      <c r="P40" s="103"/>
      <c r="Q40" s="103"/>
      <c r="R40" s="103"/>
      <c r="S40" s="103"/>
    </row>
    <row r="41" spans="2:19">
      <c r="B41" s="352" t="s">
        <v>575</v>
      </c>
      <c r="C41" s="428" t="str">
        <f>Data!$C$9</f>
        <v>£m 20/21</v>
      </c>
      <c r="D41" s="458">
        <f>D19+D37</f>
        <v>-7.685600425661292</v>
      </c>
      <c r="E41" s="458">
        <f t="shared" ref="E41:H41" si="13">E19+E37</f>
        <v>-8.2592744980113704</v>
      </c>
      <c r="F41" s="458">
        <f t="shared" si="13"/>
        <v>-4.90122892488926</v>
      </c>
      <c r="G41" s="458">
        <f t="shared" si="13"/>
        <v>5.1566216579014172</v>
      </c>
      <c r="H41" s="458">
        <f t="shared" si="13"/>
        <v>9.8681639346787176</v>
      </c>
      <c r="I41" s="18">
        <f>SUM(D41:INDEX(D41:H41,0,MATCH('RFPR cover'!$C$9,$D$6:$H$6,0)))</f>
        <v>-7.685600425661292</v>
      </c>
      <c r="J41" s="20">
        <f>SUM(D41:H41)</f>
        <v>-5.8213182559817884</v>
      </c>
      <c r="L41" s="103"/>
      <c r="M41" s="103"/>
      <c r="N41" s="103"/>
      <c r="O41" s="103"/>
      <c r="P41" s="103"/>
      <c r="Q41" s="103"/>
      <c r="R41" s="103"/>
      <c r="S41" s="103"/>
    </row>
    <row r="42" spans="2:19">
      <c r="B42" s="352" t="s">
        <v>576</v>
      </c>
      <c r="C42" s="428" t="str">
        <f>Data!$C$9</f>
        <v>£m 20/21</v>
      </c>
      <c r="D42" s="458">
        <f>D20+D38</f>
        <v>-7.6549193860378892</v>
      </c>
      <c r="E42" s="458">
        <f t="shared" ref="E42:H42" si="14">E20+E38</f>
        <v>-8.2263033423306897</v>
      </c>
      <c r="F42" s="458">
        <f t="shared" si="14"/>
        <v>-4.8816631407579649</v>
      </c>
      <c r="G42" s="458">
        <f t="shared" si="14"/>
        <v>5.1360363419018116</v>
      </c>
      <c r="H42" s="458">
        <f t="shared" si="14"/>
        <v>9.8287700666760092</v>
      </c>
      <c r="I42" s="18">
        <f>SUM(D42:INDEX(D42:H42,0,MATCH('RFPR cover'!$C$9,$D$6:$H$6,0)))</f>
        <v>-7.6549193860378892</v>
      </c>
      <c r="J42" s="17">
        <f t="shared" ref="J42" si="15">SUM(D42:H42)</f>
        <v>-5.7980794605487223</v>
      </c>
      <c r="L42" s="103"/>
      <c r="M42" s="103"/>
      <c r="N42" s="103"/>
      <c r="O42" s="103"/>
      <c r="P42" s="103"/>
      <c r="Q42" s="103"/>
      <c r="R42" s="103"/>
      <c r="S42" s="103"/>
    </row>
    <row r="43" spans="2:19">
      <c r="B43" s="359" t="s">
        <v>585</v>
      </c>
      <c r="C43" s="436" t="str">
        <f>Data!$C$9</f>
        <v>£m 20/21</v>
      </c>
      <c r="D43" s="458">
        <f>SUM(D41:D42)</f>
        <v>-15.340519811699181</v>
      </c>
      <c r="E43" s="458">
        <f t="shared" ref="E43:H43" si="16">SUM(E41:E42)</f>
        <v>-16.48557784034206</v>
      </c>
      <c r="F43" s="458">
        <f t="shared" si="16"/>
        <v>-9.7828920656472249</v>
      </c>
      <c r="G43" s="458">
        <f t="shared" si="16"/>
        <v>10.292657999803229</v>
      </c>
      <c r="H43" s="458">
        <f t="shared" si="16"/>
        <v>19.696934001354727</v>
      </c>
      <c r="I43" s="15">
        <f>SUM(D43:INDEX(D43:H43,0,MATCH('RFPR cover'!$C$9,$D$6:$H$6,0)))</f>
        <v>-15.340519811699181</v>
      </c>
      <c r="J43" s="17">
        <f t="shared" ref="J43" si="17">SUM(D43:H43)</f>
        <v>-11.619397716530511</v>
      </c>
      <c r="L43" s="103"/>
      <c r="M43" s="103"/>
      <c r="N43" s="103"/>
      <c r="O43" s="103"/>
      <c r="P43" s="103"/>
      <c r="Q43" s="103"/>
      <c r="R43" s="103"/>
      <c r="S43" s="103"/>
    </row>
    <row r="44" spans="2:19">
      <c r="B44" s="359"/>
      <c r="L44" s="103"/>
      <c r="M44" s="103"/>
      <c r="N44" s="103"/>
      <c r="O44" s="103"/>
      <c r="P44" s="103"/>
      <c r="Q44" s="103"/>
      <c r="R44" s="103"/>
      <c r="S44" s="103"/>
    </row>
    <row r="45" spans="2:19">
      <c r="B45" s="425" t="str">
        <f>IF(Sector="GD2","Capitalisation 2 totex (excluding repex)","Capitalisation 2 totex")</f>
        <v>Capitalisation 2 totex</v>
      </c>
      <c r="C45" s="355"/>
      <c r="D45" s="357"/>
      <c r="E45" s="357"/>
      <c r="F45" s="357"/>
      <c r="G45" s="357"/>
      <c r="H45" s="357"/>
      <c r="I45" s="357"/>
      <c r="J45" s="357"/>
    </row>
    <row r="46" spans="2:19">
      <c r="D46" s="427"/>
      <c r="E46" s="427"/>
      <c r="F46" s="427"/>
      <c r="G46" s="427"/>
      <c r="H46" s="427"/>
      <c r="I46" s="427"/>
      <c r="J46" s="427"/>
    </row>
    <row r="47" spans="2:19">
      <c r="B47" s="79" t="s">
        <v>571</v>
      </c>
      <c r="C47" s="428" t="str">
        <f>Data!$C$9</f>
        <v>£m 20/21</v>
      </c>
      <c r="D47" s="429">
        <v>13.04991746973776</v>
      </c>
      <c r="E47" s="429">
        <v>28.591208915341603</v>
      </c>
      <c r="F47" s="429">
        <v>36.669518239237526</v>
      </c>
      <c r="G47" s="429">
        <v>38.319246913283152</v>
      </c>
      <c r="H47" s="429">
        <v>46.626613563435484</v>
      </c>
      <c r="I47" s="464">
        <f>SUM(D47:INDEX(D47:H47,0,MATCH('RFPR cover'!$C$9,$D$6:$H$6,0)))</f>
        <v>13.04991746973776</v>
      </c>
      <c r="J47" s="465">
        <f>SUM(D47:H47)</f>
        <v>163.25650510103554</v>
      </c>
      <c r="K47" s="431"/>
    </row>
    <row r="48" spans="2:19" ht="15" customHeight="1">
      <c r="B48" s="430" t="s">
        <v>586</v>
      </c>
      <c r="C48" s="428" t="str">
        <f>Data!$C$9</f>
        <v>£m 20/21</v>
      </c>
      <c r="D48" s="429">
        <v>14.041010582273667</v>
      </c>
      <c r="E48" s="429">
        <v>31.533906198750774</v>
      </c>
      <c r="F48" s="429">
        <v>36.149377358671607</v>
      </c>
      <c r="G48" s="429">
        <v>37.951388236799353</v>
      </c>
      <c r="H48" s="429">
        <v>48.350195726455013</v>
      </c>
      <c r="I48" s="466">
        <f>SUM(D48:INDEX(D48:H48,0,MATCH('RFPR cover'!$C$9,$D$6:$H$6,0)))</f>
        <v>14.041010582273667</v>
      </c>
      <c r="J48" s="467">
        <f>SUM(D48:H48)</f>
        <v>168.0258781029504</v>
      </c>
      <c r="K48" s="431"/>
    </row>
    <row r="49" spans="2:19">
      <c r="B49" s="78" t="s">
        <v>573</v>
      </c>
      <c r="C49" s="428" t="str">
        <f>Data!$C$9</f>
        <v>£m 20/21</v>
      </c>
      <c r="D49" s="458">
        <f>D48-D47</f>
        <v>0.99109311253590704</v>
      </c>
      <c r="E49" s="458">
        <f t="shared" ref="E49:J49" si="18">E48-E47</f>
        <v>2.9426972834091707</v>
      </c>
      <c r="F49" s="458">
        <f t="shared" si="18"/>
        <v>-0.52014088056591845</v>
      </c>
      <c r="G49" s="458">
        <f t="shared" si="18"/>
        <v>-0.36785867648379877</v>
      </c>
      <c r="H49" s="458">
        <f t="shared" si="18"/>
        <v>1.7235821630195289</v>
      </c>
      <c r="I49" s="141">
        <f t="shared" si="18"/>
        <v>0.99109311253590704</v>
      </c>
      <c r="J49" s="224">
        <f t="shared" si="18"/>
        <v>4.7693730019148575</v>
      </c>
      <c r="K49" s="124"/>
      <c r="L49" s="124"/>
      <c r="M49" s="124"/>
      <c r="N49" s="124"/>
      <c r="O49" s="124"/>
      <c r="P49" s="124"/>
      <c r="Q49" s="103"/>
      <c r="R49" s="103"/>
      <c r="S49" s="103"/>
    </row>
    <row r="50" spans="2:19">
      <c r="B50" s="78"/>
      <c r="C50" s="428"/>
      <c r="D50" s="432"/>
      <c r="E50" s="432"/>
      <c r="F50" s="432"/>
      <c r="G50" s="432"/>
      <c r="H50" s="432"/>
      <c r="I50" s="432"/>
      <c r="J50" s="432"/>
      <c r="K50" s="433"/>
      <c r="L50" s="433"/>
      <c r="M50" s="433"/>
      <c r="N50" s="433"/>
      <c r="O50" s="433"/>
      <c r="P50" s="433"/>
      <c r="Q50" s="103"/>
      <c r="R50" s="103"/>
      <c r="S50" s="103"/>
    </row>
    <row r="51" spans="2:19">
      <c r="B51" s="352" t="s">
        <v>574</v>
      </c>
      <c r="C51" s="29" t="s">
        <v>477</v>
      </c>
      <c r="D51" s="468">
        <f>INDEX(Data!$C$63:$C$91,MATCH('RFPR cover'!$C$7,Data!$B$63:$B$91,0),0)</f>
        <v>0.501</v>
      </c>
      <c r="E51" s="468">
        <f>INDEX(Data!$C$63:$C$91,MATCH('RFPR cover'!$C$7,Data!$B$63:$B$91,0),0)</f>
        <v>0.501</v>
      </c>
      <c r="F51" s="468">
        <f>INDEX(Data!$C$63:$C$91,MATCH('RFPR cover'!$C$7,Data!$B$63:$B$91,0),0)</f>
        <v>0.501</v>
      </c>
      <c r="G51" s="468">
        <f>INDEX(Data!$C$63:$C$91,MATCH('RFPR cover'!$C$7,Data!$B$63:$B$91,0),0)</f>
        <v>0.501</v>
      </c>
      <c r="H51" s="468">
        <f>INDEX(Data!$C$63:$C$91,MATCH('RFPR cover'!$C$7,Data!$B$63:$B$91,0),0)</f>
        <v>0.501</v>
      </c>
      <c r="I51" s="434"/>
      <c r="J51" s="434"/>
      <c r="K51" s="103"/>
      <c r="L51" s="103"/>
      <c r="M51" s="103"/>
      <c r="N51" s="103"/>
      <c r="O51" s="103"/>
      <c r="P51" s="103"/>
      <c r="Q51" s="103"/>
      <c r="R51" s="103"/>
      <c r="S51" s="103"/>
    </row>
    <row r="52" spans="2:19">
      <c r="K52" s="103"/>
      <c r="L52" s="103"/>
      <c r="M52" s="103"/>
      <c r="N52" s="103"/>
      <c r="O52" s="103"/>
      <c r="P52" s="103"/>
      <c r="Q52" s="103"/>
      <c r="R52" s="103"/>
      <c r="S52" s="103"/>
    </row>
    <row r="53" spans="2:19">
      <c r="B53" s="352" t="s">
        <v>575</v>
      </c>
      <c r="C53" s="428" t="str">
        <f>Data!$C$9</f>
        <v>£m 20/21</v>
      </c>
      <c r="D53" s="458">
        <f>D49*D51</f>
        <v>0.49653764938048944</v>
      </c>
      <c r="E53" s="458">
        <f t="shared" ref="E53:H53" si="19">E49*E51</f>
        <v>1.4742913389879946</v>
      </c>
      <c r="F53" s="458">
        <f t="shared" si="19"/>
        <v>-0.26059058116352513</v>
      </c>
      <c r="G53" s="458">
        <f t="shared" si="19"/>
        <v>-0.1842971969183832</v>
      </c>
      <c r="H53" s="458">
        <f t="shared" si="19"/>
        <v>0.86351466367278396</v>
      </c>
      <c r="I53" s="50">
        <f>SUM(D53:INDEX(D53:H53,0,MATCH('RFPR cover'!$C$9,$D$6:$H$6,0)))</f>
        <v>0.49653764938048944</v>
      </c>
      <c r="J53" s="74">
        <f>SUM(D53:H53)</f>
        <v>2.3894558739593599</v>
      </c>
      <c r="K53" s="103"/>
      <c r="L53" s="103"/>
      <c r="M53" s="103"/>
      <c r="N53" s="103"/>
      <c r="O53" s="103"/>
      <c r="P53" s="103"/>
      <c r="Q53" s="103"/>
      <c r="R53" s="103"/>
      <c r="S53" s="103"/>
    </row>
    <row r="54" spans="2:19">
      <c r="B54" s="352" t="s">
        <v>576</v>
      </c>
      <c r="C54" s="428" t="str">
        <f>Data!$C$9</f>
        <v>£m 20/21</v>
      </c>
      <c r="D54" s="458">
        <f>D49*(1-D51)</f>
        <v>0.4945554631554176</v>
      </c>
      <c r="E54" s="458">
        <f t="shared" ref="E54:H54" si="20">E49*(1-E51)</f>
        <v>1.4684059444211761</v>
      </c>
      <c r="F54" s="458">
        <f t="shared" si="20"/>
        <v>-0.25955029940239333</v>
      </c>
      <c r="G54" s="458">
        <f t="shared" si="20"/>
        <v>-0.18356147956541558</v>
      </c>
      <c r="H54" s="458">
        <f t="shared" si="20"/>
        <v>0.86006749934674498</v>
      </c>
      <c r="I54" s="75">
        <f>SUM(D54:INDEX(D54:H54,0,MATCH('RFPR cover'!$C$9,$D$6:$H$6,0)))</f>
        <v>0.4945554631554176</v>
      </c>
      <c r="J54" s="76">
        <f>SUM(D54:H54)</f>
        <v>2.3799171279555296</v>
      </c>
      <c r="K54" s="103"/>
      <c r="L54" s="103"/>
      <c r="M54" s="103"/>
      <c r="N54" s="103"/>
      <c r="O54" s="103"/>
      <c r="P54" s="103"/>
      <c r="Q54" s="103"/>
      <c r="R54" s="103"/>
      <c r="S54" s="103"/>
    </row>
    <row r="55" spans="2:19">
      <c r="K55" s="103"/>
      <c r="L55" s="103"/>
      <c r="M55" s="103"/>
      <c r="N55" s="103"/>
      <c r="O55" s="103"/>
      <c r="P55" s="103"/>
      <c r="Q55" s="103"/>
      <c r="R55" s="103"/>
      <c r="S55" s="103"/>
    </row>
    <row r="56" spans="2:19">
      <c r="B56" s="359" t="s">
        <v>577</v>
      </c>
      <c r="K56" s="103"/>
      <c r="L56" s="103"/>
      <c r="M56" s="103"/>
      <c r="N56" s="103"/>
      <c r="O56" s="103"/>
      <c r="P56" s="103"/>
      <c r="Q56" s="103"/>
      <c r="R56" s="103"/>
      <c r="S56" s="103"/>
    </row>
    <row r="57" spans="2:19" ht="27">
      <c r="B57" s="763" t="s">
        <v>929</v>
      </c>
      <c r="C57" s="428" t="str">
        <f>Data!$C$9</f>
        <v>£m 20/21</v>
      </c>
      <c r="D57" s="764">
        <v>-0.39267795333976174</v>
      </c>
      <c r="E57" s="764">
        <v>-0.64344094741902325</v>
      </c>
      <c r="F57" s="764">
        <v>-1.0594505806785506</v>
      </c>
      <c r="G57" s="764">
        <v>-1.2690496629886425</v>
      </c>
      <c r="H57" s="764">
        <v>-1.7254145817902327</v>
      </c>
      <c r="I57" s="15">
        <f>SUM(D57:INDEX(D57:H57,0,MATCH('RFPR cover'!$C$9,$D$6:$H$6,0)))</f>
        <v>-0.39267795333976174</v>
      </c>
      <c r="J57" s="17">
        <f>SUM(D57:H57)</f>
        <v>-5.0900337262162108</v>
      </c>
      <c r="K57" s="103"/>
      <c r="L57" s="103"/>
      <c r="M57" s="103"/>
      <c r="N57" s="103"/>
      <c r="O57" s="103"/>
      <c r="P57" s="103"/>
      <c r="Q57" s="103"/>
      <c r="R57" s="103"/>
      <c r="S57" s="103"/>
    </row>
    <row r="58" spans="2:19">
      <c r="B58" s="365" t="s">
        <v>887</v>
      </c>
      <c r="C58" s="428" t="str">
        <f>Data!$C$9</f>
        <v>£m 20/21</v>
      </c>
      <c r="D58" s="435">
        <v>-1.4505725342733289</v>
      </c>
      <c r="E58" s="764">
        <v>-2.2454133722552858</v>
      </c>
      <c r="F58" s="764">
        <v>1.9530517940734367</v>
      </c>
      <c r="G58" s="764">
        <v>1.6369083394724373</v>
      </c>
      <c r="H58" s="764">
        <v>0.10602577298274074</v>
      </c>
      <c r="I58" s="15">
        <f>SUM(D58:INDEX(D58:H58,0,MATCH('RFPR cover'!$C$9,$D$6:$H$6,0)))</f>
        <v>-1.4505725342733289</v>
      </c>
      <c r="J58" s="17">
        <f t="shared" ref="J58:J59" si="21">SUM(D58:H58)</f>
        <v>0</v>
      </c>
      <c r="K58" s="103"/>
      <c r="L58" s="103"/>
      <c r="M58" s="103"/>
      <c r="N58" s="103"/>
      <c r="O58" s="103"/>
      <c r="P58" s="103"/>
      <c r="Q58" s="103"/>
      <c r="R58" s="103"/>
      <c r="S58" s="103"/>
    </row>
    <row r="59" spans="2:19">
      <c r="B59" s="359" t="s">
        <v>580</v>
      </c>
      <c r="C59" s="428" t="str">
        <f>Data!$C$9</f>
        <v>£m 20/21</v>
      </c>
      <c r="D59" s="458">
        <f>SUM(D57:D58)</f>
        <v>-1.8432504876130906</v>
      </c>
      <c r="E59" s="458">
        <f t="shared" ref="E59" si="22">SUM(E57:E58)</f>
        <v>-2.8888543196743091</v>
      </c>
      <c r="F59" s="458">
        <f t="shared" ref="F59" si="23">SUM(F57:F58)</f>
        <v>0.89360121339488607</v>
      </c>
      <c r="G59" s="458">
        <f t="shared" ref="G59" si="24">SUM(G57:G58)</f>
        <v>0.36785867648379478</v>
      </c>
      <c r="H59" s="458">
        <f t="shared" ref="H59" si="25">SUM(H57:H58)</f>
        <v>-1.6193888088074919</v>
      </c>
      <c r="I59" s="15">
        <f>SUM(D59:INDEX(D59:H59,0,MATCH('RFPR cover'!$C$9,$D$6:$H$6,0)))</f>
        <v>-1.8432504876130906</v>
      </c>
      <c r="J59" s="17">
        <f t="shared" si="21"/>
        <v>-5.0900337262162108</v>
      </c>
      <c r="K59" s="359"/>
      <c r="L59" s="359"/>
      <c r="M59" s="359"/>
      <c r="N59" s="359"/>
      <c r="O59" s="359"/>
      <c r="P59" s="359"/>
      <c r="Q59" s="359"/>
      <c r="R59" s="103"/>
      <c r="S59" s="103"/>
    </row>
    <row r="60" spans="2:19">
      <c r="B60" s="359"/>
      <c r="C60" s="359"/>
      <c r="D60" s="359"/>
      <c r="E60" s="359"/>
      <c r="F60" s="359"/>
      <c r="G60" s="359"/>
      <c r="H60" s="359"/>
      <c r="I60" s="359"/>
      <c r="J60" s="359"/>
      <c r="K60" s="359"/>
      <c r="L60" s="359"/>
      <c r="M60" s="359"/>
      <c r="N60" s="359"/>
      <c r="O60" s="359"/>
      <c r="P60" s="359"/>
      <c r="Q60" s="359"/>
      <c r="R60" s="103"/>
      <c r="S60" s="103"/>
    </row>
    <row r="61" spans="2:19">
      <c r="B61" s="359" t="s">
        <v>581</v>
      </c>
      <c r="K61" s="359"/>
      <c r="L61" s="359"/>
      <c r="M61" s="359"/>
      <c r="N61" s="359"/>
      <c r="O61" s="359"/>
      <c r="P61" s="359"/>
      <c r="Q61" s="359"/>
      <c r="R61" s="103"/>
      <c r="S61" s="103"/>
    </row>
    <row r="62" spans="2:19">
      <c r="B62" s="365" t="s">
        <v>578</v>
      </c>
      <c r="C62" s="428" t="str">
        <f>Data!$C$9</f>
        <v>£m 20/21</v>
      </c>
      <c r="D62" s="435"/>
      <c r="E62" s="435"/>
      <c r="F62" s="435"/>
      <c r="G62" s="435"/>
      <c r="H62" s="435"/>
      <c r="I62" s="15">
        <f>SUM(D62:INDEX(D62:H62,0,MATCH('RFPR cover'!$C$9,$D$6:$H$6,0)))</f>
        <v>0</v>
      </c>
      <c r="J62" s="17">
        <f>SUM(D62:H62)</f>
        <v>0</v>
      </c>
      <c r="K62" s="359"/>
      <c r="L62" s="359"/>
      <c r="M62" s="359"/>
      <c r="N62" s="359"/>
      <c r="O62" s="359"/>
      <c r="P62" s="359"/>
      <c r="Q62" s="359"/>
      <c r="R62" s="103"/>
      <c r="S62" s="103"/>
    </row>
    <row r="63" spans="2:19">
      <c r="B63" s="365" t="s">
        <v>579</v>
      </c>
      <c r="C63" s="428" t="str">
        <f>Data!$C$9</f>
        <v>£m 20/21</v>
      </c>
      <c r="D63" s="435"/>
      <c r="E63" s="435"/>
      <c r="F63" s="435"/>
      <c r="G63" s="435"/>
      <c r="H63" s="435"/>
      <c r="I63" s="15">
        <f>SUM(D63:INDEX(D63:H63,0,MATCH('RFPR cover'!$C$9,$D$6:$H$6,0)))</f>
        <v>0</v>
      </c>
      <c r="J63" s="17">
        <f t="shared" ref="J63:J64" si="26">SUM(D63:H63)</f>
        <v>0</v>
      </c>
      <c r="K63" s="359"/>
      <c r="L63" s="359"/>
      <c r="M63" s="359"/>
      <c r="N63" s="359"/>
      <c r="O63" s="359"/>
      <c r="P63" s="359"/>
      <c r="Q63" s="359"/>
      <c r="R63" s="103"/>
      <c r="S63" s="103"/>
    </row>
    <row r="64" spans="2:19">
      <c r="B64" s="359" t="s">
        <v>580</v>
      </c>
      <c r="C64" s="428" t="str">
        <f>Data!$C$9</f>
        <v>£m 20/21</v>
      </c>
      <c r="D64" s="458">
        <f>SUM(D62:D63)</f>
        <v>0</v>
      </c>
      <c r="E64" s="458">
        <f t="shared" ref="E64:H64" si="27">SUM(E62:E63)</f>
        <v>0</v>
      </c>
      <c r="F64" s="458">
        <f t="shared" si="27"/>
        <v>0</v>
      </c>
      <c r="G64" s="458">
        <f t="shared" si="27"/>
        <v>0</v>
      </c>
      <c r="H64" s="458">
        <f t="shared" si="27"/>
        <v>0</v>
      </c>
      <c r="I64" s="15">
        <f>SUM(D64:INDEX(D64:H64,0,MATCH('RFPR cover'!$C$9,$D$6:$H$6,0)))</f>
        <v>0</v>
      </c>
      <c r="J64" s="17">
        <f t="shared" si="26"/>
        <v>0</v>
      </c>
      <c r="K64" s="359"/>
      <c r="L64" s="359"/>
      <c r="M64" s="359"/>
      <c r="N64" s="359"/>
      <c r="O64" s="359"/>
      <c r="P64" s="359"/>
      <c r="Q64" s="359"/>
      <c r="R64" s="103"/>
      <c r="S64" s="103"/>
    </row>
    <row r="65" spans="2:20">
      <c r="B65" s="359"/>
      <c r="C65" s="359"/>
      <c r="D65" s="359"/>
      <c r="E65" s="359"/>
      <c r="F65" s="359"/>
      <c r="G65" s="359"/>
      <c r="H65" s="359"/>
      <c r="I65" s="359"/>
      <c r="J65" s="359"/>
      <c r="K65" s="359"/>
      <c r="L65" s="359"/>
      <c r="M65" s="359"/>
      <c r="N65" s="359"/>
      <c r="O65" s="359"/>
      <c r="P65" s="359"/>
      <c r="Q65" s="359"/>
      <c r="R65" s="103"/>
      <c r="S65" s="103"/>
    </row>
    <row r="66" spans="2:20">
      <c r="B66" s="352" t="s">
        <v>582</v>
      </c>
      <c r="C66" s="428" t="str">
        <f>Data!$C$9</f>
        <v>£m 20/21</v>
      </c>
      <c r="D66" s="458">
        <f>D59*D51</f>
        <v>-0.92346849429415845</v>
      </c>
      <c r="E66" s="458">
        <f t="shared" ref="E66:H66" si="28">E59*E51</f>
        <v>-1.4473160141568289</v>
      </c>
      <c r="F66" s="458">
        <f t="shared" si="28"/>
        <v>0.44769420791083792</v>
      </c>
      <c r="G66" s="458">
        <f t="shared" si="28"/>
        <v>0.18429719691838117</v>
      </c>
      <c r="H66" s="458">
        <f t="shared" si="28"/>
        <v>-0.81131379321255348</v>
      </c>
      <c r="I66" s="18">
        <f>SUM(D66:INDEX(D66:H66,0,MATCH('RFPR cover'!$C$9,$D$6:$H$6,0)))</f>
        <v>-0.92346849429415845</v>
      </c>
      <c r="J66" s="20">
        <f>SUM(D66:H66)</f>
        <v>-2.5501068968343219</v>
      </c>
      <c r="K66" s="359"/>
      <c r="L66" s="359"/>
      <c r="M66" s="359"/>
      <c r="N66" s="359"/>
      <c r="O66" s="359"/>
      <c r="P66" s="359"/>
      <c r="Q66" s="359"/>
      <c r="R66" s="103"/>
      <c r="S66" s="103"/>
    </row>
    <row r="67" spans="2:20">
      <c r="B67" s="352" t="s">
        <v>583</v>
      </c>
      <c r="C67" s="428" t="str">
        <f>Data!$C$9</f>
        <v>£m 20/21</v>
      </c>
      <c r="D67" s="458">
        <f t="shared" ref="D67:H67" si="29">D59*(1-D51)+D64</f>
        <v>-0.91978199331893218</v>
      </c>
      <c r="E67" s="458">
        <f t="shared" si="29"/>
        <v>-1.4415383055174802</v>
      </c>
      <c r="F67" s="458">
        <f t="shared" si="29"/>
        <v>0.44590700548404816</v>
      </c>
      <c r="G67" s="458">
        <f t="shared" si="29"/>
        <v>0.1835614795654136</v>
      </c>
      <c r="H67" s="458">
        <f t="shared" si="29"/>
        <v>-0.80807501559493844</v>
      </c>
      <c r="I67" s="18">
        <f>SUM(D67:INDEX(D67:H67,0,MATCH('RFPR cover'!$C$9,$D$6:$H$6,0)))</f>
        <v>-0.91978199331893218</v>
      </c>
      <c r="J67" s="17">
        <f>SUM(D67:H67)</f>
        <v>-2.5399268293818893</v>
      </c>
      <c r="K67" s="359"/>
      <c r="L67" s="359"/>
      <c r="M67" s="359"/>
      <c r="N67" s="359"/>
      <c r="O67" s="359"/>
      <c r="P67" s="359"/>
      <c r="Q67" s="359"/>
      <c r="R67" s="103"/>
      <c r="S67" s="103"/>
    </row>
    <row r="68" spans="2:20">
      <c r="B68" s="359"/>
      <c r="C68" s="359"/>
      <c r="D68" s="359"/>
      <c r="E68" s="359"/>
      <c r="F68" s="359"/>
      <c r="G68" s="359"/>
      <c r="H68" s="359"/>
      <c r="I68" s="359"/>
      <c r="J68" s="359"/>
      <c r="K68" s="359"/>
      <c r="L68" s="359"/>
      <c r="M68" s="359"/>
      <c r="N68" s="359"/>
      <c r="O68" s="359"/>
      <c r="P68" s="359"/>
      <c r="Q68" s="359"/>
      <c r="R68" s="103"/>
      <c r="S68" s="103"/>
    </row>
    <row r="69" spans="2:20">
      <c r="B69" s="359" t="s">
        <v>584</v>
      </c>
      <c r="C69" s="359"/>
      <c r="D69" s="359"/>
      <c r="E69" s="359"/>
      <c r="F69" s="359"/>
      <c r="G69" s="359"/>
      <c r="H69" s="359"/>
      <c r="I69" s="359"/>
      <c r="J69" s="359"/>
      <c r="K69" s="359"/>
      <c r="L69" s="359"/>
      <c r="M69" s="359"/>
      <c r="N69" s="359"/>
      <c r="O69" s="359"/>
      <c r="P69" s="359"/>
      <c r="Q69" s="359"/>
      <c r="R69" s="103"/>
      <c r="S69" s="103"/>
    </row>
    <row r="70" spans="2:20">
      <c r="B70" s="352" t="s">
        <v>575</v>
      </c>
      <c r="C70" s="428" t="str">
        <f>Data!$C$9</f>
        <v>£m 20/21</v>
      </c>
      <c r="D70" s="458">
        <f>D66+D53</f>
        <v>-0.42693084491366901</v>
      </c>
      <c r="E70" s="458">
        <f t="shared" ref="E70:H70" si="30">E66+E53</f>
        <v>2.6975324831165715E-2</v>
      </c>
      <c r="F70" s="458">
        <f t="shared" si="30"/>
        <v>0.18710362674731279</v>
      </c>
      <c r="G70" s="458">
        <f t="shared" si="30"/>
        <v>-2.0261570199409107E-15</v>
      </c>
      <c r="H70" s="458">
        <f t="shared" si="30"/>
        <v>5.2200870460230475E-2</v>
      </c>
      <c r="I70" s="15">
        <f>SUM(D70:INDEX(D70:H70,0,MATCH('RFPR cover'!$C$9,$D$6:$H$6,0)))</f>
        <v>-0.42693084491366901</v>
      </c>
      <c r="J70" s="17">
        <f>SUM(D70:H70)</f>
        <v>-0.16065102287496205</v>
      </c>
      <c r="K70" s="359"/>
      <c r="L70" s="359"/>
      <c r="M70" s="359"/>
      <c r="N70" s="359"/>
      <c r="O70" s="359"/>
      <c r="P70" s="359"/>
      <c r="Q70" s="359"/>
      <c r="R70" s="103"/>
      <c r="S70" s="103"/>
    </row>
    <row r="71" spans="2:20">
      <c r="B71" s="352" t="s">
        <v>576</v>
      </c>
      <c r="C71" s="428" t="str">
        <f>Data!$C$9</f>
        <v>£m 20/21</v>
      </c>
      <c r="D71" s="458">
        <f>D54+D67</f>
        <v>-0.42522653016351458</v>
      </c>
      <c r="E71" s="458">
        <f t="shared" ref="E71:H71" si="31">E54+E67</f>
        <v>2.6867638903695923E-2</v>
      </c>
      <c r="F71" s="458">
        <f t="shared" si="31"/>
        <v>0.18635670608165483</v>
      </c>
      <c r="G71" s="458">
        <f t="shared" si="31"/>
        <v>-1.9706458687096529E-15</v>
      </c>
      <c r="H71" s="458">
        <f t="shared" si="31"/>
        <v>5.199248375180654E-2</v>
      </c>
      <c r="I71" s="15">
        <f>SUM(D71:INDEX(D71:H71,0,MATCH('RFPR cover'!$C$9,$D$6:$H$6,0)))</f>
        <v>-0.42522653016351458</v>
      </c>
      <c r="J71" s="17">
        <f t="shared" ref="J71" si="32">SUM(D71:H71)</f>
        <v>-0.16000970142635926</v>
      </c>
      <c r="K71" s="359"/>
      <c r="L71" s="103"/>
      <c r="M71" s="103"/>
      <c r="N71" s="103"/>
      <c r="O71" s="103"/>
      <c r="P71" s="103"/>
      <c r="Q71" s="103"/>
      <c r="R71" s="103"/>
      <c r="S71" s="103"/>
    </row>
    <row r="72" spans="2:20">
      <c r="B72" s="359" t="s">
        <v>585</v>
      </c>
      <c r="C72" s="436" t="str">
        <f>Data!$C$9</f>
        <v>£m 20/21</v>
      </c>
      <c r="D72" s="458">
        <f>SUM(D70:D71)</f>
        <v>-0.85215737507718359</v>
      </c>
      <c r="E72" s="458">
        <f t="shared" ref="E72:H72" si="33">SUM(E70:E71)</f>
        <v>5.3842963734861637E-2</v>
      </c>
      <c r="F72" s="458">
        <f t="shared" si="33"/>
        <v>0.37346033282896762</v>
      </c>
      <c r="G72" s="458">
        <f t="shared" si="33"/>
        <v>-3.9968028886505635E-15</v>
      </c>
      <c r="H72" s="458">
        <f t="shared" si="33"/>
        <v>0.10419335421203701</v>
      </c>
      <c r="I72" s="15">
        <f>SUM(D72:INDEX(D72:H72,0,MATCH('RFPR cover'!$C$9,$D$6:$H$6,0)))</f>
        <v>-0.85215737507718359</v>
      </c>
      <c r="J72" s="17">
        <f t="shared" ref="J72" si="34">SUM(D72:H72)</f>
        <v>-0.32066072430132131</v>
      </c>
      <c r="K72" s="103"/>
      <c r="L72" s="103"/>
      <c r="M72" s="103"/>
      <c r="N72" s="103"/>
      <c r="O72" s="103"/>
      <c r="P72" s="103"/>
      <c r="Q72" s="103"/>
      <c r="R72" s="103"/>
      <c r="S72" s="103"/>
    </row>
    <row r="73" spans="2:20">
      <c r="C73" s="428"/>
      <c r="D73" s="428"/>
      <c r="E73" s="428"/>
      <c r="F73" s="428"/>
      <c r="G73" s="428"/>
      <c r="H73" s="428"/>
      <c r="I73" s="428"/>
      <c r="J73" s="428"/>
      <c r="K73" s="428"/>
      <c r="L73" s="103"/>
      <c r="M73" s="103"/>
      <c r="N73" s="103"/>
      <c r="O73" s="103"/>
      <c r="P73" s="103"/>
      <c r="Q73" s="103"/>
      <c r="R73" s="428"/>
      <c r="S73" s="428"/>
      <c r="T73" s="428"/>
    </row>
    <row r="74" spans="2:20">
      <c r="B74" s="437" t="s">
        <v>587</v>
      </c>
      <c r="C74" s="355"/>
      <c r="D74" s="357"/>
      <c r="E74" s="357"/>
      <c r="F74" s="357"/>
      <c r="G74" s="357"/>
      <c r="H74" s="357"/>
      <c r="I74" s="357"/>
      <c r="J74" s="357"/>
      <c r="K74" s="103"/>
      <c r="L74" s="103"/>
      <c r="M74" s="103"/>
      <c r="N74" s="103"/>
      <c r="O74" s="103"/>
      <c r="P74" s="103"/>
      <c r="Q74" s="103"/>
      <c r="R74" s="103"/>
      <c r="S74" s="103"/>
    </row>
    <row r="75" spans="2:20">
      <c r="D75" s="427"/>
      <c r="E75" s="427"/>
      <c r="F75" s="427"/>
      <c r="G75" s="427"/>
      <c r="H75" s="427"/>
      <c r="I75" s="427"/>
      <c r="J75" s="427"/>
      <c r="K75" s="103"/>
      <c r="L75" s="103"/>
      <c r="M75" s="103"/>
      <c r="N75" s="103"/>
      <c r="O75" s="103"/>
      <c r="P75" s="103"/>
      <c r="Q75" s="103"/>
      <c r="R75" s="103"/>
      <c r="S75" s="103"/>
    </row>
    <row r="76" spans="2:20">
      <c r="B76" s="79" t="s">
        <v>588</v>
      </c>
      <c r="C76" s="428" t="str">
        <f>Data!$C$9</f>
        <v>£m 20/21</v>
      </c>
      <c r="D76" s="429"/>
      <c r="E76" s="429"/>
      <c r="F76" s="429"/>
      <c r="G76" s="429"/>
      <c r="H76" s="429"/>
      <c r="I76" s="464">
        <f>SUM(D76:INDEX(D76:H76,0,MATCH('RFPR cover'!$C$9,$D$6:$H$6,0)))</f>
        <v>0</v>
      </c>
      <c r="J76" s="465">
        <f>SUM(D76:H76)</f>
        <v>0</v>
      </c>
      <c r="K76" s="103"/>
      <c r="L76" s="103"/>
      <c r="M76" s="103"/>
      <c r="N76" s="103"/>
      <c r="O76" s="103"/>
      <c r="P76" s="103"/>
      <c r="Q76" s="103"/>
      <c r="R76" s="103"/>
      <c r="S76" s="103"/>
    </row>
    <row r="77" spans="2:20" ht="16.5" customHeight="1">
      <c r="B77" s="430" t="s">
        <v>589</v>
      </c>
      <c r="C77" s="438" t="str">
        <f>Data!$C$9</f>
        <v>£m 20/21</v>
      </c>
      <c r="D77" s="429"/>
      <c r="E77" s="429"/>
      <c r="F77" s="429"/>
      <c r="G77" s="429"/>
      <c r="H77" s="429"/>
      <c r="I77" s="469">
        <f>SUM(D77:INDEX(D77:H77,0,MATCH('RFPR cover'!$C$9,$D$6:$H$6,0)))</f>
        <v>0</v>
      </c>
      <c r="J77" s="470">
        <f>SUM(D77:H77)</f>
        <v>0</v>
      </c>
      <c r="K77" s="439"/>
      <c r="L77" s="439"/>
      <c r="M77" s="439"/>
      <c r="N77" s="439"/>
      <c r="O77" s="439"/>
      <c r="P77" s="439"/>
      <c r="Q77" s="439"/>
      <c r="R77" s="439"/>
      <c r="S77" s="439"/>
    </row>
    <row r="78" spans="2:20">
      <c r="B78" s="78" t="s">
        <v>573</v>
      </c>
      <c r="C78" s="428" t="str">
        <f>Data!$C$9</f>
        <v>£m 20/21</v>
      </c>
      <c r="D78" s="458">
        <f>D77-D76</f>
        <v>0</v>
      </c>
      <c r="E78" s="458">
        <f t="shared" ref="E78:J78" si="35">E77-E76</f>
        <v>0</v>
      </c>
      <c r="F78" s="458">
        <f t="shared" si="35"/>
        <v>0</v>
      </c>
      <c r="G78" s="458">
        <f t="shared" si="35"/>
        <v>0</v>
      </c>
      <c r="H78" s="458">
        <f t="shared" si="35"/>
        <v>0</v>
      </c>
      <c r="I78" s="141">
        <f t="shared" si="35"/>
        <v>0</v>
      </c>
      <c r="J78" s="224">
        <f t="shared" si="35"/>
        <v>0</v>
      </c>
      <c r="K78" s="103"/>
      <c r="L78" s="103"/>
      <c r="M78" s="103"/>
      <c r="N78" s="103"/>
      <c r="O78" s="103"/>
      <c r="P78" s="103"/>
      <c r="Q78" s="103"/>
      <c r="R78" s="103"/>
      <c r="S78" s="103"/>
    </row>
    <row r="79" spans="2:20">
      <c r="B79" s="78"/>
      <c r="C79" s="428"/>
      <c r="D79" s="432"/>
      <c r="E79" s="432"/>
      <c r="F79" s="432"/>
      <c r="G79" s="432"/>
      <c r="H79" s="432"/>
      <c r="I79" s="432"/>
      <c r="J79" s="432"/>
      <c r="K79" s="103"/>
      <c r="L79" s="103"/>
      <c r="M79" s="103"/>
      <c r="N79" s="103"/>
      <c r="O79" s="103"/>
      <c r="P79" s="103"/>
      <c r="Q79" s="103"/>
      <c r="R79" s="103"/>
      <c r="S79" s="103"/>
    </row>
    <row r="80" spans="2:20">
      <c r="B80" s="352" t="s">
        <v>574</v>
      </c>
      <c r="C80" s="29" t="s">
        <v>477</v>
      </c>
      <c r="D80" s="468">
        <f>INDEX(Data!$C$63:$C$91,MATCH('RFPR cover'!$C$7,Data!$B$63:$B$91,0),0)</f>
        <v>0.501</v>
      </c>
      <c r="E80" s="468">
        <f>INDEX(Data!$C$63:$C$91,MATCH('RFPR cover'!$C$7,Data!$B$63:$B$91,0),0)</f>
        <v>0.501</v>
      </c>
      <c r="F80" s="468">
        <f>INDEX(Data!$C$63:$C$91,MATCH('RFPR cover'!$C$7,Data!$B$63:$B$91,0),0)</f>
        <v>0.501</v>
      </c>
      <c r="G80" s="468">
        <f>INDEX(Data!$C$63:$C$91,MATCH('RFPR cover'!$C$7,Data!$B$63:$B$91,0),0)</f>
        <v>0.501</v>
      </c>
      <c r="H80" s="468">
        <f>INDEX(Data!$C$63:$C$91,MATCH('RFPR cover'!$C$7,Data!$B$63:$B$91,0),0)</f>
        <v>0.501</v>
      </c>
      <c r="I80" s="434"/>
      <c r="J80" s="434"/>
      <c r="K80" s="103"/>
      <c r="L80" s="103"/>
      <c r="M80" s="103"/>
      <c r="N80" s="103"/>
      <c r="O80" s="103"/>
      <c r="P80" s="103"/>
      <c r="Q80" s="103"/>
      <c r="R80" s="103"/>
      <c r="S80" s="103"/>
    </row>
    <row r="81" spans="2:19">
      <c r="K81" s="103"/>
      <c r="L81" s="103"/>
      <c r="M81" s="103"/>
      <c r="N81" s="103"/>
      <c r="O81" s="103"/>
      <c r="P81" s="103"/>
      <c r="Q81" s="103"/>
      <c r="R81" s="103"/>
      <c r="S81" s="103"/>
    </row>
    <row r="82" spans="2:19">
      <c r="B82" s="352" t="s">
        <v>575</v>
      </c>
      <c r="C82" s="428" t="str">
        <f>Data!$C$9</f>
        <v>£m 20/21</v>
      </c>
      <c r="D82" s="458">
        <f>D78*D80</f>
        <v>0</v>
      </c>
      <c r="E82" s="458">
        <f t="shared" ref="E82:H82" si="36">E78*E80</f>
        <v>0</v>
      </c>
      <c r="F82" s="458">
        <f t="shared" si="36"/>
        <v>0</v>
      </c>
      <c r="G82" s="458">
        <f t="shared" si="36"/>
        <v>0</v>
      </c>
      <c r="H82" s="458">
        <f t="shared" si="36"/>
        <v>0</v>
      </c>
      <c r="I82" s="50">
        <f>SUM(D82:INDEX(D82:H82,0,MATCH('RFPR cover'!$C$9,$D$6:$H$6,0)))</f>
        <v>0</v>
      </c>
      <c r="J82" s="74">
        <f>SUM(D82:H82)</f>
        <v>0</v>
      </c>
      <c r="K82" s="103"/>
      <c r="L82" s="103"/>
      <c r="M82" s="103"/>
      <c r="N82" s="103"/>
      <c r="O82" s="103"/>
      <c r="P82" s="103"/>
      <c r="Q82" s="103"/>
      <c r="R82" s="103"/>
      <c r="S82" s="103"/>
    </row>
    <row r="83" spans="2:19">
      <c r="B83" s="352" t="s">
        <v>576</v>
      </c>
      <c r="C83" s="428" t="str">
        <f>Data!$C$9</f>
        <v>£m 20/21</v>
      </c>
      <c r="D83" s="458">
        <f>D78*(1-D80)</f>
        <v>0</v>
      </c>
      <c r="E83" s="458">
        <f t="shared" ref="E83:H83" si="37">E78*(1-E80)</f>
        <v>0</v>
      </c>
      <c r="F83" s="458">
        <f t="shared" si="37"/>
        <v>0</v>
      </c>
      <c r="G83" s="458">
        <f t="shared" si="37"/>
        <v>0</v>
      </c>
      <c r="H83" s="458">
        <f t="shared" si="37"/>
        <v>0</v>
      </c>
      <c r="I83" s="75">
        <f>SUM(D83:INDEX(D83:H83,0,MATCH('RFPR cover'!$C$9,$D$6:$H$6,0)))</f>
        <v>0</v>
      </c>
      <c r="J83" s="76">
        <f>SUM(D83:H83)</f>
        <v>0</v>
      </c>
      <c r="K83" s="103"/>
      <c r="L83" s="103"/>
      <c r="M83" s="103"/>
      <c r="N83" s="103"/>
      <c r="O83" s="103"/>
      <c r="P83" s="103"/>
      <c r="Q83" s="103"/>
      <c r="R83" s="103"/>
      <c r="S83" s="103"/>
    </row>
    <row r="84" spans="2:19">
      <c r="C84" s="352"/>
      <c r="D84" s="352"/>
      <c r="E84" s="352"/>
      <c r="F84" s="352"/>
      <c r="G84" s="352"/>
      <c r="H84" s="352"/>
      <c r="I84" s="352"/>
      <c r="J84" s="352"/>
      <c r="K84" s="352"/>
      <c r="L84" s="352"/>
      <c r="M84" s="103"/>
      <c r="N84" s="103"/>
      <c r="O84" s="103"/>
      <c r="P84" s="103"/>
      <c r="Q84" s="103"/>
      <c r="R84" s="103"/>
      <c r="S84" s="103"/>
    </row>
    <row r="85" spans="2:19">
      <c r="B85" s="359" t="s">
        <v>577</v>
      </c>
      <c r="K85" s="352"/>
      <c r="L85" s="352"/>
      <c r="M85" s="103"/>
      <c r="N85" s="103"/>
      <c r="O85" s="103"/>
      <c r="P85" s="103"/>
      <c r="Q85" s="103"/>
      <c r="R85" s="103"/>
      <c r="S85" s="103"/>
    </row>
    <row r="86" spans="2:19">
      <c r="B86" s="365" t="s">
        <v>578</v>
      </c>
      <c r="C86" s="428" t="str">
        <f>Data!$C$9</f>
        <v>£m 20/21</v>
      </c>
      <c r="D86" s="435"/>
      <c r="E86" s="435"/>
      <c r="F86" s="435"/>
      <c r="G86" s="435"/>
      <c r="H86" s="435"/>
      <c r="I86" s="15">
        <f>SUM(D86:INDEX(D86:H86,0,MATCH('RFPR cover'!$C$9,$D$6:$H$6,0)))</f>
        <v>0</v>
      </c>
      <c r="J86" s="17">
        <f>SUM(D86:H86)</f>
        <v>0</v>
      </c>
      <c r="K86" s="352"/>
      <c r="L86" s="352"/>
      <c r="M86" s="103"/>
      <c r="N86" s="103"/>
      <c r="O86" s="103"/>
      <c r="P86" s="103"/>
      <c r="Q86" s="103"/>
      <c r="R86" s="103"/>
      <c r="S86" s="103"/>
    </row>
    <row r="87" spans="2:19">
      <c r="B87" s="365" t="s">
        <v>579</v>
      </c>
      <c r="C87" s="428" t="str">
        <f>Data!$C$9</f>
        <v>£m 20/21</v>
      </c>
      <c r="D87" s="435"/>
      <c r="E87" s="435"/>
      <c r="F87" s="435"/>
      <c r="G87" s="435"/>
      <c r="H87" s="435"/>
      <c r="I87" s="15">
        <f>SUM(D87:INDEX(D87:H87,0,MATCH('RFPR cover'!$C$9,$D$6:$H$6,0)))</f>
        <v>0</v>
      </c>
      <c r="J87" s="17">
        <f t="shared" ref="J87:J88" si="38">SUM(D87:H87)</f>
        <v>0</v>
      </c>
      <c r="K87" s="352"/>
      <c r="L87" s="352"/>
      <c r="M87" s="103"/>
      <c r="N87" s="103"/>
      <c r="O87" s="103"/>
      <c r="P87" s="103"/>
      <c r="Q87" s="103"/>
      <c r="R87" s="103"/>
      <c r="S87" s="103"/>
    </row>
    <row r="88" spans="2:19">
      <c r="B88" s="359" t="s">
        <v>580</v>
      </c>
      <c r="C88" s="428" t="str">
        <f>Data!$C$9</f>
        <v>£m 20/21</v>
      </c>
      <c r="D88" s="458">
        <f>SUM(D86:D87)</f>
        <v>0</v>
      </c>
      <c r="E88" s="458">
        <f t="shared" ref="E88" si="39">SUM(E86:E87)</f>
        <v>0</v>
      </c>
      <c r="F88" s="458">
        <f t="shared" ref="F88" si="40">SUM(F86:F87)</f>
        <v>0</v>
      </c>
      <c r="G88" s="458">
        <f t="shared" ref="G88" si="41">SUM(G86:G87)</f>
        <v>0</v>
      </c>
      <c r="H88" s="458">
        <f t="shared" ref="H88" si="42">SUM(H86:H87)</f>
        <v>0</v>
      </c>
      <c r="I88" s="15">
        <f>SUM(D88:INDEX(D88:H88,0,MATCH('RFPR cover'!$C$9,$D$6:$H$6,0)))</f>
        <v>0</v>
      </c>
      <c r="J88" s="17">
        <f t="shared" si="38"/>
        <v>0</v>
      </c>
      <c r="K88" s="352"/>
      <c r="L88" s="352"/>
      <c r="M88" s="103"/>
      <c r="N88" s="103"/>
      <c r="O88" s="103"/>
      <c r="P88" s="103"/>
      <c r="Q88" s="103"/>
      <c r="R88" s="103"/>
      <c r="S88" s="103"/>
    </row>
    <row r="89" spans="2:19">
      <c r="B89" s="359"/>
      <c r="C89" s="359"/>
      <c r="D89" s="359"/>
      <c r="E89" s="359"/>
      <c r="F89" s="359"/>
      <c r="G89" s="359"/>
      <c r="H89" s="359"/>
      <c r="I89" s="359"/>
      <c r="J89" s="359"/>
      <c r="K89" s="352"/>
      <c r="L89" s="352"/>
      <c r="M89" s="103"/>
      <c r="N89" s="103"/>
      <c r="O89" s="103"/>
      <c r="P89" s="103"/>
      <c r="Q89" s="103"/>
      <c r="R89" s="103"/>
      <c r="S89" s="103"/>
    </row>
    <row r="90" spans="2:19">
      <c r="B90" s="352" t="s">
        <v>582</v>
      </c>
      <c r="C90" s="428"/>
      <c r="D90" s="458">
        <f>D88*D80</f>
        <v>0</v>
      </c>
      <c r="E90" s="458">
        <f t="shared" ref="E90:H90" si="43">E88*E80</f>
        <v>0</v>
      </c>
      <c r="F90" s="458">
        <f t="shared" si="43"/>
        <v>0</v>
      </c>
      <c r="G90" s="458">
        <f t="shared" si="43"/>
        <v>0</v>
      </c>
      <c r="H90" s="458">
        <f t="shared" si="43"/>
        <v>0</v>
      </c>
      <c r="I90" s="18">
        <f>SUM(D90:INDEX(D90:H90,0,MATCH('RFPR cover'!$C$9,$D$6:$H$6,0)))</f>
        <v>0</v>
      </c>
      <c r="J90" s="20">
        <f>SUM(D90:H90)</f>
        <v>0</v>
      </c>
      <c r="K90" s="352"/>
      <c r="L90" s="352"/>
      <c r="M90" s="103"/>
      <c r="N90" s="103"/>
      <c r="O90" s="103"/>
      <c r="P90" s="103"/>
      <c r="Q90" s="103"/>
      <c r="R90" s="103"/>
      <c r="S90" s="103"/>
    </row>
    <row r="91" spans="2:19">
      <c r="B91" s="352" t="s">
        <v>583</v>
      </c>
      <c r="C91" s="428"/>
      <c r="D91" s="458">
        <f>D88*(1-D80)</f>
        <v>0</v>
      </c>
      <c r="E91" s="458">
        <f t="shared" ref="E91:H91" si="44">E88*(1-E80)</f>
        <v>0</v>
      </c>
      <c r="F91" s="458">
        <f t="shared" si="44"/>
        <v>0</v>
      </c>
      <c r="G91" s="458">
        <f t="shared" si="44"/>
        <v>0</v>
      </c>
      <c r="H91" s="458">
        <f t="shared" si="44"/>
        <v>0</v>
      </c>
      <c r="I91" s="15">
        <v>0</v>
      </c>
      <c r="J91" s="17">
        <f>SUM(D91:H91)</f>
        <v>0</v>
      </c>
      <c r="K91" s="352"/>
      <c r="L91" s="352"/>
      <c r="M91" s="103"/>
      <c r="N91" s="103"/>
      <c r="O91" s="103"/>
      <c r="P91" s="103"/>
      <c r="Q91" s="103"/>
      <c r="R91" s="103"/>
      <c r="S91" s="103"/>
    </row>
    <row r="92" spans="2:19">
      <c r="B92" s="359"/>
      <c r="C92" s="359"/>
      <c r="D92" s="359"/>
      <c r="E92" s="359"/>
      <c r="F92" s="359"/>
      <c r="G92" s="359"/>
      <c r="H92" s="359"/>
      <c r="I92" s="359"/>
      <c r="J92" s="359"/>
      <c r="K92" s="352"/>
      <c r="L92" s="352"/>
      <c r="M92" s="103"/>
      <c r="N92" s="103"/>
      <c r="O92" s="103"/>
      <c r="P92" s="103"/>
      <c r="Q92" s="103"/>
      <c r="R92" s="103"/>
      <c r="S92" s="103"/>
    </row>
    <row r="93" spans="2:19">
      <c r="B93" s="359" t="s">
        <v>584</v>
      </c>
      <c r="C93" s="359"/>
      <c r="D93" s="359"/>
      <c r="E93" s="359"/>
      <c r="F93" s="359"/>
      <c r="G93" s="359"/>
      <c r="H93" s="359"/>
      <c r="I93" s="359"/>
      <c r="J93" s="359"/>
      <c r="K93" s="352"/>
      <c r="L93" s="352"/>
      <c r="M93" s="103"/>
      <c r="N93" s="103"/>
      <c r="O93" s="103"/>
      <c r="P93" s="103"/>
      <c r="Q93" s="103"/>
      <c r="R93" s="103"/>
      <c r="S93" s="103"/>
    </row>
    <row r="94" spans="2:19">
      <c r="B94" s="352" t="s">
        <v>575</v>
      </c>
      <c r="C94" s="428" t="str">
        <f>Data!$C$9</f>
        <v>£m 20/21</v>
      </c>
      <c r="D94" s="458">
        <f>D90+D82</f>
        <v>0</v>
      </c>
      <c r="E94" s="458">
        <f t="shared" ref="E94:H94" si="45">E90+E82</f>
        <v>0</v>
      </c>
      <c r="F94" s="458">
        <f t="shared" si="45"/>
        <v>0</v>
      </c>
      <c r="G94" s="458">
        <f t="shared" si="45"/>
        <v>0</v>
      </c>
      <c r="H94" s="458">
        <f t="shared" si="45"/>
        <v>0</v>
      </c>
      <c r="I94" s="15">
        <f>SUM(D94:INDEX(D94:H94,0,MATCH('RFPR cover'!$C$9,$D$6:$H$6,0)))</f>
        <v>0</v>
      </c>
      <c r="J94" s="17">
        <f>SUM(D94:H94)</f>
        <v>0</v>
      </c>
      <c r="K94" s="352"/>
      <c r="L94" s="352"/>
      <c r="M94" s="103"/>
      <c r="N94" s="103"/>
      <c r="O94" s="103"/>
      <c r="P94" s="103"/>
      <c r="Q94" s="103"/>
      <c r="R94" s="103"/>
      <c r="S94" s="103"/>
    </row>
    <row r="95" spans="2:19">
      <c r="B95" s="352" t="s">
        <v>576</v>
      </c>
      <c r="C95" s="428" t="str">
        <f>Data!$C$9</f>
        <v>£m 20/21</v>
      </c>
      <c r="D95" s="458">
        <f>D83+D91</f>
        <v>0</v>
      </c>
      <c r="E95" s="458">
        <f t="shared" ref="E95:H95" si="46">E83+E91</f>
        <v>0</v>
      </c>
      <c r="F95" s="458">
        <f t="shared" si="46"/>
        <v>0</v>
      </c>
      <c r="G95" s="458">
        <f t="shared" si="46"/>
        <v>0</v>
      </c>
      <c r="H95" s="458">
        <f t="shared" si="46"/>
        <v>0</v>
      </c>
      <c r="I95" s="15">
        <f>SUM(D95:INDEX(D95:H95,0,MATCH('RFPR cover'!$C$9,$D$6:$H$6,0)))</f>
        <v>0</v>
      </c>
      <c r="J95" s="17">
        <f t="shared" ref="J95:J96" si="47">SUM(D95:H95)</f>
        <v>0</v>
      </c>
      <c r="K95" s="352"/>
      <c r="L95" s="352"/>
      <c r="M95" s="103"/>
      <c r="N95" s="103"/>
      <c r="O95" s="103"/>
      <c r="P95" s="103"/>
      <c r="Q95" s="103"/>
      <c r="R95" s="103"/>
      <c r="S95" s="103"/>
    </row>
    <row r="96" spans="2:19">
      <c r="B96" s="359" t="s">
        <v>585</v>
      </c>
      <c r="C96" s="436" t="str">
        <f>Data!$C$9</f>
        <v>£m 20/21</v>
      </c>
      <c r="D96" s="458">
        <f>SUM(D94:D95)</f>
        <v>0</v>
      </c>
      <c r="E96" s="458">
        <f t="shared" ref="E96:H96" si="48">SUM(E94:E95)</f>
        <v>0</v>
      </c>
      <c r="F96" s="458">
        <f t="shared" si="48"/>
        <v>0</v>
      </c>
      <c r="G96" s="458">
        <f t="shared" si="48"/>
        <v>0</v>
      </c>
      <c r="H96" s="458">
        <f t="shared" si="48"/>
        <v>0</v>
      </c>
      <c r="I96" s="15">
        <f>SUM(D96:INDEX(D96:H96,0,MATCH('RFPR cover'!$C$9,$D$6:$H$6,0)))</f>
        <v>0</v>
      </c>
      <c r="J96" s="17">
        <f t="shared" si="47"/>
        <v>0</v>
      </c>
      <c r="K96" s="103"/>
      <c r="L96" s="103"/>
      <c r="M96" s="103"/>
      <c r="N96" s="103"/>
      <c r="O96" s="103"/>
      <c r="P96" s="103"/>
      <c r="Q96" s="103"/>
      <c r="R96" s="103"/>
      <c r="S96" s="103"/>
    </row>
    <row r="97" spans="2:19">
      <c r="K97" s="103"/>
      <c r="L97" s="103"/>
      <c r="M97" s="103"/>
      <c r="N97" s="103"/>
      <c r="O97" s="103"/>
      <c r="P97" s="103"/>
      <c r="Q97" s="103"/>
      <c r="R97" s="103"/>
      <c r="S97" s="103"/>
    </row>
    <row r="98" spans="2:19">
      <c r="B98" s="354" t="s">
        <v>590</v>
      </c>
      <c r="C98" s="355"/>
      <c r="D98" s="357"/>
      <c r="E98" s="357"/>
      <c r="F98" s="357"/>
      <c r="G98" s="357"/>
      <c r="H98" s="357"/>
      <c r="I98" s="357"/>
      <c r="J98" s="357"/>
      <c r="Q98" s="103"/>
      <c r="R98" s="103"/>
      <c r="S98" s="103"/>
    </row>
    <row r="99" spans="2:19">
      <c r="K99" s="103"/>
      <c r="L99" s="103"/>
      <c r="M99" s="103"/>
      <c r="N99" s="103"/>
      <c r="O99" s="103"/>
      <c r="P99" s="103"/>
      <c r="Q99" s="103"/>
      <c r="R99" s="103"/>
      <c r="S99" s="103"/>
    </row>
    <row r="100" spans="2:19">
      <c r="B100" s="359" t="s">
        <v>591</v>
      </c>
      <c r="Q100" s="103"/>
      <c r="R100" s="103"/>
      <c r="S100" s="103"/>
    </row>
    <row r="101" spans="2:19">
      <c r="B101" s="352" t="s">
        <v>592</v>
      </c>
      <c r="C101" s="428" t="str">
        <f>Data!$C$9</f>
        <v>£m 20/21</v>
      </c>
      <c r="D101" s="458">
        <f t="shared" ref="D101:H102" si="49">D41+D70+D94</f>
        <v>-8.1125312705749604</v>
      </c>
      <c r="E101" s="458">
        <f t="shared" si="49"/>
        <v>-8.2322991731802055</v>
      </c>
      <c r="F101" s="458">
        <f t="shared" si="49"/>
        <v>-4.7141252981419468</v>
      </c>
      <c r="G101" s="458">
        <f t="shared" si="49"/>
        <v>5.1566216579014155</v>
      </c>
      <c r="H101" s="458">
        <f t="shared" si="49"/>
        <v>9.9203648051389486</v>
      </c>
      <c r="I101" s="15">
        <f>SUM(D101:INDEX(D101:H101,0,MATCH('RFPR cover'!$C$9,$D$6:$H$6,0)))</f>
        <v>-8.1125312705749604</v>
      </c>
      <c r="J101" s="17">
        <f>SUM(D101:H101)</f>
        <v>-5.9819692788567487</v>
      </c>
      <c r="Q101" s="103"/>
      <c r="R101" s="390"/>
      <c r="S101" s="103"/>
    </row>
    <row r="102" spans="2:19">
      <c r="B102" s="352" t="s">
        <v>576</v>
      </c>
      <c r="C102" s="428" t="str">
        <f>Data!$C$9</f>
        <v>£m 20/21</v>
      </c>
      <c r="D102" s="458">
        <f t="shared" si="49"/>
        <v>-8.0801459162014044</v>
      </c>
      <c r="E102" s="458">
        <f t="shared" si="49"/>
        <v>-8.1994357034269942</v>
      </c>
      <c r="F102" s="458">
        <f t="shared" si="49"/>
        <v>-4.6953064346763105</v>
      </c>
      <c r="G102" s="458">
        <f t="shared" si="49"/>
        <v>5.1360363419018098</v>
      </c>
      <c r="H102" s="458">
        <f t="shared" si="49"/>
        <v>9.880762550427816</v>
      </c>
      <c r="I102" s="15">
        <f>SUM(D102:INDEX(D102:H102,0,MATCH('RFPR cover'!$C$9,$D$6:$H$6,0)))</f>
        <v>-8.0801459162014044</v>
      </c>
      <c r="J102" s="17">
        <f t="shared" ref="J102:J103" si="50">SUM(D102:H102)</f>
        <v>-5.9580891619750833</v>
      </c>
      <c r="Q102" s="103"/>
      <c r="R102" s="103"/>
      <c r="S102" s="103"/>
    </row>
    <row r="103" spans="2:19">
      <c r="B103" s="359" t="s">
        <v>593</v>
      </c>
      <c r="C103" s="436" t="str">
        <f>Data!$C$9</f>
        <v>£m 20/21</v>
      </c>
      <c r="D103" s="458">
        <f>SUM(D101:D102)</f>
        <v>-16.192677186776365</v>
      </c>
      <c r="E103" s="458">
        <f t="shared" ref="E103:H103" si="51">SUM(E101:E102)</f>
        <v>-16.431734876607202</v>
      </c>
      <c r="F103" s="458">
        <f t="shared" si="51"/>
        <v>-9.4094317328182573</v>
      </c>
      <c r="G103" s="458">
        <f t="shared" si="51"/>
        <v>10.292657999803225</v>
      </c>
      <c r="H103" s="458">
        <f t="shared" si="51"/>
        <v>19.801127355566763</v>
      </c>
      <c r="I103" s="15">
        <f>SUM(D103:INDEX(D103:H103,0,MATCH('RFPR cover'!$C$9,$D$6:$H$6,0)))</f>
        <v>-16.192677186776365</v>
      </c>
      <c r="J103" s="17">
        <f t="shared" si="50"/>
        <v>-11.940058440831834</v>
      </c>
      <c r="Q103" s="103"/>
      <c r="R103" s="103"/>
      <c r="S103" s="103"/>
    </row>
    <row r="104" spans="2:19">
      <c r="B104" s="359"/>
      <c r="C104" s="436"/>
      <c r="D104" s="436"/>
      <c r="E104" s="436"/>
      <c r="F104" s="436"/>
      <c r="G104" s="436"/>
      <c r="H104" s="436"/>
      <c r="I104" s="436"/>
      <c r="J104" s="436"/>
      <c r="Q104" s="103"/>
      <c r="R104" s="103"/>
      <c r="S104" s="103"/>
    </row>
    <row r="105" spans="2:19">
      <c r="B105" s="420" t="s">
        <v>594</v>
      </c>
      <c r="C105" s="421"/>
      <c r="D105" s="421"/>
      <c r="E105" s="421"/>
      <c r="F105" s="421"/>
      <c r="G105" s="421"/>
      <c r="H105" s="422"/>
      <c r="I105" s="422"/>
      <c r="J105" s="422"/>
    </row>
    <row r="107" spans="2:19">
      <c r="B107" s="302"/>
    </row>
    <row r="108" spans="2:19">
      <c r="B108" s="440"/>
      <c r="D108" s="301" t="str">
        <f t="shared" ref="D108:H108" si="52">IF(D109&lt;=Reporting_Year,"Actuals","N/A")</f>
        <v>Actuals</v>
      </c>
      <c r="E108" s="441" t="str">
        <f t="shared" si="52"/>
        <v>N/A</v>
      </c>
      <c r="F108" s="441" t="str">
        <f t="shared" si="52"/>
        <v>N/A</v>
      </c>
      <c r="G108" s="441" t="str">
        <f t="shared" si="52"/>
        <v>N/A</v>
      </c>
      <c r="H108" s="441" t="str">
        <f t="shared" si="52"/>
        <v>N/A</v>
      </c>
    </row>
    <row r="109" spans="2:19">
      <c r="B109" s="302"/>
      <c r="D109" s="417">
        <f>'RFPR cover'!$C$6</f>
        <v>2024</v>
      </c>
      <c r="E109" s="418">
        <f t="shared" ref="E109:H109" si="53">D109+1</f>
        <v>2025</v>
      </c>
      <c r="F109" s="418">
        <f t="shared" si="53"/>
        <v>2026</v>
      </c>
      <c r="G109" s="418">
        <f t="shared" si="53"/>
        <v>2027</v>
      </c>
      <c r="H109" s="418">
        <f t="shared" si="53"/>
        <v>2028</v>
      </c>
    </row>
    <row r="110" spans="2:19">
      <c r="B110" s="302"/>
      <c r="D110" s="306" t="str">
        <f>RIIO_2_start_date-1&amp;"/"&amp;RIGHT(RIIO_2_start_date,2)</f>
        <v>2023/24</v>
      </c>
      <c r="E110" s="306" t="str">
        <f>RIIO_2_start_date&amp;"/"&amp;RIGHT(RIIO_2_start_date+1,2)</f>
        <v>2024/25</v>
      </c>
      <c r="F110" s="306" t="str">
        <f>RIIO_2_start_date+1&amp;"/"&amp;RIGHT(RIIO_2_start_date+2,2)</f>
        <v>2025/26</v>
      </c>
      <c r="G110" s="306" t="str">
        <f>RIIO_2_start_date+2&amp;"/"&amp;RIGHT(RIIO_2_start_date+3,2)</f>
        <v>2026/27</v>
      </c>
      <c r="H110" s="306" t="str">
        <f>RIIO_2_start_date+3&amp;"/"&amp;RIGHT(RIIO_2_start_date+4,2)</f>
        <v>2027/28</v>
      </c>
    </row>
    <row r="111" spans="2:19">
      <c r="B111" s="302"/>
      <c r="D111" s="29"/>
      <c r="E111" s="29"/>
      <c r="F111" s="29"/>
      <c r="G111" s="29"/>
      <c r="H111" s="29"/>
      <c r="I111" s="29"/>
    </row>
    <row r="112" spans="2:19">
      <c r="B112" s="442" t="s">
        <v>595</v>
      </c>
      <c r="C112" s="40"/>
      <c r="D112" s="442"/>
      <c r="E112" s="442"/>
      <c r="F112" s="442"/>
      <c r="G112" s="442"/>
      <c r="H112" s="442"/>
      <c r="Q112" s="103"/>
    </row>
    <row r="113" spans="1:19">
      <c r="B113" s="365" t="s">
        <v>596</v>
      </c>
      <c r="C113" s="29" t="s">
        <v>513</v>
      </c>
      <c r="D113" s="364">
        <v>299.15977869357846</v>
      </c>
      <c r="E113" s="364"/>
      <c r="F113" s="364"/>
      <c r="G113" s="364"/>
      <c r="H113" s="364"/>
    </row>
    <row r="114" spans="1:19">
      <c r="B114" s="365" t="s">
        <v>597</v>
      </c>
      <c r="C114" s="29" t="s">
        <v>513</v>
      </c>
      <c r="D114" s="443">
        <v>2.3207518181437466E-2</v>
      </c>
      <c r="E114" s="435"/>
      <c r="F114" s="435"/>
      <c r="G114" s="364"/>
      <c r="H114" s="364"/>
    </row>
    <row r="115" spans="1:19">
      <c r="B115" s="365" t="s">
        <v>598</v>
      </c>
      <c r="C115" s="29" t="s">
        <v>513</v>
      </c>
      <c r="D115" s="443">
        <v>-0.2</v>
      </c>
      <c r="E115" s="435"/>
      <c r="F115" s="435"/>
      <c r="G115" s="435"/>
      <c r="H115" s="435"/>
    </row>
    <row r="116" spans="1:19">
      <c r="B116" s="365" t="s">
        <v>599</v>
      </c>
      <c r="C116" s="29" t="s">
        <v>513</v>
      </c>
      <c r="D116" s="364">
        <v>-54.836634649999986</v>
      </c>
      <c r="E116" s="364"/>
      <c r="F116" s="364"/>
      <c r="G116" s="364"/>
      <c r="H116" s="364"/>
    </row>
    <row r="117" spans="1:19">
      <c r="B117" s="365" t="s">
        <v>600</v>
      </c>
      <c r="C117" s="29" t="s">
        <v>513</v>
      </c>
      <c r="D117" s="443">
        <v>-2.1459999999999999</v>
      </c>
      <c r="E117" s="435"/>
      <c r="F117" s="435"/>
      <c r="G117" s="435"/>
      <c r="H117" s="435"/>
      <c r="R117" s="103"/>
      <c r="S117" s="103"/>
    </row>
    <row r="118" spans="1:19">
      <c r="B118" s="365" t="s">
        <v>601</v>
      </c>
      <c r="C118" s="29" t="s">
        <v>513</v>
      </c>
      <c r="D118" s="444"/>
      <c r="E118" s="445"/>
      <c r="F118" s="445"/>
      <c r="G118" s="445"/>
      <c r="H118" s="445"/>
    </row>
    <row r="119" spans="1:19">
      <c r="A119" s="440">
        <v>1</v>
      </c>
      <c r="B119" s="365" t="s">
        <v>535</v>
      </c>
      <c r="C119" s="29" t="s">
        <v>513</v>
      </c>
      <c r="D119" s="364"/>
      <c r="E119" s="446"/>
      <c r="F119" s="446"/>
      <c r="G119" s="446"/>
      <c r="H119" s="446"/>
    </row>
    <row r="120" spans="1:19">
      <c r="A120" s="440">
        <v>2</v>
      </c>
      <c r="B120" s="365" t="s">
        <v>535</v>
      </c>
      <c r="C120" s="29" t="s">
        <v>513</v>
      </c>
      <c r="D120" s="443"/>
      <c r="E120" s="435"/>
      <c r="F120" s="435"/>
      <c r="G120" s="435"/>
      <c r="H120" s="435"/>
    </row>
    <row r="121" spans="1:19">
      <c r="A121" s="440">
        <v>3</v>
      </c>
      <c r="B121" s="365" t="s">
        <v>532</v>
      </c>
      <c r="C121" s="29" t="s">
        <v>513</v>
      </c>
      <c r="D121" s="447"/>
      <c r="E121" s="448"/>
      <c r="F121" s="448"/>
      <c r="G121" s="448"/>
      <c r="H121" s="448"/>
    </row>
    <row r="122" spans="1:19">
      <c r="B122" s="442" t="s">
        <v>602</v>
      </c>
      <c r="C122" s="29" t="s">
        <v>513</v>
      </c>
      <c r="D122" s="471">
        <f t="shared" ref="D122:H122" si="54">SUM(D113:D121)</f>
        <v>242.00035156175994</v>
      </c>
      <c r="E122" s="472">
        <f t="shared" si="54"/>
        <v>0</v>
      </c>
      <c r="F122" s="472">
        <f t="shared" si="54"/>
        <v>0</v>
      </c>
      <c r="G122" s="472">
        <f t="shared" si="54"/>
        <v>0</v>
      </c>
      <c r="H122" s="473">
        <f t="shared" si="54"/>
        <v>0</v>
      </c>
    </row>
    <row r="123" spans="1:19">
      <c r="B123" s="442"/>
      <c r="C123" s="442"/>
      <c r="D123" s="442"/>
      <c r="E123" s="442"/>
      <c r="F123" s="442"/>
      <c r="G123" s="442"/>
      <c r="H123" s="442"/>
      <c r="I123" s="442"/>
    </row>
    <row r="124" spans="1:19">
      <c r="A124" s="440"/>
      <c r="B124" s="365" t="s">
        <v>603</v>
      </c>
      <c r="C124" s="29" t="s">
        <v>513</v>
      </c>
      <c r="D124" s="364">
        <v>137.76829633999998</v>
      </c>
      <c r="E124" s="364"/>
      <c r="F124" s="364"/>
      <c r="G124" s="364"/>
      <c r="H124" s="364"/>
    </row>
    <row r="125" spans="1:19" ht="21" customHeight="1">
      <c r="A125" s="440"/>
      <c r="B125" s="449" t="s">
        <v>604</v>
      </c>
      <c r="C125" s="440"/>
      <c r="D125" s="440"/>
      <c r="E125" s="440"/>
      <c r="F125" s="440"/>
      <c r="G125" s="440"/>
      <c r="H125" s="440"/>
      <c r="I125" s="440"/>
    </row>
    <row r="126" spans="1:19">
      <c r="A126" s="440">
        <v>1</v>
      </c>
      <c r="B126" s="365" t="s">
        <v>605</v>
      </c>
      <c r="C126" s="29" t="s">
        <v>513</v>
      </c>
      <c r="D126" s="364">
        <v>179.09801489</v>
      </c>
      <c r="E126" s="446"/>
      <c r="F126" s="446"/>
      <c r="G126" s="446"/>
      <c r="H126" s="450"/>
    </row>
    <row r="127" spans="1:19">
      <c r="A127" s="440">
        <v>2</v>
      </c>
      <c r="B127" s="365" t="s">
        <v>535</v>
      </c>
      <c r="C127" s="29" t="s">
        <v>513</v>
      </c>
      <c r="D127" s="443"/>
      <c r="E127" s="435"/>
      <c r="F127" s="435"/>
      <c r="G127" s="435"/>
      <c r="H127" s="451"/>
    </row>
    <row r="128" spans="1:19">
      <c r="A128" s="440">
        <v>3</v>
      </c>
      <c r="B128" s="365" t="s">
        <v>532</v>
      </c>
      <c r="C128" s="29" t="s">
        <v>513</v>
      </c>
      <c r="D128" s="444"/>
      <c r="E128" s="445"/>
      <c r="F128" s="445"/>
      <c r="G128" s="445"/>
      <c r="H128" s="452"/>
    </row>
    <row r="129" spans="1:14">
      <c r="A129" s="440"/>
      <c r="B129" s="442" t="s">
        <v>606</v>
      </c>
      <c r="C129" s="29" t="s">
        <v>513</v>
      </c>
      <c r="D129" s="474">
        <f>SUM(D126:D128)</f>
        <v>179.09801489</v>
      </c>
      <c r="E129" s="474">
        <f t="shared" ref="E129:H129" si="55">SUM(E126:E128)</f>
        <v>0</v>
      </c>
      <c r="F129" s="474">
        <f t="shared" si="55"/>
        <v>0</v>
      </c>
      <c r="G129" s="474">
        <f t="shared" si="55"/>
        <v>0</v>
      </c>
      <c r="H129" s="474">
        <f t="shared" si="55"/>
        <v>0</v>
      </c>
    </row>
    <row r="130" spans="1:14">
      <c r="A130" s="440"/>
      <c r="B130" s="442"/>
      <c r="C130" s="442"/>
      <c r="D130" s="442"/>
      <c r="E130" s="442"/>
      <c r="F130" s="442"/>
      <c r="G130" s="442"/>
      <c r="H130" s="442"/>
      <c r="I130" s="442"/>
      <c r="J130" s="442"/>
      <c r="K130" s="442"/>
      <c r="L130" s="442"/>
      <c r="M130" s="442"/>
      <c r="N130" s="442"/>
    </row>
    <row r="131" spans="1:14" s="449" customFormat="1" ht="15" customHeight="1">
      <c r="B131" s="453" t="s">
        <v>607</v>
      </c>
      <c r="C131" s="124" t="s">
        <v>513</v>
      </c>
      <c r="D131" s="458">
        <f>SUM(D122,D124,D129)</f>
        <v>558.86666279175984</v>
      </c>
      <c r="E131" s="458">
        <f t="shared" ref="E131:H131" si="56">SUM(E122,E124,E129)</f>
        <v>0</v>
      </c>
      <c r="F131" s="458">
        <f t="shared" si="56"/>
        <v>0</v>
      </c>
      <c r="G131" s="458">
        <f t="shared" si="56"/>
        <v>0</v>
      </c>
      <c r="H131" s="458">
        <f t="shared" si="56"/>
        <v>0</v>
      </c>
    </row>
    <row r="132" spans="1:14" ht="10.5" customHeight="1">
      <c r="B132" s="302"/>
      <c r="D132" s="454"/>
      <c r="E132" s="454"/>
      <c r="F132" s="454"/>
      <c r="G132" s="454"/>
      <c r="H132" s="454"/>
    </row>
    <row r="133" spans="1:14" ht="26.5" customHeight="1">
      <c r="B133" s="442" t="s">
        <v>608</v>
      </c>
    </row>
    <row r="134" spans="1:14">
      <c r="B134" s="455" t="s">
        <v>609</v>
      </c>
    </row>
    <row r="135" spans="1:14">
      <c r="A135" s="440">
        <v>1</v>
      </c>
      <c r="B135" s="365" t="s">
        <v>603</v>
      </c>
      <c r="C135" s="29" t="s">
        <v>513</v>
      </c>
      <c r="D135" s="456">
        <f>-D124</f>
        <v>-137.76829633999998</v>
      </c>
      <c r="E135" s="456"/>
      <c r="F135" s="456"/>
      <c r="G135" s="456"/>
      <c r="H135" s="456"/>
    </row>
    <row r="136" spans="1:14" ht="7" customHeight="1">
      <c r="A136" s="440"/>
      <c r="B136" s="440"/>
      <c r="C136" s="440"/>
      <c r="D136" s="440"/>
      <c r="E136" s="440"/>
    </row>
    <row r="137" spans="1:14" ht="27">
      <c r="A137" s="440">
        <v>2</v>
      </c>
      <c r="B137" s="763" t="s">
        <v>889</v>
      </c>
      <c r="C137" s="29" t="s">
        <v>513</v>
      </c>
      <c r="D137" s="768">
        <v>-7.2199300698887923</v>
      </c>
      <c r="E137" s="768"/>
      <c r="F137" s="768"/>
      <c r="G137" s="768"/>
      <c r="H137" s="768"/>
    </row>
    <row r="138" spans="1:14">
      <c r="A138" s="440">
        <v>3</v>
      </c>
      <c r="B138" s="365" t="s">
        <v>890</v>
      </c>
      <c r="C138" s="29" t="s">
        <v>513</v>
      </c>
      <c r="D138" s="456">
        <v>-4.6476248299999998</v>
      </c>
      <c r="E138" s="456"/>
      <c r="F138" s="456"/>
      <c r="G138" s="456"/>
      <c r="H138" s="456"/>
    </row>
    <row r="139" spans="1:14">
      <c r="A139" s="440">
        <v>4</v>
      </c>
      <c r="B139" s="365" t="s">
        <v>891</v>
      </c>
      <c r="C139" s="29" t="s">
        <v>513</v>
      </c>
      <c r="D139" s="456">
        <v>-0.84341327999999938</v>
      </c>
      <c r="E139" s="456"/>
      <c r="F139" s="456"/>
      <c r="G139" s="456"/>
      <c r="H139" s="456"/>
    </row>
    <row r="140" spans="1:14">
      <c r="A140" s="440">
        <v>5</v>
      </c>
      <c r="B140" s="365" t="s">
        <v>892</v>
      </c>
      <c r="C140" s="29" t="s">
        <v>513</v>
      </c>
      <c r="D140" s="456">
        <v>2.8504219000000006</v>
      </c>
      <c r="E140" s="456"/>
      <c r="F140" s="456"/>
      <c r="G140" s="456"/>
      <c r="H140" s="456"/>
    </row>
    <row r="141" spans="1:14" ht="32.5" customHeight="1">
      <c r="A141" s="440">
        <v>6</v>
      </c>
      <c r="B141" s="763" t="s">
        <v>893</v>
      </c>
      <c r="C141" s="29" t="s">
        <v>513</v>
      </c>
      <c r="D141" s="768">
        <v>-0.25874250994431192</v>
      </c>
      <c r="E141" s="768"/>
      <c r="F141" s="768"/>
      <c r="G141" s="768"/>
      <c r="H141" s="768"/>
    </row>
    <row r="142" spans="1:14" ht="58.5" customHeight="1">
      <c r="A142" s="440">
        <v>7</v>
      </c>
      <c r="B142" s="763" t="s">
        <v>894</v>
      </c>
      <c r="C142" s="29" t="s">
        <v>513</v>
      </c>
      <c r="D142" s="768">
        <v>3.260200000000002E-2</v>
      </c>
      <c r="E142" s="768"/>
      <c r="F142" s="768"/>
      <c r="G142" s="768"/>
      <c r="H142" s="768"/>
    </row>
    <row r="143" spans="1:14">
      <c r="A143" s="440">
        <v>8</v>
      </c>
      <c r="B143" s="365" t="s">
        <v>895</v>
      </c>
      <c r="C143" s="29" t="s">
        <v>513</v>
      </c>
      <c r="D143" s="456">
        <v>0.14020499761710425</v>
      </c>
      <c r="E143" s="456"/>
      <c r="F143" s="456"/>
      <c r="G143" s="456"/>
      <c r="H143" s="456"/>
    </row>
    <row r="144" spans="1:14">
      <c r="A144" s="440">
        <v>9</v>
      </c>
      <c r="B144" s="365" t="s">
        <v>532</v>
      </c>
      <c r="C144" s="29" t="s">
        <v>513</v>
      </c>
      <c r="D144" s="456"/>
      <c r="E144" s="456"/>
      <c r="F144" s="456"/>
      <c r="G144" s="456"/>
      <c r="H144" s="456"/>
    </row>
    <row r="145" spans="1:19">
      <c r="A145" s="440">
        <v>10</v>
      </c>
      <c r="B145" s="365" t="s">
        <v>532</v>
      </c>
      <c r="C145" s="29" t="s">
        <v>513</v>
      </c>
      <c r="D145" s="456"/>
      <c r="E145" s="456"/>
      <c r="F145" s="456"/>
      <c r="G145" s="456"/>
      <c r="H145" s="456"/>
    </row>
    <row r="146" spans="1:19">
      <c r="A146" s="440">
        <v>11</v>
      </c>
      <c r="B146" s="365" t="s">
        <v>532</v>
      </c>
      <c r="C146" s="29" t="s">
        <v>513</v>
      </c>
      <c r="D146" s="456"/>
      <c r="E146" s="456"/>
      <c r="F146" s="456"/>
      <c r="G146" s="456"/>
      <c r="H146" s="456"/>
    </row>
    <row r="147" spans="1:19">
      <c r="A147" s="440">
        <v>12</v>
      </c>
      <c r="B147" s="365" t="s">
        <v>532</v>
      </c>
      <c r="C147" s="29" t="s">
        <v>513</v>
      </c>
      <c r="D147" s="456"/>
      <c r="E147" s="456"/>
      <c r="F147" s="456"/>
      <c r="G147" s="456"/>
      <c r="H147" s="456"/>
    </row>
    <row r="148" spans="1:19">
      <c r="A148" s="440">
        <v>13</v>
      </c>
      <c r="B148" s="365" t="s">
        <v>532</v>
      </c>
      <c r="C148" s="29" t="s">
        <v>513</v>
      </c>
      <c r="D148" s="456"/>
      <c r="E148" s="456"/>
      <c r="F148" s="456"/>
      <c r="G148" s="456"/>
      <c r="H148" s="456"/>
    </row>
    <row r="149" spans="1:19">
      <c r="A149" s="440">
        <v>14</v>
      </c>
      <c r="B149" s="365" t="s">
        <v>532</v>
      </c>
      <c r="C149" s="29" t="s">
        <v>513</v>
      </c>
      <c r="D149" s="456"/>
      <c r="E149" s="456"/>
      <c r="F149" s="456"/>
      <c r="G149" s="456"/>
      <c r="H149" s="456"/>
    </row>
    <row r="150" spans="1:19" ht="18.649999999999999" customHeight="1">
      <c r="A150" s="440"/>
      <c r="B150" s="302" t="s">
        <v>610</v>
      </c>
      <c r="C150" s="29" t="s">
        <v>513</v>
      </c>
      <c r="D150" s="475">
        <f>SUM(D137:D149)</f>
        <v>-9.946481792215998</v>
      </c>
      <c r="E150" s="475">
        <f t="shared" ref="E150:H150" si="57">SUM(E137:E149)</f>
        <v>0</v>
      </c>
      <c r="F150" s="475">
        <f t="shared" si="57"/>
        <v>0</v>
      </c>
      <c r="G150" s="475">
        <f t="shared" si="57"/>
        <v>0</v>
      </c>
      <c r="H150" s="475">
        <f t="shared" si="57"/>
        <v>0</v>
      </c>
    </row>
    <row r="151" spans="1:19">
      <c r="A151" s="440"/>
      <c r="B151" s="455" t="s">
        <v>611</v>
      </c>
      <c r="C151" s="442"/>
      <c r="D151" s="442"/>
      <c r="E151" s="442"/>
      <c r="F151" s="442"/>
      <c r="G151" s="442"/>
      <c r="H151" s="442"/>
    </row>
    <row r="152" spans="1:19" ht="14" customHeight="1">
      <c r="A152" s="440">
        <v>15</v>
      </c>
      <c r="B152" s="763" t="s">
        <v>888</v>
      </c>
      <c r="C152" s="29" t="s">
        <v>513</v>
      </c>
      <c r="D152" s="364">
        <v>0.98939999999999995</v>
      </c>
      <c r="E152" s="364"/>
      <c r="F152" s="364"/>
      <c r="G152" s="364"/>
      <c r="H152" s="364"/>
    </row>
    <row r="153" spans="1:19" ht="27">
      <c r="A153" s="440">
        <v>16</v>
      </c>
      <c r="B153" s="763" t="s">
        <v>920</v>
      </c>
      <c r="C153" s="29" t="s">
        <v>513</v>
      </c>
      <c r="D153" s="364">
        <v>5.2851228450000001</v>
      </c>
      <c r="E153" s="364"/>
      <c r="F153" s="364"/>
      <c r="G153" s="364"/>
      <c r="H153" s="364"/>
    </row>
    <row r="154" spans="1:19" ht="27">
      <c r="A154" s="440">
        <v>17</v>
      </c>
      <c r="B154" s="763" t="s">
        <v>921</v>
      </c>
      <c r="C154" s="29" t="s">
        <v>513</v>
      </c>
      <c r="D154" s="767">
        <v>1.4336519000000001</v>
      </c>
      <c r="E154" s="767"/>
      <c r="F154" s="767"/>
      <c r="G154" s="767"/>
      <c r="H154" s="767"/>
    </row>
    <row r="155" spans="1:19">
      <c r="A155" s="440">
        <v>18</v>
      </c>
      <c r="B155" s="365" t="s">
        <v>535</v>
      </c>
      <c r="C155" s="29" t="s">
        <v>513</v>
      </c>
      <c r="D155" s="364"/>
      <c r="E155" s="364"/>
      <c r="F155" s="364"/>
      <c r="G155" s="364"/>
      <c r="H155" s="364"/>
      <c r="R155" s="103"/>
      <c r="S155" s="103"/>
    </row>
    <row r="156" spans="1:19">
      <c r="A156" s="440">
        <v>19</v>
      </c>
      <c r="B156" s="365" t="s">
        <v>535</v>
      </c>
      <c r="C156" s="29" t="s">
        <v>513</v>
      </c>
      <c r="D156" s="364"/>
      <c r="E156" s="364"/>
      <c r="F156" s="364"/>
      <c r="G156" s="364"/>
      <c r="H156" s="364"/>
      <c r="R156" s="103"/>
      <c r="S156" s="103"/>
    </row>
    <row r="157" spans="1:19">
      <c r="A157" s="440">
        <v>20</v>
      </c>
      <c r="B157" s="365" t="s">
        <v>535</v>
      </c>
      <c r="C157" s="29" t="s">
        <v>513</v>
      </c>
      <c r="D157" s="364"/>
      <c r="E157" s="364"/>
      <c r="F157" s="364"/>
      <c r="G157" s="364"/>
      <c r="H157" s="364"/>
      <c r="R157" s="103"/>
      <c r="S157" s="103"/>
    </row>
    <row r="158" spans="1:19">
      <c r="A158" s="440">
        <v>21</v>
      </c>
      <c r="B158" s="365" t="s">
        <v>532</v>
      </c>
      <c r="C158" s="29" t="s">
        <v>513</v>
      </c>
      <c r="D158" s="364"/>
      <c r="E158" s="364"/>
      <c r="F158" s="364"/>
      <c r="G158" s="364"/>
      <c r="H158" s="364"/>
      <c r="R158" s="103"/>
      <c r="S158" s="103"/>
    </row>
    <row r="159" spans="1:19" ht="19.5" customHeight="1" thickBot="1">
      <c r="A159" s="440"/>
      <c r="B159" s="302" t="s">
        <v>612</v>
      </c>
      <c r="C159" s="29" t="s">
        <v>513</v>
      </c>
      <c r="D159" s="476">
        <f>SUM(D152:D158)</f>
        <v>7.708174745</v>
      </c>
      <c r="E159" s="476">
        <f t="shared" ref="E159:H159" si="58">SUM(E152:E158)</f>
        <v>0</v>
      </c>
      <c r="F159" s="476">
        <f t="shared" si="58"/>
        <v>0</v>
      </c>
      <c r="G159" s="476">
        <f t="shared" si="58"/>
        <v>0</v>
      </c>
      <c r="H159" s="476">
        <f t="shared" si="58"/>
        <v>0</v>
      </c>
      <c r="R159" s="103"/>
      <c r="S159" s="103"/>
    </row>
    <row r="160" spans="1:19" ht="17.5" customHeight="1" thickBot="1">
      <c r="B160" s="442" t="s">
        <v>613</v>
      </c>
      <c r="C160" s="29" t="s">
        <v>513</v>
      </c>
      <c r="D160" s="477">
        <f>D135+D150+D159</f>
        <v>-140.00660338721596</v>
      </c>
      <c r="E160" s="478">
        <f>E135+E150+E159</f>
        <v>0</v>
      </c>
      <c r="F160" s="478">
        <f>F135+F150+F159</f>
        <v>0</v>
      </c>
      <c r="G160" s="478">
        <f>G135+G150+G159</f>
        <v>0</v>
      </c>
      <c r="H160" s="479">
        <f>H135+H150+H159</f>
        <v>0</v>
      </c>
      <c r="R160" s="103"/>
      <c r="S160" s="103"/>
    </row>
    <row r="161" spans="1:19">
      <c r="B161" s="302"/>
      <c r="D161" s="454"/>
      <c r="E161" s="454"/>
      <c r="F161" s="454"/>
      <c r="G161" s="454"/>
      <c r="H161" s="454"/>
      <c r="R161" s="103"/>
      <c r="S161" s="103"/>
    </row>
    <row r="162" spans="1:19">
      <c r="B162" s="442" t="s">
        <v>614</v>
      </c>
      <c r="C162" s="29" t="s">
        <v>513</v>
      </c>
      <c r="D162" s="458">
        <f>D160+D131</f>
        <v>418.8600594045439</v>
      </c>
      <c r="E162" s="458">
        <f>E160+E131</f>
        <v>0</v>
      </c>
      <c r="F162" s="458">
        <f>F160+F131</f>
        <v>0</v>
      </c>
      <c r="G162" s="458">
        <f>G160+G131</f>
        <v>0</v>
      </c>
      <c r="H162" s="458">
        <f>H160+H131</f>
        <v>0</v>
      </c>
      <c r="R162" s="390"/>
      <c r="S162" s="103"/>
    </row>
    <row r="163" spans="1:19">
      <c r="B163" s="729" t="s">
        <v>615</v>
      </c>
      <c r="C163" s="29" t="str">
        <f>Price_basis</f>
        <v>£m 20/21</v>
      </c>
      <c r="D163" s="457">
        <v>327.07531193771973</v>
      </c>
      <c r="E163" s="457"/>
      <c r="F163" s="457"/>
      <c r="G163" s="457"/>
      <c r="H163" s="457"/>
      <c r="I163" s="302" t="s">
        <v>616</v>
      </c>
      <c r="R163" s="103"/>
      <c r="S163" s="103"/>
    </row>
    <row r="164" spans="1:19">
      <c r="B164" s="729" t="s">
        <v>617</v>
      </c>
      <c r="C164" s="29" t="s">
        <v>513</v>
      </c>
      <c r="D164" s="457">
        <v>418.86005940454385</v>
      </c>
      <c r="E164" s="457"/>
      <c r="F164" s="457"/>
      <c r="G164" s="457"/>
      <c r="H164" s="457"/>
      <c r="I164" s="302" t="s">
        <v>616</v>
      </c>
    </row>
    <row r="165" spans="1:19">
      <c r="B165" s="302" t="s">
        <v>618</v>
      </c>
      <c r="C165" s="29" t="s">
        <v>513</v>
      </c>
      <c r="D165" s="480">
        <f>IF(Licensee="ESO",D164, IF(Sector="ED2",D164,D163*INDEX(real_to_nominal_CF,MATCH(D6,calendar_year,0))))</f>
        <v>418.86005940454385</v>
      </c>
      <c r="E165" s="480">
        <f>IF(Licensee="ESO",E164, IF(Sector="ED2",E164,E163*INDEX(real_to_nominal_CF,MATCH(E6,calendar_year,0))))</f>
        <v>0</v>
      </c>
      <c r="F165" s="480">
        <f>IF(Licensee="ESO",F164, IF(Sector="ED2",F164,F163*INDEX(real_to_nominal_CF,MATCH(F6,calendar_year,0))))</f>
        <v>0</v>
      </c>
      <c r="G165" s="480">
        <f>IF(Licensee="ESO",G164, IF(Sector="ED2",G164,G163*INDEX(real_to_nominal_CF,MATCH(G6,calendar_year,0))))</f>
        <v>0</v>
      </c>
      <c r="H165" s="480">
        <f>IF(Licensee="ESO",H164, IF(Sector="ED2",H164,H163*INDEX(real_to_nominal_CF,MATCH(H6,calendar_year,0))))</f>
        <v>0</v>
      </c>
      <c r="I165" s="103"/>
      <c r="R165" s="103"/>
      <c r="S165" s="103"/>
    </row>
    <row r="166" spans="1:19">
      <c r="B166" s="302"/>
      <c r="C166" s="29" t="s">
        <v>619</v>
      </c>
      <c r="D166" s="481" t="str">
        <f>IF(ISNUMBER(D165),"N/A",IF(D$108="Actuals",IF(ABS(D162-D165)&lt;materiality_threshold,"OK","ERROR"),"N/A"))</f>
        <v>N/A</v>
      </c>
      <c r="E166" s="481" t="str">
        <f>IF(ISNUMBER(E165),"N/A",IF(E$108="Actuals",IF(ABS(E162-E165)&lt;materiality_threshold,"OK","ERROR"),"N/A"))</f>
        <v>N/A</v>
      </c>
      <c r="F166" s="481" t="str">
        <f>IF(ISNUMBER(F165),"N/A",IF(F$108="Actuals",IF(ABS(F162-F165)&lt;materiality_threshold,"OK","ERROR"),"N/A"))</f>
        <v>N/A</v>
      </c>
      <c r="G166" s="481" t="str">
        <f>IF(ISNUMBER(G165),"N/A",IF(G$108="Actuals",IF(ABS(G162-G165)&lt;materiality_threshold,"OK","ERROR"),"N/A"))</f>
        <v>N/A</v>
      </c>
      <c r="H166" s="481" t="str">
        <f>IF(ISNUMBER(H165),"N/A",IF(H$108="Actuals",IF(ABS(H162-H165)&lt;materiality_threshold,"OK","ERROR"),"N/A"))</f>
        <v>N/A</v>
      </c>
      <c r="R166" s="103"/>
      <c r="S166" s="103"/>
    </row>
    <row r="167" spans="1:19">
      <c r="B167" s="302" t="s">
        <v>244</v>
      </c>
      <c r="R167" s="103"/>
      <c r="S167" s="103"/>
    </row>
    <row r="168" spans="1:19">
      <c r="B168" s="442" t="s">
        <v>620</v>
      </c>
    </row>
    <row r="169" spans="1:19">
      <c r="A169" s="440">
        <v>1</v>
      </c>
      <c r="B169" s="365" t="s">
        <v>898</v>
      </c>
      <c r="C169" s="29" t="s">
        <v>513</v>
      </c>
      <c r="D169" s="364">
        <v>22.440459092483565</v>
      </c>
      <c r="E169" s="364"/>
      <c r="F169" s="364"/>
      <c r="G169" s="364"/>
      <c r="H169" s="364"/>
    </row>
    <row r="170" spans="1:19">
      <c r="A170" s="440">
        <v>2</v>
      </c>
      <c r="B170" s="365" t="s">
        <v>899</v>
      </c>
      <c r="C170" s="29" t="s">
        <v>513</v>
      </c>
      <c r="D170" s="443">
        <v>2.0141150832676042</v>
      </c>
      <c r="E170" s="435"/>
      <c r="F170" s="435"/>
      <c r="G170" s="435"/>
      <c r="H170" s="435"/>
    </row>
    <row r="171" spans="1:19">
      <c r="A171" s="440">
        <v>3</v>
      </c>
      <c r="B171" s="365" t="s">
        <v>904</v>
      </c>
      <c r="C171" s="29" t="s">
        <v>513</v>
      </c>
      <c r="D171" s="443">
        <v>0</v>
      </c>
      <c r="E171" s="435"/>
      <c r="F171" s="435"/>
      <c r="G171" s="435"/>
      <c r="H171" s="435"/>
    </row>
    <row r="172" spans="1:19">
      <c r="A172" s="440">
        <v>4</v>
      </c>
      <c r="B172" s="365" t="s">
        <v>905</v>
      </c>
      <c r="C172" s="29" t="s">
        <v>513</v>
      </c>
      <c r="D172" s="443">
        <v>0</v>
      </c>
      <c r="E172" s="435"/>
      <c r="F172" s="435"/>
      <c r="G172" s="435"/>
      <c r="H172" s="435"/>
    </row>
    <row r="173" spans="1:19">
      <c r="A173" s="440">
        <v>5</v>
      </c>
      <c r="B173" s="365" t="s">
        <v>900</v>
      </c>
      <c r="C173" s="29" t="s">
        <v>513</v>
      </c>
      <c r="D173" s="443">
        <v>72.114420220000014</v>
      </c>
      <c r="E173" s="435"/>
      <c r="F173" s="435"/>
      <c r="G173" s="435"/>
      <c r="H173" s="435"/>
    </row>
    <row r="174" spans="1:19">
      <c r="A174" s="440">
        <v>6</v>
      </c>
      <c r="B174" s="365" t="s">
        <v>901</v>
      </c>
      <c r="C174" s="29" t="s">
        <v>513</v>
      </c>
      <c r="D174" s="443">
        <v>2.2602084766666666</v>
      </c>
      <c r="E174" s="435"/>
      <c r="F174" s="435"/>
      <c r="G174" s="435"/>
      <c r="H174" s="435"/>
    </row>
    <row r="175" spans="1:19">
      <c r="A175" s="440">
        <v>7</v>
      </c>
      <c r="B175" s="365" t="s">
        <v>902</v>
      </c>
      <c r="C175" s="29" t="s">
        <v>513</v>
      </c>
      <c r="D175" s="443">
        <v>1.0285116858649801</v>
      </c>
      <c r="E175" s="435"/>
      <c r="F175" s="435"/>
      <c r="G175" s="435"/>
      <c r="H175" s="435"/>
    </row>
    <row r="176" spans="1:19">
      <c r="A176" s="440">
        <v>8</v>
      </c>
      <c r="B176" s="365" t="s">
        <v>903</v>
      </c>
      <c r="C176" s="29" t="s">
        <v>513</v>
      </c>
      <c r="D176" s="443">
        <v>0.19739800000000002</v>
      </c>
      <c r="E176" s="435"/>
      <c r="F176" s="435"/>
      <c r="G176" s="435"/>
      <c r="H176" s="435"/>
    </row>
    <row r="177" spans="1:19">
      <c r="A177" s="440">
        <v>9</v>
      </c>
      <c r="B177" s="365" t="s">
        <v>906</v>
      </c>
      <c r="C177" s="29" t="s">
        <v>513</v>
      </c>
      <c r="D177" s="443">
        <v>0.87767978000000002</v>
      </c>
      <c r="E177" s="435"/>
      <c r="F177" s="435"/>
      <c r="G177" s="435"/>
      <c r="H177" s="435"/>
    </row>
    <row r="178" spans="1:19">
      <c r="A178" s="440">
        <v>10</v>
      </c>
      <c r="B178" s="365" t="s">
        <v>907</v>
      </c>
      <c r="C178" s="29" t="s">
        <v>513</v>
      </c>
      <c r="D178" s="443">
        <v>3.095214E-2</v>
      </c>
      <c r="E178" s="435"/>
      <c r="F178" s="435"/>
      <c r="G178" s="435"/>
      <c r="H178" s="435"/>
    </row>
    <row r="179" spans="1:19">
      <c r="A179" s="440">
        <v>11</v>
      </c>
      <c r="B179" s="365" t="s">
        <v>535</v>
      </c>
      <c r="C179" s="29" t="s">
        <v>513</v>
      </c>
      <c r="D179" s="443"/>
      <c r="E179" s="435"/>
      <c r="F179" s="435"/>
      <c r="G179" s="435"/>
      <c r="H179" s="435"/>
    </row>
    <row r="180" spans="1:19">
      <c r="A180" s="440">
        <v>12</v>
      </c>
      <c r="B180" s="365" t="s">
        <v>535</v>
      </c>
      <c r="C180" s="29" t="s">
        <v>513</v>
      </c>
      <c r="D180" s="443"/>
      <c r="E180" s="435"/>
      <c r="F180" s="435"/>
      <c r="G180" s="435"/>
      <c r="H180" s="435"/>
    </row>
    <row r="181" spans="1:19">
      <c r="A181" s="440">
        <v>13</v>
      </c>
      <c r="B181" s="365" t="s">
        <v>535</v>
      </c>
      <c r="C181" s="29" t="s">
        <v>513</v>
      </c>
      <c r="D181" s="443"/>
      <c r="E181" s="435"/>
      <c r="F181" s="435"/>
      <c r="G181" s="435"/>
      <c r="H181" s="435"/>
    </row>
    <row r="182" spans="1:19">
      <c r="A182" s="440">
        <v>14</v>
      </c>
      <c r="B182" s="365" t="s">
        <v>535</v>
      </c>
      <c r="C182" s="29" t="s">
        <v>513</v>
      </c>
      <c r="D182" s="443"/>
      <c r="E182" s="435"/>
      <c r="F182" s="435"/>
      <c r="G182" s="435"/>
      <c r="H182" s="435"/>
      <c r="R182" s="103"/>
      <c r="S182" s="103"/>
    </row>
    <row r="183" spans="1:19">
      <c r="A183" s="440">
        <v>15</v>
      </c>
      <c r="B183" s="365" t="s">
        <v>535</v>
      </c>
      <c r="C183" s="29" t="s">
        <v>513</v>
      </c>
      <c r="D183" s="443"/>
      <c r="E183" s="435"/>
      <c r="F183" s="435"/>
      <c r="G183" s="435"/>
      <c r="H183" s="435"/>
      <c r="R183" s="103"/>
      <c r="S183" s="103"/>
    </row>
    <row r="184" spans="1:19">
      <c r="A184" s="440">
        <v>16</v>
      </c>
      <c r="B184" s="365" t="s">
        <v>535</v>
      </c>
      <c r="C184" s="29" t="s">
        <v>513</v>
      </c>
      <c r="D184" s="443"/>
      <c r="E184" s="435"/>
      <c r="F184" s="435"/>
      <c r="G184" s="435"/>
      <c r="H184" s="435"/>
      <c r="R184" s="103"/>
      <c r="S184" s="103"/>
    </row>
    <row r="185" spans="1:19">
      <c r="A185" s="440">
        <v>17</v>
      </c>
      <c r="B185" s="365" t="s">
        <v>535</v>
      </c>
      <c r="C185" s="29" t="s">
        <v>513</v>
      </c>
      <c r="D185" s="443"/>
      <c r="E185" s="435"/>
      <c r="F185" s="435"/>
      <c r="G185" s="435"/>
      <c r="H185" s="435"/>
      <c r="R185" s="103"/>
      <c r="S185" s="103"/>
    </row>
    <row r="186" spans="1:19">
      <c r="A186" s="440">
        <v>18</v>
      </c>
      <c r="B186" s="365" t="s">
        <v>535</v>
      </c>
      <c r="C186" s="29" t="s">
        <v>513</v>
      </c>
      <c r="D186" s="443"/>
      <c r="E186" s="435"/>
      <c r="F186" s="435"/>
      <c r="G186" s="435"/>
      <c r="H186" s="435"/>
      <c r="R186" s="103"/>
      <c r="S186" s="103"/>
    </row>
    <row r="187" spans="1:19">
      <c r="A187" s="440">
        <v>19</v>
      </c>
      <c r="B187" s="365" t="s">
        <v>535</v>
      </c>
      <c r="C187" s="29" t="s">
        <v>513</v>
      </c>
      <c r="D187" s="443"/>
      <c r="E187" s="435"/>
      <c r="F187" s="435"/>
      <c r="G187" s="435"/>
      <c r="H187" s="435"/>
      <c r="R187" s="103"/>
      <c r="S187" s="103"/>
    </row>
    <row r="188" spans="1:19">
      <c r="A188" s="440">
        <v>20</v>
      </c>
      <c r="B188" s="365" t="s">
        <v>535</v>
      </c>
      <c r="C188" s="29" t="s">
        <v>513</v>
      </c>
      <c r="D188" s="443"/>
      <c r="E188" s="435"/>
      <c r="F188" s="435"/>
      <c r="G188" s="435"/>
      <c r="H188" s="435"/>
      <c r="R188" s="103"/>
      <c r="S188" s="103"/>
    </row>
    <row r="189" spans="1:19">
      <c r="A189" s="440">
        <v>21</v>
      </c>
      <c r="B189" s="365" t="s">
        <v>535</v>
      </c>
      <c r="C189" s="29" t="s">
        <v>513</v>
      </c>
      <c r="D189" s="443"/>
      <c r="E189" s="435"/>
      <c r="F189" s="435"/>
      <c r="G189" s="435"/>
      <c r="H189" s="435"/>
      <c r="R189" s="103"/>
      <c r="S189" s="103"/>
    </row>
    <row r="190" spans="1:19">
      <c r="A190" s="440">
        <v>22</v>
      </c>
      <c r="B190" s="365" t="s">
        <v>535</v>
      </c>
      <c r="C190" s="29" t="s">
        <v>513</v>
      </c>
      <c r="D190" s="443"/>
      <c r="E190" s="435"/>
      <c r="F190" s="435"/>
      <c r="G190" s="435"/>
      <c r="H190" s="435"/>
      <c r="R190" s="103"/>
      <c r="S190" s="103"/>
    </row>
    <row r="191" spans="1:19">
      <c r="A191" s="440">
        <v>23</v>
      </c>
      <c r="B191" s="365" t="s">
        <v>535</v>
      </c>
      <c r="C191" s="29" t="s">
        <v>513</v>
      </c>
      <c r="D191" s="443"/>
      <c r="E191" s="435"/>
      <c r="F191" s="435"/>
      <c r="G191" s="435"/>
      <c r="H191" s="435"/>
      <c r="R191" s="103"/>
      <c r="S191" s="103"/>
    </row>
    <row r="192" spans="1:19">
      <c r="A192" s="440">
        <v>24</v>
      </c>
      <c r="B192" s="365" t="s">
        <v>535</v>
      </c>
      <c r="C192" s="29" t="s">
        <v>513</v>
      </c>
      <c r="D192" s="443"/>
      <c r="E192" s="435"/>
      <c r="F192" s="435"/>
      <c r="G192" s="435"/>
      <c r="H192" s="435"/>
      <c r="R192" s="390"/>
      <c r="S192" s="103"/>
    </row>
    <row r="193" spans="1:19">
      <c r="A193" s="440">
        <v>25</v>
      </c>
      <c r="B193" s="365" t="s">
        <v>535</v>
      </c>
      <c r="C193" s="29" t="s">
        <v>513</v>
      </c>
      <c r="D193" s="443"/>
      <c r="E193" s="435"/>
      <c r="F193" s="435"/>
      <c r="G193" s="435"/>
      <c r="H193" s="435"/>
      <c r="R193" s="103"/>
      <c r="S193" s="103"/>
    </row>
    <row r="194" spans="1:19">
      <c r="B194" s="442" t="s">
        <v>621</v>
      </c>
      <c r="C194" s="29" t="s">
        <v>513</v>
      </c>
      <c r="D194" s="458">
        <f>SUM(D169:D193)</f>
        <v>100.96374447828283</v>
      </c>
      <c r="E194" s="458">
        <f t="shared" ref="E194:H194" si="59">SUM(E169:E193)</f>
        <v>0</v>
      </c>
      <c r="F194" s="458">
        <f t="shared" si="59"/>
        <v>0</v>
      </c>
      <c r="G194" s="458">
        <f t="shared" si="59"/>
        <v>0</v>
      </c>
      <c r="H194" s="458">
        <f t="shared" si="59"/>
        <v>0</v>
      </c>
      <c r="R194" s="103"/>
      <c r="S194" s="103"/>
    </row>
    <row r="195" spans="1:19">
      <c r="B195" s="302"/>
      <c r="D195" s="29"/>
      <c r="E195" s="29"/>
      <c r="F195" s="29"/>
      <c r="G195" s="29"/>
      <c r="H195" s="29"/>
      <c r="I195" s="29"/>
      <c r="J195" s="29"/>
      <c r="R195" s="103"/>
      <c r="S195" s="103"/>
    </row>
    <row r="196" spans="1:19">
      <c r="B196" s="442" t="s">
        <v>622</v>
      </c>
      <c r="C196" s="29" t="s">
        <v>513</v>
      </c>
      <c r="D196" s="458">
        <f>D162-D194</f>
        <v>317.89631492626108</v>
      </c>
      <c r="E196" s="458">
        <f t="shared" ref="E196:H196" si="60">E162-E194</f>
        <v>0</v>
      </c>
      <c r="F196" s="458">
        <f t="shared" si="60"/>
        <v>0</v>
      </c>
      <c r="G196" s="458">
        <f t="shared" si="60"/>
        <v>0</v>
      </c>
      <c r="H196" s="458">
        <f t="shared" si="60"/>
        <v>0</v>
      </c>
    </row>
    <row r="197" spans="1:19">
      <c r="B197" s="442" t="s">
        <v>623</v>
      </c>
      <c r="C197" s="29" t="s">
        <v>513</v>
      </c>
      <c r="D197" s="482">
        <f>('R3 - Totex - Reconciliation'!D$13+'R3 - Totex - Reconciliation'!D$47+'R3 - Totex - Reconciliation'!D76)*INDEX(real_to_nominal_CF,MATCH(D$109,calendar_year,0))</f>
        <v>317.89631492626108</v>
      </c>
      <c r="E197" s="482">
        <f>('R3 - Totex - Reconciliation'!E$13+'R3 - Totex - Reconciliation'!E$47+'R3 - Totex - Reconciliation'!E76)*INDEX(real_to_nominal_CF,MATCH(E$109,calendar_year,0))</f>
        <v>410.93422362402089</v>
      </c>
      <c r="F197" s="482">
        <f>('R3 - Totex - Reconciliation'!F$13+'R3 - Totex - Reconciliation'!F$47+'R3 - Totex - Reconciliation'!F76)*INDEX(real_to_nominal_CF,MATCH(F$109,calendar_year,0))</f>
        <v>447.07981980966201</v>
      </c>
      <c r="G197" s="482">
        <f>('R3 - Totex - Reconciliation'!G$13+'R3 - Totex - Reconciliation'!G$47+'R3 - Totex - Reconciliation'!G76)*INDEX(real_to_nominal_CF,MATCH(G$109,calendar_year,0))</f>
        <v>449.67502272392966</v>
      </c>
      <c r="H197" s="482">
        <f>('R3 - Totex - Reconciliation'!H$13+'R3 - Totex - Reconciliation'!H$47+'R3 - Totex - Reconciliation'!H76)*INDEX(real_to_nominal_CF,MATCH(H$109,calendar_year,0))</f>
        <v>467.14615890091812</v>
      </c>
    </row>
    <row r="198" spans="1:19">
      <c r="B198" s="302"/>
      <c r="C198" s="29" t="s">
        <v>619</v>
      </c>
      <c r="D198" s="483" t="str">
        <f>IF(D$108="Actuals",IF(ABS(D196-('R3 - Totex - Reconciliation'!D13+'R3 - Totex - Reconciliation'!D47+D76)*INDEX(real_to_nominal_CF,MATCH(D6,Data!$F$33:$L$33,0)))&lt;materiality_threshold,"OK","Error"),"N/A")</f>
        <v>OK</v>
      </c>
      <c r="E198" s="483" t="str">
        <f>IF(E$108="Actuals",IF(ABS(E196-('R3 - Totex - Reconciliation'!E13+'R3 - Totex - Reconciliation'!E47+E76)*INDEX(real_to_nominal_CF,MATCH(E6,Data!$F$33:$L$33,0)))&lt;materiality_threshold,"OK","Error"),"N/A")</f>
        <v>N/A</v>
      </c>
      <c r="F198" s="483" t="str">
        <f>IF(F$108="Actuals",IF(ABS(F196-('R3 - Totex - Reconciliation'!F13+'R3 - Totex - Reconciliation'!F47+F76)*INDEX(real_to_nominal_CF,MATCH(F6,Data!$F$33:$L$33,0)))&lt;materiality_threshold,"OK","Error"),"N/A")</f>
        <v>N/A</v>
      </c>
      <c r="G198" s="483" t="str">
        <f>IF(G$108="Actuals",IF(ABS(G196-('R3 - Totex - Reconciliation'!G13+'R3 - Totex - Reconciliation'!G47+G76)*INDEX(real_to_nominal_CF,MATCH(G6,Data!$F$33:$L$33,0)))&lt;materiality_threshold,"OK","Error"),"N/A")</f>
        <v>N/A</v>
      </c>
      <c r="H198" s="483" t="str">
        <f>IF(H$108="Actuals",IF(ABS(H196-('R3 - Totex - Reconciliation'!H13+'R3 - Totex - Reconciliation'!H47+H76)*INDEX(real_to_nominal_CF,MATCH(H6,Data!$F$33:$L$33,0)))&lt;materiality_threshold,"OK","Error"),"N/A")</f>
        <v>N/A</v>
      </c>
    </row>
    <row r="199" spans="1:19">
      <c r="B199" s="302"/>
      <c r="C199" s="302"/>
      <c r="D199" s="769"/>
    </row>
    <row r="200" spans="1:19">
      <c r="B200" s="390" t="s">
        <v>624</v>
      </c>
    </row>
    <row r="202" spans="1:19">
      <c r="B202" s="391" t="s">
        <v>567</v>
      </c>
      <c r="C202" s="103"/>
      <c r="D202" s="103"/>
      <c r="E202" s="103"/>
      <c r="F202" s="103"/>
    </row>
    <row r="203" spans="1:19">
      <c r="B203" s="851" t="s">
        <v>897</v>
      </c>
      <c r="C203" s="852"/>
      <c r="D203" s="852"/>
      <c r="E203" s="852"/>
      <c r="F203" s="853"/>
    </row>
    <row r="204" spans="1:19" ht="13.5" customHeight="1">
      <c r="B204" s="770" t="s">
        <v>896</v>
      </c>
      <c r="C204" s="393"/>
      <c r="D204" s="394"/>
      <c r="E204" s="395"/>
      <c r="F204" s="396"/>
    </row>
    <row r="205" spans="1:19">
      <c r="B205" s="392"/>
      <c r="C205" s="393"/>
      <c r="D205" s="394"/>
      <c r="E205" s="395"/>
      <c r="F205" s="396"/>
    </row>
    <row r="206" spans="1:19">
      <c r="B206" s="392"/>
      <c r="C206" s="393"/>
      <c r="D206" s="394"/>
      <c r="E206" s="395"/>
      <c r="F206" s="396"/>
    </row>
    <row r="207" spans="1:19">
      <c r="B207" s="392"/>
      <c r="C207" s="393"/>
      <c r="D207" s="394"/>
      <c r="E207" s="395"/>
      <c r="F207" s="396"/>
      <c r="R207" s="103"/>
      <c r="S207" s="103"/>
    </row>
    <row r="208" spans="1:19">
      <c r="B208" s="397"/>
      <c r="C208" s="398"/>
      <c r="D208" s="399"/>
      <c r="E208" s="400"/>
      <c r="F208" s="401"/>
    </row>
    <row r="225" spans="2:3">
      <c r="B225" s="302"/>
      <c r="C225" s="302"/>
    </row>
    <row r="226" spans="2:3">
      <c r="B226" s="302"/>
      <c r="C226" s="302"/>
    </row>
    <row r="227" spans="2:3">
      <c r="B227" s="302"/>
      <c r="C227" s="302"/>
    </row>
    <row r="228" spans="2:3">
      <c r="B228" s="302"/>
      <c r="C228" s="302"/>
    </row>
    <row r="229" spans="2:3">
      <c r="B229" s="302"/>
      <c r="C229" s="302"/>
    </row>
    <row r="230" spans="2:3">
      <c r="B230" s="302"/>
      <c r="C230" s="302"/>
    </row>
    <row r="231" spans="2:3">
      <c r="B231" s="302"/>
      <c r="C231" s="302"/>
    </row>
    <row r="232" spans="2:3">
      <c r="B232" s="302"/>
      <c r="C232" s="302"/>
    </row>
    <row r="236" spans="2:3" ht="12.75" customHeight="1"/>
    <row r="243" ht="29.25" customHeight="1"/>
  </sheetData>
  <sheetProtection algorithmName="SHA-512" hashValue="PL4pr1IIs0c4dEaPD/RhUO5b9DNBQVWKucAMIKxNT+T7BLGhx/71i3aWKxxC9AC/NjUsEYnoKjE7AQkyiwetlg==" saltValue="8Ru3GLGzemUxgQ3A6wHitA==" spinCount="100000" sheet="1" objects="1" scenarios="1"/>
  <mergeCells count="2">
    <mergeCell ref="K15:M15"/>
    <mergeCell ref="B203:F203"/>
  </mergeCells>
  <phoneticPr fontId="248" type="noConversion"/>
  <conditionalFormatting sqref="B40">
    <cfRule type="expression" dxfId="59" priority="48">
      <formula>$B$51="n/a"</formula>
    </cfRule>
  </conditionalFormatting>
  <conditionalFormatting sqref="B69">
    <cfRule type="expression" dxfId="58" priority="47">
      <formula>$B$51="n/a"</formula>
    </cfRule>
  </conditionalFormatting>
  <conditionalFormatting sqref="B93">
    <cfRule type="expression" dxfId="57" priority="46">
      <formula>$B$51="n/a"</formula>
    </cfRule>
  </conditionalFormatting>
  <conditionalFormatting sqref="C23:C30">
    <cfRule type="expression" dxfId="56" priority="52">
      <formula>$B$45="n/a"</formula>
    </cfRule>
  </conditionalFormatting>
  <conditionalFormatting sqref="C33:C35">
    <cfRule type="expression" dxfId="55" priority="5">
      <formula>$B$45="n/a"</formula>
    </cfRule>
  </conditionalFormatting>
  <conditionalFormatting sqref="C37:C38">
    <cfRule type="expression" dxfId="54" priority="2">
      <formula>$B$45="n/a"</formula>
    </cfRule>
  </conditionalFormatting>
  <conditionalFormatting sqref="C45 B46:C54 B73:C73 R73:T73 C74 B75:C84 B97:C97">
    <cfRule type="expression" dxfId="53" priority="69">
      <formula>$B$45="n/a"</formula>
    </cfRule>
  </conditionalFormatting>
  <conditionalFormatting sqref="C57:C59">
    <cfRule type="expression" dxfId="52" priority="51">
      <formula>$B$45="n/a"</formula>
    </cfRule>
  </conditionalFormatting>
  <conditionalFormatting sqref="C62:C64">
    <cfRule type="expression" dxfId="51" priority="3">
      <formula>$B$45="n/a"</formula>
    </cfRule>
  </conditionalFormatting>
  <conditionalFormatting sqref="C66:C67">
    <cfRule type="expression" dxfId="50" priority="1">
      <formula>$B$45="n/a"</formula>
    </cfRule>
  </conditionalFormatting>
  <conditionalFormatting sqref="C86:C88">
    <cfRule type="expression" dxfId="49" priority="49">
      <formula>$B$45="n/a"</formula>
    </cfRule>
  </conditionalFormatting>
  <conditionalFormatting sqref="C90:C91">
    <cfRule type="expression" dxfId="48" priority="8">
      <formula>$B$44="n/a"</formula>
    </cfRule>
  </conditionalFormatting>
  <conditionalFormatting sqref="D5:G6">
    <cfRule type="expression" dxfId="47" priority="73">
      <formula>AND(D$5="Actuals",E$5="Forecast")</formula>
    </cfRule>
  </conditionalFormatting>
  <conditionalFormatting sqref="D108:G109">
    <cfRule type="expression" dxfId="46" priority="65">
      <formula>AND(D$5="Actuals",E$5="N/A")</formula>
    </cfRule>
  </conditionalFormatting>
  <conditionalFormatting sqref="D7:H7">
    <cfRule type="expression" dxfId="45" priority="58">
      <formula>AND(D$5="Actuals",E$5="Forecast")</formula>
    </cfRule>
  </conditionalFormatting>
  <conditionalFormatting sqref="D110:H110">
    <cfRule type="expression" dxfId="44" priority="57">
      <formula>AND(D$5="Actuals",E$5="Forecast")</formula>
    </cfRule>
  </conditionalFormatting>
  <conditionalFormatting sqref="D113:H121 D124:H124 D135:H135">
    <cfRule type="expression" dxfId="43" priority="55">
      <formula>D$108="N/A"</formula>
    </cfRule>
  </conditionalFormatting>
  <conditionalFormatting sqref="D126:H129 D131:H131">
    <cfRule type="expression" dxfId="42" priority="27">
      <formula>D$108="N/A"</formula>
    </cfRule>
  </conditionalFormatting>
  <conditionalFormatting sqref="D137:H150">
    <cfRule type="expression" dxfId="41" priority="13">
      <formula>D$108="N/A"</formula>
    </cfRule>
  </conditionalFormatting>
  <conditionalFormatting sqref="D152:H160">
    <cfRule type="expression" dxfId="40" priority="12">
      <formula>D$108="N/A"</formula>
    </cfRule>
  </conditionalFormatting>
  <conditionalFormatting sqref="D162:H164">
    <cfRule type="expression" dxfId="39" priority="18">
      <formula>D$108="N/A"</formula>
    </cfRule>
  </conditionalFormatting>
  <conditionalFormatting sqref="D167:H194">
    <cfRule type="expression" dxfId="38" priority="23">
      <formula>D$108="N/A"</formula>
    </cfRule>
  </conditionalFormatting>
  <conditionalFormatting sqref="E122:H122">
    <cfRule type="expression" dxfId="37" priority="45">
      <formula>E$108="N/A"</formula>
    </cfRule>
  </conditionalFormatting>
  <conditionalFormatting sqref="H5:H6">
    <cfRule type="expression" dxfId="36" priority="274">
      <formula>AND(H$5="Actuals",#REF!="Forecast")</formula>
    </cfRule>
  </conditionalFormatting>
  <conditionalFormatting sqref="H108:H109">
    <cfRule type="expression" dxfId="35" priority="291">
      <formula>AND(H$5="Actuals",#REF!="N/A")</formula>
    </cfRule>
  </conditionalFormatting>
  <pageMargins left="0.70866141732283472" right="0.70866141732283472" top="0.74803149606299213" bottom="0.74803149606299213" header="0.31496062992125984" footer="0.31496062992125984"/>
  <pageSetup paperSize="8" scale="69" fitToHeight="0" orientation="portrait" r:id="rId1"/>
  <rowBreaks count="1" manualBreakCount="1">
    <brk id="103"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85" zoomScaleNormal="85" workbookViewId="0"/>
  </sheetViews>
  <sheetFormatPr defaultColWidth="9" defaultRowHeight="13.5"/>
  <cols>
    <col min="1" max="1" width="8.3828125" style="103" customWidth="1"/>
    <col min="2" max="2" width="71.3828125" style="103" bestFit="1" customWidth="1"/>
    <col min="3" max="3" width="13.3828125" style="29" customWidth="1"/>
    <col min="4" max="8" width="11.15234375" style="103" customWidth="1"/>
    <col min="9" max="9" width="12.84375" style="103" customWidth="1"/>
    <col min="10" max="10" width="12.765625" style="103" customWidth="1"/>
    <col min="11" max="11" width="5.765625" style="103" bestFit="1" customWidth="1"/>
    <col min="12" max="16384" width="9" style="103"/>
  </cols>
  <sheetData>
    <row r="1" spans="1:14" ht="20">
      <c r="A1" s="484" t="s">
        <v>625</v>
      </c>
      <c r="B1" s="485"/>
      <c r="C1" s="486"/>
      <c r="D1" s="487"/>
      <c r="E1" s="487"/>
      <c r="F1" s="487"/>
      <c r="G1" s="487"/>
      <c r="H1" s="487"/>
      <c r="I1" s="291"/>
      <c r="J1" s="291"/>
      <c r="K1" s="416"/>
    </row>
    <row r="2" spans="1:14" ht="20">
      <c r="A2" s="292" t="str">
        <f>Licensee</f>
        <v>NPgY</v>
      </c>
      <c r="B2" s="488"/>
      <c r="C2" s="489"/>
      <c r="D2" s="490"/>
      <c r="E2" s="490"/>
      <c r="F2" s="490"/>
      <c r="G2" s="490"/>
      <c r="H2" s="490"/>
      <c r="I2" s="296"/>
      <c r="J2" s="296"/>
      <c r="K2" s="297"/>
    </row>
    <row r="3" spans="1:14" ht="20">
      <c r="A3" s="294">
        <f>Reporting_Year</f>
        <v>2024</v>
      </c>
      <c r="B3" s="295"/>
      <c r="C3" s="491"/>
      <c r="D3" s="492"/>
      <c r="E3" s="492"/>
      <c r="F3" s="492"/>
      <c r="G3" s="492"/>
      <c r="H3" s="492"/>
      <c r="I3" s="299"/>
      <c r="J3" s="299"/>
      <c r="K3" s="300"/>
    </row>
    <row r="4" spans="1:14" s="302" customFormat="1" ht="12.75" customHeight="1">
      <c r="B4" s="440"/>
      <c r="C4" s="29"/>
    </row>
    <row r="5" spans="1:14" s="302" customFormat="1" ht="21.65" customHeight="1">
      <c r="B5" s="440"/>
      <c r="C5" s="29"/>
      <c r="D5" s="301" t="str">
        <f t="shared" ref="D5:I5" si="0">IF(D6&lt;=Reporting_Year,"Actuals","Forecast")</f>
        <v>Actuals</v>
      </c>
      <c r="E5" s="301" t="str">
        <f t="shared" si="0"/>
        <v>Forecast</v>
      </c>
      <c r="F5" s="301" t="str">
        <f t="shared" si="0"/>
        <v>Forecast</v>
      </c>
      <c r="G5" s="301" t="str">
        <f t="shared" si="0"/>
        <v>Forecast</v>
      </c>
      <c r="H5" s="301" t="str">
        <f t="shared" si="0"/>
        <v>Forecast</v>
      </c>
      <c r="I5" s="301" t="str">
        <f t="shared" si="0"/>
        <v>Forecast</v>
      </c>
    </row>
    <row r="6" spans="1:14" s="302" customFormat="1" ht="29.25" customHeight="1">
      <c r="C6" s="29"/>
      <c r="D6" s="417">
        <f>'RFPR cover'!$C$6</f>
        <v>2024</v>
      </c>
      <c r="E6" s="418">
        <f>D6+1</f>
        <v>2025</v>
      </c>
      <c r="F6" s="418">
        <f t="shared" ref="F6:H6" si="1">E6+1</f>
        <v>2026</v>
      </c>
      <c r="G6" s="418">
        <f t="shared" si="1"/>
        <v>2027</v>
      </c>
      <c r="H6" s="418">
        <f t="shared" si="1"/>
        <v>2028</v>
      </c>
      <c r="I6" s="305" t="str">
        <f>"Cumulative to "&amp;'RFPR cover'!$C$9</f>
        <v>Cumulative to 2024</v>
      </c>
      <c r="J6" s="419" t="s">
        <v>474</v>
      </c>
    </row>
    <row r="7" spans="1:14" s="302" customFormat="1">
      <c r="C7" s="29"/>
      <c r="D7" s="306" t="str">
        <f>RIIO_2_start_date-1&amp;"/"&amp;RIGHT(RIIO_2_start_date,2)</f>
        <v>2023/24</v>
      </c>
      <c r="E7" s="306" t="str">
        <f>RIIO_2_start_date&amp;"/"&amp;RIGHT(RIIO_2_start_date+1,2)</f>
        <v>2024/25</v>
      </c>
      <c r="F7" s="306" t="str">
        <f>RIIO_2_start_date+1&amp;"/"&amp;RIGHT(RIIO_2_start_date+2,2)</f>
        <v>2025/26</v>
      </c>
      <c r="G7" s="306" t="str">
        <f>RIIO_2_start_date+2&amp;"/"&amp;RIGHT(RIIO_2_start_date+3,2)</f>
        <v>2026/27</v>
      </c>
      <c r="H7" s="306" t="str">
        <f>RIIO_2_start_date+3&amp;"/"&amp;RIGHT(RIIO_2_start_date+4,2)</f>
        <v>2027/28</v>
      </c>
    </row>
    <row r="8" spans="1:14" s="302" customFormat="1" ht="17.5">
      <c r="B8" s="493" t="s">
        <v>626</v>
      </c>
      <c r="C8" s="355"/>
      <c r="D8" s="356"/>
      <c r="E8" s="356"/>
      <c r="F8" s="356"/>
      <c r="G8" s="356"/>
      <c r="H8" s="356"/>
      <c r="I8" s="356"/>
      <c r="J8" s="356"/>
      <c r="K8" s="356"/>
    </row>
    <row r="9" spans="1:14" s="302" customFormat="1">
      <c r="N9" s="323"/>
    </row>
    <row r="10" spans="1:14" s="302" customFormat="1"/>
    <row r="11" spans="1:14" s="302" customFormat="1"/>
    <row r="12" spans="1:14" s="302" customFormat="1">
      <c r="A12" s="308" t="s">
        <v>478</v>
      </c>
      <c r="B12" s="442" t="s">
        <v>627</v>
      </c>
      <c r="C12" s="428" t="str">
        <f>Data!$C$9</f>
        <v>£m 20/21</v>
      </c>
      <c r="D12" s="716">
        <f>INDEX(Data!$C$98:$I$126,MATCH($A$2,Data!$B$98:$B$126,0),MATCH(D$6,Data!$C$97:$I$97))</f>
        <v>0</v>
      </c>
      <c r="E12" s="716">
        <f>INDEX(Data!$C$98:$I$126,MATCH($A$2,Data!$B$98:$B$126,0),MATCH(E$6,Data!$C$97:$I$97))</f>
        <v>0</v>
      </c>
      <c r="F12" s="716">
        <f>INDEX(Data!$C$98:$I$126,MATCH($A$2,Data!$B$98:$B$126,0),MATCH(F$6,Data!$C$97:$I$97))</f>
        <v>0</v>
      </c>
      <c r="G12" s="716">
        <f>INDEX(Data!$C$98:$I$126,MATCH($A$2,Data!$B$98:$B$126,0),MATCH(G$6,Data!$C$97:$I$97))</f>
        <v>0</v>
      </c>
      <c r="H12" s="716">
        <f>INDEX(Data!$C$98:$I$126,MATCH($A$2,Data!$B$98:$B$126,0),MATCH(H$6,Data!$C$97:$I$97))</f>
        <v>0</v>
      </c>
      <c r="I12" s="716">
        <f>SUM(D12:INDEX(D12:H12,0,MATCH('RFPR cover'!$C$9,$D$6:$H$6,0)))</f>
        <v>0</v>
      </c>
      <c r="J12" s="717">
        <f>SUM(D12:H12)</f>
        <v>0</v>
      </c>
    </row>
    <row r="13" spans="1:14" s="302" customFormat="1" ht="19.5" customHeight="1">
      <c r="A13" s="308"/>
      <c r="B13" s="494" t="s">
        <v>628</v>
      </c>
    </row>
    <row r="14" spans="1:14" s="302" customFormat="1">
      <c r="A14" s="308" t="s">
        <v>479</v>
      </c>
      <c r="B14" s="495" t="str">
        <f>Data!B132</f>
        <v>Time to connect ODI</v>
      </c>
      <c r="C14" s="428" t="str">
        <f>Data!$C$9</f>
        <v>£m 20/21</v>
      </c>
      <c r="D14" s="504">
        <v>0</v>
      </c>
      <c r="E14" s="504">
        <v>-5.710065000000019E-2</v>
      </c>
      <c r="F14" s="504">
        <v>-5.710065000000019E-2</v>
      </c>
      <c r="G14" s="504">
        <v>-5.710065000000019E-2</v>
      </c>
      <c r="H14" s="504">
        <v>-5.710065000000019E-2</v>
      </c>
      <c r="I14" s="459">
        <f>SUM(D14:INDEX(D14:H14,0,MATCH('RFPR cover'!$C$9,$D$6:$H$6,0)))</f>
        <v>0</v>
      </c>
      <c r="J14" s="460">
        <f t="shared" ref="J14:J22" si="2">SUM(D14:H14)</f>
        <v>-0.22840260000000076</v>
      </c>
    </row>
    <row r="15" spans="1:14" s="302" customFormat="1">
      <c r="A15" s="308" t="s">
        <v>480</v>
      </c>
      <c r="B15" s="495" t="str">
        <f>Data!B133</f>
        <v>Broad Measure of Customer Service ODI</v>
      </c>
      <c r="C15" s="428" t="str">
        <f>Data!$C$9</f>
        <v>£m 20/21</v>
      </c>
      <c r="D15" s="504">
        <v>-1.7827492161859584</v>
      </c>
      <c r="E15" s="504">
        <v>0.64530000000000143</v>
      </c>
      <c r="F15" s="504">
        <v>0.64530000000000143</v>
      </c>
      <c r="G15" s="504">
        <v>0.64530000000000143</v>
      </c>
      <c r="H15" s="504">
        <v>0.64530000000000143</v>
      </c>
      <c r="I15" s="459">
        <f>SUM(D15:INDEX(D15:H15,0,MATCH('RFPR cover'!$C$9,$D$6:$H$6,0)))</f>
        <v>-1.7827492161859584</v>
      </c>
      <c r="J15" s="460">
        <f t="shared" si="2"/>
        <v>0.79845078381404744</v>
      </c>
    </row>
    <row r="16" spans="1:14" s="302" customFormat="1">
      <c r="A16" s="308" t="s">
        <v>481</v>
      </c>
      <c r="B16" s="495" t="str">
        <f>Data!B134</f>
        <v>Interruptions incentive scheme ODI</v>
      </c>
      <c r="C16" s="428" t="str">
        <f>Data!$C$9</f>
        <v>£m 20/21</v>
      </c>
      <c r="D16" s="504">
        <v>-7.2211669913150613</v>
      </c>
      <c r="E16" s="504">
        <v>-2.6364051872645478</v>
      </c>
      <c r="F16" s="504">
        <v>-0.11991758560274307</v>
      </c>
      <c r="G16" s="504">
        <v>1.1467890185487439</v>
      </c>
      <c r="H16" s="504">
        <v>2.5251560927382637</v>
      </c>
      <c r="I16" s="459">
        <f>SUM(D16:INDEX(D16:H16,0,MATCH('RFPR cover'!$C$9,$D$6:$H$6,0)))</f>
        <v>-7.2211669913150613</v>
      </c>
      <c r="J16" s="460">
        <f t="shared" si="2"/>
        <v>-6.3055446528953425</v>
      </c>
    </row>
    <row r="17" spans="1:10" s="302" customFormat="1">
      <c r="A17" s="308" t="s">
        <v>482</v>
      </c>
      <c r="B17" s="495" t="str">
        <f>Data!B135</f>
        <v>Major connections ODI</v>
      </c>
      <c r="C17" s="428" t="str">
        <f>Data!$C$9</f>
        <v>£m 20/21</v>
      </c>
      <c r="D17" s="504">
        <v>0</v>
      </c>
      <c r="E17" s="504">
        <v>0</v>
      </c>
      <c r="F17" s="504">
        <v>0</v>
      </c>
      <c r="G17" s="504">
        <v>0</v>
      </c>
      <c r="H17" s="504">
        <v>0</v>
      </c>
      <c r="I17" s="459">
        <f>SUM(D17:INDEX(D17:H17,0,MATCH('RFPR cover'!$C$9,$D$6:$H$6,0)))</f>
        <v>0</v>
      </c>
      <c r="J17" s="460">
        <f t="shared" si="2"/>
        <v>0</v>
      </c>
    </row>
    <row r="18" spans="1:10" s="302" customFormat="1">
      <c r="A18" s="308" t="s">
        <v>483</v>
      </c>
      <c r="B18" s="495" t="str">
        <f>Data!B136</f>
        <v>Consumer Vulnerability ODI</v>
      </c>
      <c r="C18" s="428" t="str">
        <f>Data!$C$9</f>
        <v>£m 20/21</v>
      </c>
      <c r="D18" s="504">
        <v>0</v>
      </c>
      <c r="E18" s="504">
        <v>0</v>
      </c>
      <c r="F18" s="504">
        <v>0</v>
      </c>
      <c r="G18" s="504">
        <v>0</v>
      </c>
      <c r="H18" s="504">
        <v>0</v>
      </c>
      <c r="I18" s="459">
        <f>SUM(D18:INDEX(D18:H18,0,MATCH('RFPR cover'!$C$9,$D$6:$H$6,0)))</f>
        <v>0</v>
      </c>
      <c r="J18" s="460">
        <f t="shared" si="2"/>
        <v>0</v>
      </c>
    </row>
    <row r="19" spans="1:10" s="302" customFormat="1">
      <c r="A19" s="308" t="s">
        <v>484</v>
      </c>
      <c r="B19" s="495" t="str">
        <f>Data!B137</f>
        <v>Distribution System Operator ODI</v>
      </c>
      <c r="C19" s="428" t="str">
        <f>Data!$C$9</f>
        <v>£m 20/21</v>
      </c>
      <c r="D19" s="504">
        <v>0.41528000000000004</v>
      </c>
      <c r="E19" s="504">
        <v>0</v>
      </c>
      <c r="F19" s="504">
        <v>0</v>
      </c>
      <c r="G19" s="504">
        <v>0</v>
      </c>
      <c r="H19" s="504">
        <v>0</v>
      </c>
      <c r="I19" s="459">
        <f>SUM(D19:INDEX(D19:H19,0,MATCH('RFPR cover'!$C$9,$D$6:$H$6,0)))</f>
        <v>0.41528000000000004</v>
      </c>
      <c r="J19" s="460">
        <f>SUM(D19:H19)</f>
        <v>0.41528000000000004</v>
      </c>
    </row>
    <row r="20" spans="1:10" s="302" customFormat="1">
      <c r="A20" s="308" t="s">
        <v>629</v>
      </c>
      <c r="B20" s="495" t="str">
        <f>Data!B138</f>
        <v>Dig, Fix and Go ODI (ENWL only)</v>
      </c>
      <c r="C20" s="428" t="str">
        <f>Data!$C$9</f>
        <v>£m 20/21</v>
      </c>
      <c r="D20" s="504"/>
      <c r="E20" s="504"/>
      <c r="F20" s="504"/>
      <c r="G20" s="504"/>
      <c r="H20" s="504"/>
      <c r="I20" s="459">
        <f>SUM(D20:INDEX(D20:H20,0,MATCH('RFPR cover'!$C$9,$D$6:$H$6,0)))</f>
        <v>0</v>
      </c>
      <c r="J20" s="460">
        <f>SUM(D20:H20)</f>
        <v>0</v>
      </c>
    </row>
    <row r="21" spans="1:10" s="302" customFormat="1">
      <c r="A21" s="308" t="s">
        <v>485</v>
      </c>
      <c r="B21" s="495" t="str">
        <f>Data!B139</f>
        <v>Collaborative Streetworks ODI (EPN, LPN and SPN only)</v>
      </c>
      <c r="C21" s="428" t="str">
        <f>Data!$C$9</f>
        <v>£m 20/21</v>
      </c>
      <c r="D21" s="504"/>
      <c r="E21" s="504"/>
      <c r="F21" s="504"/>
      <c r="G21" s="504"/>
      <c r="H21" s="504"/>
      <c r="I21" s="459">
        <f>SUM(D21:INDEX(D21:H21,0,MATCH('RFPR cover'!$C$9,$D$6:$H$6,0)))</f>
        <v>0</v>
      </c>
      <c r="J21" s="460">
        <f t="shared" si="2"/>
        <v>0</v>
      </c>
    </row>
    <row r="22" spans="1:10" s="302" customFormat="1">
      <c r="B22" s="442" t="s">
        <v>630</v>
      </c>
      <c r="C22" s="436" t="str">
        <f>Data!$C$9</f>
        <v>£m 20/21</v>
      </c>
      <c r="D22" s="471">
        <f>SUM(D14:D21)</f>
        <v>-8.5886362075010201</v>
      </c>
      <c r="E22" s="471">
        <f>SUM(E14:E21)</f>
        <v>-2.0482058372645464</v>
      </c>
      <c r="F22" s="471">
        <f>SUM(F14:F21)</f>
        <v>0.46828176439725816</v>
      </c>
      <c r="G22" s="471">
        <f>SUM(G14:G21)</f>
        <v>1.7349883685487453</v>
      </c>
      <c r="H22" s="471">
        <f>SUM(H14:H21)</f>
        <v>3.113355442738265</v>
      </c>
      <c r="I22" s="459">
        <f>SUM(D22:INDEX(D22:H22,0,MATCH('RFPR cover'!$C$9,$D$6:$H$6,0)))</f>
        <v>-8.5886362075010201</v>
      </c>
      <c r="J22" s="460">
        <f t="shared" si="2"/>
        <v>-5.3202164690812994</v>
      </c>
    </row>
    <row r="23" spans="1:10" s="302" customFormat="1"/>
    <row r="24" spans="1:10" s="498" customFormat="1" ht="14.25" customHeight="1">
      <c r="A24" s="497"/>
    </row>
    <row r="25" spans="1:10" s="302" customFormat="1">
      <c r="A25" s="499"/>
      <c r="B25" s="500" t="s">
        <v>631</v>
      </c>
      <c r="C25" s="501"/>
      <c r="D25" s="501"/>
      <c r="E25" s="501"/>
      <c r="F25" s="501"/>
      <c r="G25" s="501"/>
      <c r="H25" s="501"/>
      <c r="I25" s="501"/>
      <c r="J25" s="501"/>
    </row>
    <row r="26" spans="1:10" s="302" customFormat="1">
      <c r="A26" s="502" t="s">
        <v>478</v>
      </c>
      <c r="B26" s="854"/>
      <c r="C26" s="854"/>
      <c r="D26" s="854"/>
      <c r="E26" s="854"/>
      <c r="F26" s="854"/>
      <c r="G26" s="854"/>
      <c r="H26" s="854"/>
      <c r="I26" s="854"/>
      <c r="J26" s="854"/>
    </row>
    <row r="27" spans="1:10" s="302" customFormat="1">
      <c r="A27" s="502" t="s">
        <v>479</v>
      </c>
      <c r="B27" s="854"/>
      <c r="C27" s="854"/>
      <c r="D27" s="854"/>
      <c r="E27" s="854"/>
      <c r="F27" s="854"/>
      <c r="G27" s="854"/>
      <c r="H27" s="854"/>
      <c r="I27" s="854"/>
      <c r="J27" s="854"/>
    </row>
    <row r="28" spans="1:10" s="302" customFormat="1">
      <c r="A28" s="502" t="s">
        <v>480</v>
      </c>
      <c r="B28" s="854"/>
      <c r="C28" s="854"/>
      <c r="D28" s="854"/>
      <c r="E28" s="854"/>
      <c r="F28" s="854"/>
      <c r="G28" s="854"/>
      <c r="H28" s="854"/>
      <c r="I28" s="854"/>
      <c r="J28" s="854"/>
    </row>
    <row r="29" spans="1:10" s="302" customFormat="1">
      <c r="A29" s="502" t="s">
        <v>481</v>
      </c>
      <c r="B29" s="854"/>
      <c r="C29" s="854"/>
      <c r="D29" s="854"/>
      <c r="E29" s="854"/>
      <c r="F29" s="854"/>
      <c r="G29" s="854"/>
      <c r="H29" s="854"/>
      <c r="I29" s="854"/>
      <c r="J29" s="854"/>
    </row>
    <row r="30" spans="1:10" s="302" customFormat="1">
      <c r="A30" s="502" t="s">
        <v>482</v>
      </c>
      <c r="B30" s="854"/>
      <c r="C30" s="854"/>
      <c r="D30" s="854"/>
      <c r="E30" s="854"/>
      <c r="F30" s="854"/>
      <c r="G30" s="854"/>
      <c r="H30" s="854"/>
      <c r="I30" s="854"/>
      <c r="J30" s="854"/>
    </row>
    <row r="31" spans="1:10" s="302" customFormat="1">
      <c r="A31" s="502" t="s">
        <v>483</v>
      </c>
      <c r="B31" s="854"/>
      <c r="C31" s="854"/>
      <c r="D31" s="854"/>
      <c r="E31" s="854"/>
      <c r="F31" s="854"/>
      <c r="G31" s="854"/>
      <c r="H31" s="854"/>
      <c r="I31" s="854"/>
      <c r="J31" s="854"/>
    </row>
    <row r="32" spans="1:10" s="302" customFormat="1">
      <c r="A32" s="502" t="s">
        <v>484</v>
      </c>
      <c r="B32" s="365"/>
      <c r="C32" s="365"/>
      <c r="D32" s="365"/>
      <c r="E32" s="365"/>
      <c r="F32" s="365"/>
      <c r="G32" s="365"/>
      <c r="H32" s="365"/>
      <c r="I32" s="365"/>
      <c r="J32" s="365"/>
    </row>
    <row r="33" spans="1:11" s="302" customFormat="1">
      <c r="A33" s="502" t="s">
        <v>629</v>
      </c>
      <c r="B33" s="365"/>
      <c r="C33" s="365"/>
      <c r="D33" s="365"/>
      <c r="E33" s="365"/>
      <c r="F33" s="365"/>
      <c r="G33" s="365"/>
      <c r="H33" s="365"/>
      <c r="I33" s="365"/>
      <c r="J33" s="365"/>
    </row>
    <row r="34" spans="1:11" s="302" customFormat="1">
      <c r="A34" s="502" t="s">
        <v>485</v>
      </c>
      <c r="B34" s="854"/>
      <c r="C34" s="854"/>
      <c r="D34" s="854"/>
      <c r="E34" s="854"/>
      <c r="F34" s="854"/>
      <c r="G34" s="854"/>
      <c r="H34" s="854"/>
      <c r="I34" s="854"/>
      <c r="J34" s="854"/>
    </row>
    <row r="35" spans="1:11" s="302" customFormat="1">
      <c r="A35" s="308"/>
      <c r="C35" s="428"/>
      <c r="D35" s="428"/>
      <c r="E35" s="428"/>
      <c r="F35" s="428"/>
      <c r="G35" s="428"/>
      <c r="H35" s="428"/>
      <c r="I35" s="428"/>
      <c r="J35" s="428"/>
    </row>
    <row r="36" spans="1:11" s="302" customFormat="1" ht="20.5">
      <c r="B36" s="493" t="s">
        <v>632</v>
      </c>
      <c r="C36" s="355"/>
      <c r="D36" s="356"/>
      <c r="E36" s="356"/>
      <c r="F36" s="356"/>
      <c r="G36" s="356"/>
      <c r="H36" s="356"/>
      <c r="I36" s="356"/>
      <c r="J36" s="356"/>
      <c r="K36" s="356"/>
    </row>
    <row r="37" spans="1:11" s="302" customFormat="1">
      <c r="A37" s="442"/>
      <c r="C37" s="29"/>
    </row>
    <row r="38" spans="1:11">
      <c r="B38" s="503" t="s">
        <v>633</v>
      </c>
    </row>
    <row r="39" spans="1:11">
      <c r="B39" s="442"/>
    </row>
    <row r="40" spans="1:11" s="302" customFormat="1">
      <c r="A40" s="427" t="s">
        <v>485</v>
      </c>
      <c r="B40" s="442" t="s">
        <v>122</v>
      </c>
      <c r="C40" s="40" t="s">
        <v>634</v>
      </c>
      <c r="D40" s="454"/>
      <c r="E40" s="454"/>
      <c r="F40" s="454"/>
      <c r="G40" s="454"/>
      <c r="H40" s="454"/>
    </row>
    <row r="41" spans="1:11" s="302" customFormat="1">
      <c r="B41" s="352" t="s">
        <v>635</v>
      </c>
      <c r="C41" s="428" t="str">
        <f>Data!$C$9</f>
        <v>£m 20/21</v>
      </c>
      <c r="D41" s="360">
        <v>0.97213834690373924</v>
      </c>
      <c r="E41" s="360">
        <v>1.3222049812116559</v>
      </c>
      <c r="F41" s="360">
        <v>1.085554171766548</v>
      </c>
      <c r="G41" s="360">
        <v>0.7700482794797191</v>
      </c>
      <c r="H41" s="360">
        <v>0.62783199841611548</v>
      </c>
      <c r="I41" s="459">
        <f>SUM(D41:INDEX(D41:H41,0,MATCH('RFPR cover'!$C$9,$D$6:$H$6,0)))</f>
        <v>0.97213834690373924</v>
      </c>
      <c r="J41" s="460">
        <f t="shared" ref="J41" si="3">SUM(D41:H41)</f>
        <v>4.7777777777777777</v>
      </c>
    </row>
    <row r="42" spans="1:11" s="302" customFormat="1">
      <c r="B42" s="352" t="s">
        <v>636</v>
      </c>
      <c r="C42" s="428" t="str">
        <f>Data!$C$9</f>
        <v>£m 20/21</v>
      </c>
      <c r="D42" s="504">
        <v>0</v>
      </c>
      <c r="E42" s="429">
        <v>0</v>
      </c>
      <c r="F42" s="429">
        <v>0</v>
      </c>
      <c r="G42" s="429">
        <v>0</v>
      </c>
      <c r="H42" s="429">
        <v>0</v>
      </c>
      <c r="I42" s="459">
        <f>SUM(D42:INDEX(D42:H42,0,MATCH('RFPR cover'!$C$9,$D$6:$H$6,0)))</f>
        <v>0</v>
      </c>
      <c r="J42" s="460">
        <f t="shared" ref="J42:J45" si="4">SUM(D42:H42)</f>
        <v>0</v>
      </c>
    </row>
    <row r="43" spans="1:11" s="302" customFormat="1">
      <c r="B43" s="352" t="s">
        <v>637</v>
      </c>
      <c r="C43" s="428" t="str">
        <f>Data!$C$9</f>
        <v>£m 20/21</v>
      </c>
      <c r="D43" s="364">
        <f>(D41-D42)*0.1</f>
        <v>9.7213834690373924E-2</v>
      </c>
      <c r="E43" s="364">
        <f t="shared" ref="E43:H43" si="5">(E41-E42)*0.1</f>
        <v>0.1322204981211656</v>
      </c>
      <c r="F43" s="364">
        <f t="shared" si="5"/>
        <v>0.1085554171766548</v>
      </c>
      <c r="G43" s="364">
        <f t="shared" si="5"/>
        <v>7.7004827947971921E-2</v>
      </c>
      <c r="H43" s="364">
        <f t="shared" si="5"/>
        <v>6.2783199841611556E-2</v>
      </c>
      <c r="I43" s="459">
        <f>SUM(D43:INDEX(D43:H43,0,MATCH('RFPR cover'!$C$9,$D$6:$H$6,0)))</f>
        <v>9.7213834690373924E-2</v>
      </c>
      <c r="J43" s="460">
        <f t="shared" si="4"/>
        <v>0.4777777777777778</v>
      </c>
    </row>
    <row r="44" spans="1:11" s="442" customFormat="1">
      <c r="B44" s="302" t="s">
        <v>638</v>
      </c>
      <c r="C44" s="428" t="str">
        <f>Data!$C$9</f>
        <v>£m 20/21</v>
      </c>
      <c r="D44" s="471">
        <f>D41-D42-D43</f>
        <v>0.87492451221336531</v>
      </c>
      <c r="E44" s="512">
        <f t="shared" ref="E44:H44" si="6">E41-E42-E43</f>
        <v>1.1899844830904902</v>
      </c>
      <c r="F44" s="512">
        <f t="shared" si="6"/>
        <v>0.97699875458989316</v>
      </c>
      <c r="G44" s="512">
        <f t="shared" si="6"/>
        <v>0.69304345153174718</v>
      </c>
      <c r="H44" s="512">
        <f t="shared" si="6"/>
        <v>0.56504879857450396</v>
      </c>
      <c r="I44" s="459">
        <f>SUM(D44:INDEX(D44:H44,0,MATCH('RFPR cover'!$C$9,$D$6:$H$6,0)))</f>
        <v>0.87492451221336531</v>
      </c>
      <c r="J44" s="460">
        <f t="shared" si="4"/>
        <v>4.3</v>
      </c>
      <c r="K44" s="302"/>
    </row>
    <row r="45" spans="1:11" s="302" customFormat="1">
      <c r="A45" s="440"/>
      <c r="B45" s="442" t="s">
        <v>639</v>
      </c>
      <c r="C45" s="428" t="str">
        <f>Data!$C$9</f>
        <v>£m 20/21</v>
      </c>
      <c r="D45" s="513">
        <f>D42+D43</f>
        <v>9.7213834690373924E-2</v>
      </c>
      <c r="E45" s="513">
        <f t="shared" ref="E45:H45" si="7">E42+E43</f>
        <v>0.1322204981211656</v>
      </c>
      <c r="F45" s="513">
        <f t="shared" si="7"/>
        <v>0.1085554171766548</v>
      </c>
      <c r="G45" s="513">
        <f t="shared" si="7"/>
        <v>7.7004827947971921E-2</v>
      </c>
      <c r="H45" s="513">
        <f t="shared" si="7"/>
        <v>6.2783199841611556E-2</v>
      </c>
      <c r="I45" s="459">
        <f>SUM(D45:INDEX(D45:H45,0,MATCH('RFPR cover'!$C$9,$D$6:$H$6,0)))</f>
        <v>9.7213834690373924E-2</v>
      </c>
      <c r="J45" s="460">
        <f t="shared" si="4"/>
        <v>0.4777777777777778</v>
      </c>
    </row>
    <row r="46" spans="1:11" s="302" customFormat="1">
      <c r="A46" s="440"/>
      <c r="B46" s="442"/>
      <c r="C46" s="428"/>
      <c r="D46" s="505"/>
      <c r="E46" s="505"/>
      <c r="F46" s="505"/>
      <c r="G46" s="505"/>
      <c r="H46" s="505"/>
    </row>
    <row r="47" spans="1:11" s="302" customFormat="1">
      <c r="A47" s="427" t="s">
        <v>486</v>
      </c>
      <c r="B47" s="442" t="s">
        <v>640</v>
      </c>
      <c r="C47" s="428" t="s">
        <v>641</v>
      </c>
      <c r="D47" s="505"/>
      <c r="E47" s="505"/>
      <c r="F47" s="505"/>
      <c r="G47" s="505"/>
      <c r="H47" s="505"/>
    </row>
    <row r="48" spans="1:11" s="302" customFormat="1" ht="14">
      <c r="A48" s="440"/>
      <c r="B48" s="352" t="s">
        <v>642</v>
      </c>
      <c r="C48" s="428" t="str">
        <f>Data!$C$9</f>
        <v>£m 20/21</v>
      </c>
      <c r="D48" s="360">
        <v>0.60062397394090994</v>
      </c>
      <c r="E48" s="506"/>
      <c r="F48" s="506"/>
      <c r="G48" s="506"/>
      <c r="H48" s="506"/>
    </row>
    <row r="49" spans="1:14" s="302" customFormat="1" ht="14">
      <c r="A49" s="440"/>
      <c r="B49" s="352" t="s">
        <v>636</v>
      </c>
      <c r="C49" s="428" t="str">
        <f>Data!$C$9</f>
        <v>£m 20/21</v>
      </c>
      <c r="D49" s="504"/>
      <c r="E49" s="506"/>
      <c r="F49" s="506"/>
      <c r="G49" s="506"/>
      <c r="H49" s="506"/>
    </row>
    <row r="50" spans="1:14" s="302" customFormat="1" ht="14">
      <c r="A50" s="440"/>
      <c r="B50" s="352" t="s">
        <v>637</v>
      </c>
      <c r="C50" s="428" t="str">
        <f>Data!$C$9</f>
        <v>£m 20/21</v>
      </c>
      <c r="D50" s="364">
        <f>D48*0.1</f>
        <v>6.0062397394090999E-2</v>
      </c>
      <c r="E50" s="506"/>
      <c r="F50" s="506"/>
      <c r="G50" s="506"/>
      <c r="H50" s="506"/>
    </row>
    <row r="51" spans="1:14" s="302" customFormat="1" ht="14">
      <c r="A51" s="440"/>
      <c r="B51" s="302" t="s">
        <v>643</v>
      </c>
      <c r="C51" s="428" t="str">
        <f>Data!$C$9</f>
        <v>£m 20/21</v>
      </c>
      <c r="D51" s="471">
        <f>D48-D49-D50</f>
        <v>0.54056157654681891</v>
      </c>
      <c r="E51" s="506"/>
      <c r="F51" s="506"/>
      <c r="G51" s="506"/>
      <c r="H51" s="506"/>
    </row>
    <row r="52" spans="1:14" ht="14">
      <c r="A52" s="507"/>
      <c r="B52" s="442" t="s">
        <v>644</v>
      </c>
      <c r="C52" s="428" t="str">
        <f>Data!$C$9</f>
        <v>£m 20/21</v>
      </c>
      <c r="D52" s="512">
        <f>D49+D50</f>
        <v>6.0062397394090999E-2</v>
      </c>
      <c r="E52" s="506"/>
      <c r="F52" s="506"/>
      <c r="G52" s="506"/>
      <c r="H52" s="506"/>
      <c r="K52" s="302"/>
    </row>
    <row r="53" spans="1:14">
      <c r="B53" s="442"/>
      <c r="C53" s="428"/>
      <c r="D53" s="428"/>
      <c r="E53" s="428"/>
      <c r="F53" s="428"/>
      <c r="G53" s="428"/>
      <c r="H53" s="428"/>
      <c r="K53" s="428"/>
    </row>
    <row r="54" spans="1:14">
      <c r="A54" s="427" t="s">
        <v>487</v>
      </c>
      <c r="B54" s="442" t="s">
        <v>645</v>
      </c>
      <c r="C54" s="428" t="s">
        <v>646</v>
      </c>
      <c r="D54" s="505"/>
      <c r="E54" s="505"/>
      <c r="F54" s="505"/>
      <c r="G54" s="505"/>
      <c r="H54" s="505"/>
      <c r="K54" s="302"/>
      <c r="N54" s="302"/>
    </row>
    <row r="55" spans="1:14">
      <c r="A55" s="440"/>
      <c r="B55" s="352" t="s">
        <v>647</v>
      </c>
      <c r="C55" s="428" t="str">
        <f>Data!$C$9</f>
        <v>£m 20/21</v>
      </c>
      <c r="D55" s="360">
        <v>0</v>
      </c>
      <c r="E55" s="360"/>
      <c r="F55" s="360"/>
      <c r="G55" s="360"/>
      <c r="H55" s="360"/>
      <c r="I55" s="459">
        <f>SUM(D55:INDEX(D55:H55,0,MATCH('RFPR cover'!$C$9,$D$6:$H$6,0)))</f>
        <v>0</v>
      </c>
      <c r="J55" s="460">
        <f t="shared" ref="J55" si="8">SUM(D55:H55)</f>
        <v>0</v>
      </c>
      <c r="K55" s="302"/>
      <c r="N55" s="302"/>
    </row>
    <row r="56" spans="1:14">
      <c r="A56" s="440"/>
      <c r="B56" s="352" t="s">
        <v>648</v>
      </c>
      <c r="C56" s="428" t="str">
        <f>Data!$C$9</f>
        <v>£m 20/21</v>
      </c>
      <c r="D56" s="504"/>
      <c r="E56" s="429"/>
      <c r="F56" s="429"/>
      <c r="G56" s="429"/>
      <c r="H56" s="429"/>
      <c r="I56" s="459">
        <f>SUM(D56:INDEX(D56:H56,0,MATCH('RFPR cover'!$C$9,$D$6:$H$6,0)))</f>
        <v>0</v>
      </c>
      <c r="J56" s="460">
        <f t="shared" ref="J56:J59" si="9">SUM(D56:H56)</f>
        <v>0</v>
      </c>
      <c r="N56" s="302"/>
    </row>
    <row r="57" spans="1:14">
      <c r="A57" s="440"/>
      <c r="B57" s="352" t="s">
        <v>637</v>
      </c>
      <c r="C57" s="428" t="str">
        <f>Data!$C$9</f>
        <v>£m 20/21</v>
      </c>
      <c r="D57" s="364">
        <v>0</v>
      </c>
      <c r="E57" s="364"/>
      <c r="F57" s="364"/>
      <c r="G57" s="364"/>
      <c r="H57" s="364"/>
      <c r="I57" s="459">
        <f>SUM(D57:INDEX(D57:H57,0,MATCH('RFPR cover'!$C$9,$D$6:$H$6,0)))</f>
        <v>0</v>
      </c>
      <c r="J57" s="460">
        <f t="shared" si="9"/>
        <v>0</v>
      </c>
      <c r="N57" s="302"/>
    </row>
    <row r="58" spans="1:14">
      <c r="A58" s="440"/>
      <c r="B58" s="302" t="s">
        <v>649</v>
      </c>
      <c r="C58" s="428" t="str">
        <f>Data!$C$9</f>
        <v>£m 20/21</v>
      </c>
      <c r="D58" s="471">
        <f>D55-D56-D57</f>
        <v>0</v>
      </c>
      <c r="E58" s="512">
        <f>E55-E56-E57</f>
        <v>0</v>
      </c>
      <c r="F58" s="512">
        <f>F55-F56-F57</f>
        <v>0</v>
      </c>
      <c r="G58" s="512">
        <f>G55-G56-G57</f>
        <v>0</v>
      </c>
      <c r="H58" s="512">
        <f>H55-H56-H57</f>
        <v>0</v>
      </c>
      <c r="I58" s="459">
        <f>SUM(D58:INDEX(D58:H58,0,MATCH('RFPR cover'!$C$9,$D$6:$H$6,0)))</f>
        <v>0</v>
      </c>
      <c r="J58" s="460">
        <f t="shared" si="9"/>
        <v>0</v>
      </c>
    </row>
    <row r="59" spans="1:14">
      <c r="A59" s="507"/>
      <c r="B59" s="442" t="s">
        <v>650</v>
      </c>
      <c r="C59" s="428" t="str">
        <f>Data!$C$9</f>
        <v>£m 20/21</v>
      </c>
      <c r="D59" s="512">
        <f>D56+D57</f>
        <v>0</v>
      </c>
      <c r="E59" s="512">
        <f>E56+E57</f>
        <v>0</v>
      </c>
      <c r="F59" s="512">
        <f>F56+F57</f>
        <v>0</v>
      </c>
      <c r="G59" s="512">
        <f>G56+G57</f>
        <v>0</v>
      </c>
      <c r="H59" s="512">
        <f>H56+H57</f>
        <v>0</v>
      </c>
      <c r="I59" s="459">
        <f>SUM(D59:INDEX(D59:H59,0,MATCH('RFPR cover'!$C$9,$D$6:$H$6,0)))</f>
        <v>0</v>
      </c>
      <c r="J59" s="460">
        <f t="shared" si="9"/>
        <v>0</v>
      </c>
    </row>
    <row r="60" spans="1:14">
      <c r="B60" s="442"/>
      <c r="C60" s="428"/>
      <c r="D60" s="428"/>
      <c r="E60" s="428"/>
      <c r="F60" s="428"/>
      <c r="G60" s="428"/>
      <c r="H60" s="428"/>
      <c r="I60" s="428"/>
    </row>
    <row r="61" spans="1:14">
      <c r="B61" s="442"/>
      <c r="C61" s="428"/>
      <c r="D61" s="428"/>
      <c r="E61" s="428"/>
      <c r="F61" s="428"/>
      <c r="G61" s="428"/>
      <c r="H61" s="428"/>
      <c r="I61" s="428"/>
    </row>
    <row r="62" spans="1:14" s="302" customFormat="1">
      <c r="B62" s="503" t="s">
        <v>651</v>
      </c>
      <c r="C62" s="29"/>
    </row>
    <row r="63" spans="1:14" s="302" customFormat="1" ht="16">
      <c r="B63" s="508" t="s">
        <v>652</v>
      </c>
      <c r="C63" s="509"/>
      <c r="D63" s="508"/>
      <c r="E63" s="508"/>
      <c r="F63" s="508"/>
      <c r="G63" s="508"/>
      <c r="H63" s="508"/>
      <c r="I63" s="508"/>
      <c r="J63" s="508"/>
      <c r="K63" s="508"/>
    </row>
    <row r="64" spans="1:14" s="302" customFormat="1">
      <c r="B64" s="510" t="s">
        <v>653</v>
      </c>
      <c r="C64" s="29"/>
    </row>
    <row r="65" spans="1:13" s="302" customFormat="1" ht="19" customHeight="1">
      <c r="A65" s="308"/>
      <c r="B65" s="494" t="s">
        <v>654</v>
      </c>
    </row>
    <row r="66" spans="1:13" s="302" customFormat="1" ht="14.5" customHeight="1">
      <c r="A66" s="308" t="s">
        <v>488</v>
      </c>
      <c r="B66" s="511" t="str">
        <f>Data!B199</f>
        <v/>
      </c>
      <c r="C66" s="428" t="str">
        <f>Data!$C$9</f>
        <v>£m 20/21</v>
      </c>
      <c r="D66" s="496"/>
      <c r="E66" s="496"/>
      <c r="F66" s="496"/>
      <c r="G66" s="496"/>
      <c r="H66" s="496"/>
      <c r="I66" s="459">
        <f>SUM(D66:INDEX(D66:H66,0,MATCH('RFPR cover'!$C$9,$D$6:$H$6,0)))</f>
        <v>0</v>
      </c>
      <c r="J66" s="460">
        <f t="shared" ref="J66" si="10">SUM(D66:H66)</f>
        <v>0</v>
      </c>
    </row>
    <row r="67" spans="1:13" s="302" customFormat="1" ht="14.5" customHeight="1">
      <c r="A67" s="308" t="s">
        <v>489</v>
      </c>
      <c r="B67" s="511" t="str">
        <f>Data!B200</f>
        <v/>
      </c>
      <c r="C67" s="428" t="str">
        <f>Data!$C$9</f>
        <v>£m 20/21</v>
      </c>
      <c r="D67" s="496"/>
      <c r="E67" s="496"/>
      <c r="F67" s="496"/>
      <c r="G67" s="496"/>
      <c r="H67" s="496"/>
      <c r="I67" s="459">
        <f>SUM(D67:INDEX(D67:H67,0,MATCH('RFPR cover'!$C$9,$D$6:$H$6,0)))</f>
        <v>0</v>
      </c>
      <c r="J67" s="460">
        <f t="shared" ref="J67:J71" si="11">SUM(D67:H67)</f>
        <v>0</v>
      </c>
    </row>
    <row r="68" spans="1:13" s="302" customFormat="1" ht="14.5" customHeight="1">
      <c r="A68" s="308" t="s">
        <v>490</v>
      </c>
      <c r="B68" s="511" t="str">
        <f>Data!B201</f>
        <v/>
      </c>
      <c r="C68" s="428" t="str">
        <f>Data!$C$9</f>
        <v>£m 20/21</v>
      </c>
      <c r="D68" s="496"/>
      <c r="E68" s="496"/>
      <c r="F68" s="496"/>
      <c r="G68" s="496"/>
      <c r="H68" s="496"/>
      <c r="I68" s="459">
        <f>SUM(D68:INDEX(D68:H68,0,MATCH('RFPR cover'!$C$9,$D$6:$H$6,0)))</f>
        <v>0</v>
      </c>
      <c r="J68" s="460">
        <f t="shared" si="11"/>
        <v>0</v>
      </c>
    </row>
    <row r="69" spans="1:13" s="302" customFormat="1" ht="14.5" customHeight="1">
      <c r="A69" s="308" t="s">
        <v>491</v>
      </c>
      <c r="B69" s="511" t="str">
        <f>Data!B202</f>
        <v/>
      </c>
      <c r="C69" s="428" t="str">
        <f>Data!$C$9</f>
        <v>£m 20/21</v>
      </c>
      <c r="D69" s="496"/>
      <c r="E69" s="496"/>
      <c r="F69" s="496"/>
      <c r="G69" s="496"/>
      <c r="H69" s="496"/>
      <c r="I69" s="459">
        <f>SUM(D69:INDEX(D69:H69,0,MATCH('RFPR cover'!$C$9,$D$6:$H$6,0)))</f>
        <v>0</v>
      </c>
      <c r="J69" s="460">
        <f t="shared" si="11"/>
        <v>0</v>
      </c>
    </row>
    <row r="70" spans="1:13" s="302" customFormat="1" ht="14.5" customHeight="1">
      <c r="A70" s="308" t="s">
        <v>492</v>
      </c>
      <c r="B70" s="511" t="str">
        <f>Data!B203</f>
        <v/>
      </c>
      <c r="C70" s="428" t="str">
        <f>Data!$C$9</f>
        <v>£m 20/21</v>
      </c>
      <c r="D70" s="496"/>
      <c r="E70" s="496"/>
      <c r="F70" s="496"/>
      <c r="G70" s="496"/>
      <c r="H70" s="496"/>
      <c r="I70" s="459">
        <f>SUM(D70:INDEX(D70:H70,0,MATCH('RFPR cover'!$C$9,$D$6:$H$6,0)))</f>
        <v>0</v>
      </c>
      <c r="J70" s="460">
        <f t="shared" si="11"/>
        <v>0</v>
      </c>
    </row>
    <row r="71" spans="1:13" s="302" customFormat="1" ht="14.5" customHeight="1">
      <c r="B71" s="442"/>
      <c r="C71" s="436" t="str">
        <f>Data!$C$9</f>
        <v>£m 20/21</v>
      </c>
      <c r="D71" s="471">
        <f>SUM(D66:D70)</f>
        <v>0</v>
      </c>
      <c r="E71" s="471">
        <f>SUM(E66:E70)</f>
        <v>0</v>
      </c>
      <c r="F71" s="471">
        <f>SUM(F66:F70)</f>
        <v>0</v>
      </c>
      <c r="G71" s="471">
        <f>SUM(G66:G70)</f>
        <v>0</v>
      </c>
      <c r="H71" s="471">
        <f>SUM(H66:H70)</f>
        <v>0</v>
      </c>
      <c r="I71" s="459">
        <f>SUM(D71:INDEX(D71:H71,0,MATCH('RFPR cover'!$C$9,$D$6:$H$6,0)))</f>
        <v>0</v>
      </c>
      <c r="J71" s="460">
        <f t="shared" si="11"/>
        <v>0</v>
      </c>
    </row>
    <row r="72" spans="1:13" s="302" customFormat="1" ht="14.5" customHeight="1">
      <c r="B72" s="442"/>
      <c r="C72" s="436"/>
      <c r="D72" s="436"/>
      <c r="E72" s="436"/>
      <c r="F72" s="436"/>
      <c r="G72" s="436"/>
      <c r="H72" s="436"/>
      <c r="I72" s="436"/>
    </row>
    <row r="73" spans="1:13" s="498" customFormat="1" ht="14.25" customHeight="1">
      <c r="A73" s="497"/>
      <c r="M73" s="302"/>
    </row>
    <row r="74" spans="1:13" s="302" customFormat="1">
      <c r="A74" s="499"/>
      <c r="B74" s="500" t="s">
        <v>631</v>
      </c>
      <c r="C74" s="501"/>
      <c r="D74" s="501"/>
      <c r="E74" s="501"/>
      <c r="F74" s="501"/>
      <c r="G74" s="501"/>
      <c r="H74" s="501"/>
      <c r="I74" s="501"/>
      <c r="J74" s="501"/>
    </row>
    <row r="75" spans="1:13" s="302" customFormat="1">
      <c r="A75" s="502" t="s">
        <v>485</v>
      </c>
      <c r="B75" s="500"/>
      <c r="C75" s="501"/>
      <c r="D75" s="501"/>
      <c r="E75" s="501"/>
      <c r="F75" s="501"/>
      <c r="G75" s="501"/>
      <c r="H75" s="501"/>
      <c r="I75" s="501"/>
      <c r="J75" s="501"/>
    </row>
    <row r="76" spans="1:13" s="302" customFormat="1">
      <c r="A76" s="502" t="s">
        <v>486</v>
      </c>
      <c r="B76" s="500"/>
      <c r="C76" s="501"/>
      <c r="D76" s="501"/>
      <c r="E76" s="501"/>
      <c r="F76" s="501"/>
      <c r="G76" s="501"/>
      <c r="H76" s="501"/>
      <c r="I76" s="501"/>
      <c r="J76" s="501"/>
    </row>
    <row r="77" spans="1:13" s="302" customFormat="1">
      <c r="A77" s="502" t="s">
        <v>487</v>
      </c>
      <c r="B77" s="854"/>
      <c r="C77" s="854"/>
      <c r="D77" s="854"/>
      <c r="E77" s="854"/>
      <c r="F77" s="854"/>
      <c r="G77" s="854"/>
      <c r="H77" s="854"/>
      <c r="I77" s="854"/>
      <c r="J77" s="854"/>
    </row>
    <row r="78" spans="1:13" s="302" customFormat="1">
      <c r="A78" s="502" t="s">
        <v>488</v>
      </c>
      <c r="B78" s="854"/>
      <c r="C78" s="854"/>
      <c r="D78" s="854"/>
      <c r="E78" s="854"/>
      <c r="F78" s="854"/>
      <c r="G78" s="854"/>
      <c r="H78" s="854"/>
      <c r="I78" s="854"/>
      <c r="J78" s="854"/>
    </row>
    <row r="79" spans="1:13" s="302" customFormat="1">
      <c r="A79" s="502" t="s">
        <v>489</v>
      </c>
      <c r="B79" s="854"/>
      <c r="C79" s="854"/>
      <c r="D79" s="854"/>
      <c r="E79" s="854"/>
      <c r="F79" s="854"/>
      <c r="G79" s="854"/>
      <c r="H79" s="854"/>
      <c r="I79" s="854"/>
      <c r="J79" s="854"/>
    </row>
    <row r="80" spans="1:13" s="302" customFormat="1">
      <c r="A80" s="502" t="s">
        <v>490</v>
      </c>
      <c r="B80" s="854"/>
      <c r="C80" s="854"/>
      <c r="D80" s="854"/>
      <c r="E80" s="854"/>
      <c r="F80" s="854"/>
      <c r="G80" s="854"/>
      <c r="H80" s="854"/>
      <c r="I80" s="854"/>
      <c r="J80" s="854"/>
    </row>
    <row r="81" spans="1:10" s="302" customFormat="1">
      <c r="A81" s="502" t="s">
        <v>491</v>
      </c>
      <c r="B81" s="365"/>
      <c r="C81" s="365"/>
      <c r="D81" s="365"/>
      <c r="E81" s="365"/>
      <c r="F81" s="365"/>
      <c r="G81" s="365"/>
      <c r="H81" s="365"/>
      <c r="I81" s="365"/>
      <c r="J81" s="365"/>
    </row>
    <row r="82" spans="1:10" s="302" customFormat="1">
      <c r="A82" s="502" t="s">
        <v>492</v>
      </c>
      <c r="B82" s="854"/>
      <c r="C82" s="854"/>
      <c r="D82" s="854"/>
      <c r="E82" s="854"/>
      <c r="F82" s="854"/>
      <c r="G82" s="854"/>
      <c r="H82" s="854"/>
      <c r="I82" s="854"/>
      <c r="J82" s="854"/>
    </row>
  </sheetData>
  <sheetProtection algorithmName="SHA-512" hashValue="yiGTY3VoLTQT2mWMt0VhP6VQID7ERiXsiqTgrOuhdt11ETG7SHuFLkjJHbD80oQCtJ1ojXlMo5ylSUusWn9vhA==" saltValue="I0LN42+CJ7R0D3oqCypmHA==" spinCount="100000" sheet="1" objects="1" scenarios="1"/>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34" priority="1">
      <formula>AND(D$5="Actuals",E$5="Forecast")</formula>
    </cfRule>
  </conditionalFormatting>
  <conditionalFormatting sqref="H5:H6">
    <cfRule type="expression" dxfId="33" priority="237">
      <formula>AND(H$5="Actuals",#REF!="Forecast")</formula>
    </cfRule>
  </conditionalFormatting>
  <conditionalFormatting sqref="I5 D5:G6">
    <cfRule type="expression" dxfId="32" priority="33">
      <formula>AND(D$5="Actuals",E$5="Forecast")</formula>
    </cfRule>
  </conditionalFormatting>
  <pageMargins left="0.70866141732283472" right="0.70866141732283472" top="0.74803149606299213" bottom="0.74803149606299213" header="0.31496062992125984" footer="0.31496062992125984"/>
  <pageSetup paperSize="8" scale="90"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3.5" zeroHeight="1"/>
  <cols>
    <col min="1" max="1" width="8.3828125" style="103" customWidth="1"/>
    <col min="2" max="2" width="74.84375" style="103" customWidth="1"/>
    <col min="3" max="3" width="14.15234375" style="103" customWidth="1"/>
    <col min="4" max="8" width="11.15234375" style="103" customWidth="1"/>
    <col min="9" max="10" width="12.84375" style="103" customWidth="1"/>
    <col min="11" max="11" width="5" style="103" customWidth="1"/>
    <col min="12" max="23" width="9.23046875" style="103" customWidth="1"/>
    <col min="24" max="27" width="9" style="103" hidden="1" customWidth="1"/>
    <col min="28" max="16384" width="9" style="103" hidden="1"/>
  </cols>
  <sheetData>
    <row r="1" spans="1:27" ht="20">
      <c r="A1" s="287" t="s">
        <v>263</v>
      </c>
      <c r="B1" s="289"/>
      <c r="C1" s="290"/>
      <c r="D1" s="290"/>
      <c r="E1" s="290"/>
      <c r="F1" s="290"/>
      <c r="G1" s="290"/>
      <c r="H1" s="290"/>
      <c r="I1" s="291"/>
      <c r="J1" s="291"/>
      <c r="K1" s="416"/>
    </row>
    <row r="2" spans="1:27" ht="20">
      <c r="A2" s="292" t="str">
        <f>Licensee</f>
        <v>NPgY</v>
      </c>
      <c r="B2" s="294"/>
      <c r="C2" s="295"/>
      <c r="D2" s="295"/>
      <c r="E2" s="295"/>
      <c r="F2" s="295"/>
      <c r="G2" s="295"/>
      <c r="H2" s="295"/>
      <c r="I2" s="296"/>
      <c r="J2" s="296"/>
      <c r="K2" s="297"/>
    </row>
    <row r="3" spans="1:27" ht="20">
      <c r="A3" s="514">
        <f>Reporting_Year</f>
        <v>2024</v>
      </c>
      <c r="B3" s="515" t="str">
        <f>IF('RFPR cover'!C7=Data!B86,"Not required to be completed for System Operator","")</f>
        <v/>
      </c>
      <c r="C3" s="514"/>
      <c r="D3" s="298"/>
      <c r="E3" s="298"/>
      <c r="F3" s="298"/>
      <c r="G3" s="298"/>
      <c r="H3" s="298"/>
      <c r="I3" s="299"/>
      <c r="J3" s="299"/>
      <c r="K3" s="300"/>
    </row>
    <row r="4" spans="1:27" ht="12.75" customHeight="1">
      <c r="A4" s="516"/>
      <c r="B4" s="516"/>
      <c r="C4" s="516"/>
      <c r="D4" s="516"/>
      <c r="E4" s="516"/>
      <c r="F4" s="516"/>
      <c r="G4" s="516"/>
      <c r="H4" s="516"/>
      <c r="I4" s="517"/>
    </row>
    <row r="5" spans="1:27">
      <c r="A5" s="302"/>
      <c r="B5" s="440"/>
      <c r="C5" s="440"/>
      <c r="D5" s="301" t="str">
        <f t="shared" ref="D5:I5" si="0">IF(D6&lt;=Reporting_Year,"Actuals","Forecast")</f>
        <v>Actuals</v>
      </c>
      <c r="E5" s="301" t="str">
        <f t="shared" si="0"/>
        <v>Forecast</v>
      </c>
      <c r="F5" s="301" t="str">
        <f t="shared" si="0"/>
        <v>Forecast</v>
      </c>
      <c r="G5" s="301" t="str">
        <f t="shared" si="0"/>
        <v>Forecast</v>
      </c>
      <c r="H5" s="301" t="str">
        <f t="shared" si="0"/>
        <v>Forecast</v>
      </c>
      <c r="I5" s="301" t="str">
        <f t="shared" si="0"/>
        <v>Forecast</v>
      </c>
      <c r="J5" s="302"/>
      <c r="K5" s="302"/>
      <c r="L5" s="302"/>
      <c r="M5" s="302"/>
      <c r="N5" s="302"/>
      <c r="O5" s="302"/>
      <c r="P5" s="302"/>
      <c r="Q5" s="302"/>
      <c r="R5" s="302"/>
      <c r="S5" s="302"/>
      <c r="T5" s="302"/>
      <c r="U5" s="302"/>
      <c r="V5" s="302"/>
      <c r="W5" s="302"/>
      <c r="X5" s="302"/>
      <c r="Y5" s="302"/>
      <c r="Z5" s="302"/>
      <c r="AA5" s="302"/>
    </row>
    <row r="6" spans="1:27" ht="27">
      <c r="A6" s="302"/>
      <c r="B6" s="302"/>
      <c r="C6" s="302"/>
      <c r="D6" s="417">
        <f>'RFPR cover'!$C$6</f>
        <v>2024</v>
      </c>
      <c r="E6" s="418">
        <f>D6+1</f>
        <v>2025</v>
      </c>
      <c r="F6" s="418">
        <f t="shared" ref="F6:H6" si="1">E6+1</f>
        <v>2026</v>
      </c>
      <c r="G6" s="418">
        <f t="shared" si="1"/>
        <v>2027</v>
      </c>
      <c r="H6" s="518">
        <f t="shared" si="1"/>
        <v>2028</v>
      </c>
      <c r="I6" s="519" t="str">
        <f>"Cumulative to "&amp;'RFPR cover'!$C$9</f>
        <v>Cumulative to 2024</v>
      </c>
      <c r="J6" s="520" t="s">
        <v>474</v>
      </c>
      <c r="K6" s="302"/>
      <c r="L6" s="302"/>
      <c r="M6" s="302"/>
      <c r="N6" s="302"/>
      <c r="O6" s="302"/>
      <c r="P6" s="302"/>
      <c r="Q6" s="302"/>
      <c r="R6" s="302"/>
      <c r="S6" s="302"/>
      <c r="T6" s="302"/>
      <c r="U6" s="302"/>
      <c r="V6" s="302"/>
      <c r="W6" s="302"/>
      <c r="X6" s="302"/>
      <c r="Y6" s="302"/>
      <c r="Z6" s="302"/>
      <c r="AA6" s="302"/>
    </row>
    <row r="7" spans="1:27">
      <c r="A7" s="302"/>
      <c r="B7" s="302"/>
      <c r="C7" s="302"/>
      <c r="D7" s="417" t="str">
        <f>RIIO_2_start_date-1&amp;"/"&amp;RIGHT(RIIO_2_start_date,2)</f>
        <v>2023/24</v>
      </c>
      <c r="E7" s="417" t="str">
        <f>RIIO_2_start_date&amp;"/"&amp;RIGHT(RIIO_2_start_date+1,2)</f>
        <v>2024/25</v>
      </c>
      <c r="F7" s="417" t="str">
        <f>RIIO_2_start_date+1&amp;"/"&amp;RIGHT(RIIO_2_start_date+2,2)</f>
        <v>2025/26</v>
      </c>
      <c r="G7" s="417" t="str">
        <f>RIIO_2_start_date+2&amp;"/"&amp;RIGHT(RIIO_2_start_date+3,2)</f>
        <v>2026/27</v>
      </c>
      <c r="H7" s="521" t="str">
        <f>RIIO_2_start_date+3&amp;"/"&amp;RIGHT(RIIO_2_start_date+4,2)</f>
        <v>2027/28</v>
      </c>
      <c r="I7" s="302"/>
      <c r="J7" s="302"/>
      <c r="K7" s="302"/>
      <c r="L7" s="302"/>
      <c r="M7" s="302"/>
      <c r="N7" s="302"/>
      <c r="O7" s="302"/>
      <c r="P7" s="302"/>
      <c r="Q7" s="302"/>
      <c r="R7" s="302"/>
      <c r="S7" s="302"/>
      <c r="T7" s="302"/>
      <c r="U7" s="302"/>
      <c r="V7" s="302"/>
      <c r="W7" s="302"/>
      <c r="X7" s="302"/>
      <c r="Y7" s="302"/>
      <c r="Z7" s="302"/>
      <c r="AA7" s="302"/>
    </row>
    <row r="8" spans="1:27">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row>
    <row r="9" spans="1:27">
      <c r="B9" s="522" t="s">
        <v>685</v>
      </c>
      <c r="C9" s="29" t="s">
        <v>513</v>
      </c>
      <c r="D9" s="550">
        <v>40.0658533886171</v>
      </c>
      <c r="E9" s="550">
        <v>46.782679940000001</v>
      </c>
      <c r="F9" s="550">
        <v>41.628411960000008</v>
      </c>
      <c r="G9" s="550">
        <v>40.172096630000013</v>
      </c>
      <c r="H9" s="550">
        <v>39.523854410000006</v>
      </c>
      <c r="I9" s="302"/>
      <c r="J9" s="302"/>
    </row>
    <row r="10" spans="1:27">
      <c r="B10" s="391"/>
      <c r="C10" s="29"/>
      <c r="D10" s="39"/>
      <c r="E10" s="39"/>
      <c r="F10" s="39"/>
      <c r="G10" s="39"/>
      <c r="H10" s="39"/>
      <c r="I10" s="302"/>
      <c r="J10" s="302"/>
    </row>
    <row r="11" spans="1:27">
      <c r="B11" s="391" t="s">
        <v>655</v>
      </c>
      <c r="C11" s="523"/>
      <c r="D11" s="524"/>
      <c r="E11" s="524"/>
      <c r="F11" s="524"/>
      <c r="G11" s="524"/>
      <c r="H11" s="524"/>
      <c r="I11" s="302"/>
      <c r="J11" s="302"/>
    </row>
    <row r="12" spans="1:27">
      <c r="B12" s="525" t="s">
        <v>687</v>
      </c>
      <c r="C12" s="29" t="s">
        <v>513</v>
      </c>
      <c r="D12" s="550">
        <v>0</v>
      </c>
      <c r="E12" s="550">
        <v>0</v>
      </c>
      <c r="F12" s="550">
        <v>0</v>
      </c>
      <c r="G12" s="550">
        <v>0</v>
      </c>
      <c r="H12" s="550">
        <v>0</v>
      </c>
      <c r="I12" s="302"/>
      <c r="J12" s="302"/>
    </row>
    <row r="13" spans="1:27">
      <c r="B13" s="525" t="s">
        <v>688</v>
      </c>
      <c r="C13" s="29" t="s">
        <v>513</v>
      </c>
      <c r="D13" s="550">
        <v>0</v>
      </c>
      <c r="E13" s="550">
        <v>0</v>
      </c>
      <c r="F13" s="550">
        <v>0</v>
      </c>
      <c r="G13" s="550">
        <v>0</v>
      </c>
      <c r="H13" s="550">
        <v>0</v>
      </c>
      <c r="I13" s="302"/>
      <c r="J13" s="302"/>
    </row>
    <row r="14" spans="1:27">
      <c r="B14" s="525" t="s">
        <v>689</v>
      </c>
      <c r="C14" s="29" t="s">
        <v>513</v>
      </c>
      <c r="D14" s="550">
        <v>0</v>
      </c>
      <c r="E14" s="550">
        <v>0</v>
      </c>
      <c r="F14" s="550">
        <v>0</v>
      </c>
      <c r="G14" s="550">
        <v>0</v>
      </c>
      <c r="H14" s="550">
        <v>0</v>
      </c>
      <c r="I14" s="302"/>
      <c r="J14" s="302"/>
    </row>
    <row r="15" spans="1:27">
      <c r="B15" s="525" t="s">
        <v>690</v>
      </c>
      <c r="C15" s="29" t="s">
        <v>513</v>
      </c>
      <c r="D15" s="550">
        <v>0</v>
      </c>
      <c r="E15" s="550">
        <v>0</v>
      </c>
      <c r="F15" s="550">
        <v>0</v>
      </c>
      <c r="G15" s="550">
        <v>0</v>
      </c>
      <c r="H15" s="550">
        <v>0</v>
      </c>
      <c r="I15" s="302"/>
      <c r="J15" s="302"/>
    </row>
    <row r="16" spans="1:27">
      <c r="B16" s="525" t="s">
        <v>691</v>
      </c>
      <c r="C16" s="29" t="s">
        <v>513</v>
      </c>
      <c r="D16" s="550">
        <v>0</v>
      </c>
      <c r="E16" s="550">
        <v>0</v>
      </c>
      <c r="F16" s="550">
        <v>0</v>
      </c>
      <c r="G16" s="550">
        <v>0</v>
      </c>
      <c r="H16" s="550">
        <v>0</v>
      </c>
      <c r="I16" s="302"/>
      <c r="J16" s="302"/>
    </row>
    <row r="17" spans="2:9">
      <c r="B17" s="525" t="s">
        <v>692</v>
      </c>
      <c r="C17" s="29" t="s">
        <v>513</v>
      </c>
      <c r="D17" s="550">
        <v>0</v>
      </c>
      <c r="E17" s="550">
        <v>0</v>
      </c>
      <c r="F17" s="550">
        <v>0</v>
      </c>
      <c r="G17" s="550">
        <v>0</v>
      </c>
      <c r="H17" s="550">
        <v>0</v>
      </c>
      <c r="I17" s="302"/>
    </row>
    <row r="18" spans="2:9">
      <c r="B18" s="525" t="s">
        <v>693</v>
      </c>
      <c r="C18" s="29" t="s">
        <v>513</v>
      </c>
      <c r="D18" s="550">
        <v>-0.94899999999999995</v>
      </c>
      <c r="E18" s="550">
        <v>-1.1059999999999999</v>
      </c>
      <c r="F18" s="550">
        <v>-0.78200000000000003</v>
      </c>
      <c r="G18" s="550">
        <v>-0.78799999999999992</v>
      </c>
      <c r="H18" s="550">
        <v>-0.748</v>
      </c>
      <c r="I18" s="302"/>
    </row>
    <row r="19" spans="2:9" ht="12.75" customHeight="1">
      <c r="B19" s="525" t="s">
        <v>694</v>
      </c>
      <c r="C19" s="29" t="s">
        <v>513</v>
      </c>
      <c r="D19" s="550">
        <v>-6.7000000000000004E-2</v>
      </c>
      <c r="E19" s="550">
        <v>-7.0000000000000007E-2</v>
      </c>
      <c r="F19" s="550">
        <v>-7.0000000000000007E-2</v>
      </c>
      <c r="G19" s="550">
        <v>-5.0999999999999997E-2</v>
      </c>
      <c r="H19" s="550">
        <v>0</v>
      </c>
      <c r="I19" s="302"/>
    </row>
    <row r="20" spans="2:9">
      <c r="B20" s="525" t="s">
        <v>934</v>
      </c>
      <c r="C20" s="29" t="s">
        <v>513</v>
      </c>
      <c r="D20" s="550">
        <v>2.0910000000000002</v>
      </c>
      <c r="E20" s="550">
        <v>1.8959999999999999</v>
      </c>
      <c r="F20" s="550">
        <v>1.5029999999999999</v>
      </c>
      <c r="G20" s="550">
        <v>2.214</v>
      </c>
      <c r="H20" s="550">
        <v>1.774</v>
      </c>
      <c r="I20" s="302"/>
    </row>
    <row r="21" spans="2:9">
      <c r="B21" s="525" t="s">
        <v>918</v>
      </c>
      <c r="C21" s="29" t="s">
        <v>513</v>
      </c>
      <c r="D21" s="550">
        <v>-0.19336392000000002</v>
      </c>
      <c r="E21" s="550">
        <v>-0.16067994000000002</v>
      </c>
      <c r="F21" s="550">
        <v>-0.10741195999999997</v>
      </c>
      <c r="G21" s="550">
        <v>-6.8096629999999991E-2</v>
      </c>
      <c r="H21" s="550">
        <v>-3.8854410000000006E-2</v>
      </c>
      <c r="I21" s="302"/>
    </row>
    <row r="22" spans="2:9">
      <c r="B22" s="525" t="s">
        <v>695</v>
      </c>
      <c r="C22" s="29" t="s">
        <v>513</v>
      </c>
      <c r="D22" s="550">
        <v>0</v>
      </c>
      <c r="E22" s="550">
        <v>0</v>
      </c>
      <c r="F22" s="550">
        <v>0</v>
      </c>
      <c r="G22" s="550">
        <v>0</v>
      </c>
      <c r="H22" s="550">
        <v>0</v>
      </c>
      <c r="I22" s="302"/>
    </row>
    <row r="23" spans="2:9">
      <c r="B23" s="525" t="s">
        <v>695</v>
      </c>
      <c r="C23" s="29" t="s">
        <v>513</v>
      </c>
      <c r="D23" s="550">
        <v>0</v>
      </c>
      <c r="E23" s="550">
        <v>0</v>
      </c>
      <c r="F23" s="550">
        <v>0</v>
      </c>
      <c r="G23" s="550">
        <v>0</v>
      </c>
      <c r="H23" s="550">
        <v>0</v>
      </c>
      <c r="I23" s="302"/>
    </row>
    <row r="24" spans="2:9">
      <c r="B24" s="525" t="s">
        <v>695</v>
      </c>
      <c r="C24" s="29" t="s">
        <v>513</v>
      </c>
      <c r="D24" s="550">
        <v>0</v>
      </c>
      <c r="E24" s="550">
        <v>0</v>
      </c>
      <c r="F24" s="550">
        <v>0</v>
      </c>
      <c r="G24" s="550">
        <v>0</v>
      </c>
      <c r="H24" s="550">
        <v>0</v>
      </c>
      <c r="I24" s="302"/>
    </row>
    <row r="25" spans="2:9">
      <c r="B25" s="525" t="s">
        <v>695</v>
      </c>
      <c r="C25" s="29" t="s">
        <v>513</v>
      </c>
      <c r="D25" s="550">
        <v>0</v>
      </c>
      <c r="E25" s="550">
        <v>0</v>
      </c>
      <c r="F25" s="550">
        <v>0</v>
      </c>
      <c r="G25" s="550">
        <v>0</v>
      </c>
      <c r="H25" s="550">
        <v>0</v>
      </c>
      <c r="I25" s="302"/>
    </row>
    <row r="26" spans="2:9">
      <c r="B26" s="525" t="s">
        <v>695</v>
      </c>
      <c r="C26" s="29" t="s">
        <v>513</v>
      </c>
      <c r="D26" s="550">
        <v>0</v>
      </c>
      <c r="E26" s="550">
        <v>0</v>
      </c>
      <c r="F26" s="550">
        <v>0</v>
      </c>
      <c r="G26" s="550">
        <v>0</v>
      </c>
      <c r="H26" s="550">
        <v>0</v>
      </c>
      <c r="I26" s="302"/>
    </row>
    <row r="27" spans="2:9">
      <c r="B27" s="525" t="s">
        <v>695</v>
      </c>
      <c r="C27" s="29" t="s">
        <v>513</v>
      </c>
      <c r="D27" s="550">
        <v>0</v>
      </c>
      <c r="E27" s="550">
        <v>0</v>
      </c>
      <c r="F27" s="550">
        <v>0</v>
      </c>
      <c r="G27" s="550">
        <v>0</v>
      </c>
      <c r="H27" s="550">
        <v>0</v>
      </c>
      <c r="I27" s="302"/>
    </row>
    <row r="28" spans="2:9">
      <c r="B28" s="525" t="s">
        <v>695</v>
      </c>
      <c r="C28" s="29" t="s">
        <v>513</v>
      </c>
      <c r="D28" s="550">
        <v>0</v>
      </c>
      <c r="E28" s="550">
        <v>0</v>
      </c>
      <c r="F28" s="550">
        <v>0</v>
      </c>
      <c r="G28" s="550">
        <v>0</v>
      </c>
      <c r="H28" s="550">
        <v>0</v>
      </c>
      <c r="I28" s="302"/>
    </row>
    <row r="29" spans="2:9">
      <c r="B29" s="526" t="s">
        <v>559</v>
      </c>
      <c r="C29" s="29" t="s">
        <v>513</v>
      </c>
      <c r="D29" s="26">
        <f>SUM(D9,D12:D28)</f>
        <v>40.9474894686171</v>
      </c>
      <c r="E29" s="27">
        <f t="shared" ref="E29:H29" si="2">SUM(E9,E12:E28)</f>
        <v>47.341999999999999</v>
      </c>
      <c r="F29" s="27">
        <f t="shared" si="2"/>
        <v>42.172000000000011</v>
      </c>
      <c r="G29" s="27">
        <f t="shared" si="2"/>
        <v>41.479000000000013</v>
      </c>
      <c r="H29" s="27">
        <f t="shared" si="2"/>
        <v>40.51100000000001</v>
      </c>
      <c r="I29" s="302"/>
    </row>
    <row r="30" spans="2:9" ht="14">
      <c r="B30" s="527" t="s">
        <v>656</v>
      </c>
      <c r="C30" s="29" t="s">
        <v>513</v>
      </c>
      <c r="D30" s="506"/>
      <c r="E30" s="528">
        <v>8.0182559999999974</v>
      </c>
      <c r="F30" s="528">
        <v>33.268000000000001</v>
      </c>
      <c r="G30" s="528">
        <v>45.755000000000003</v>
      </c>
      <c r="H30" s="528">
        <v>58.790000000000006</v>
      </c>
      <c r="I30" s="302"/>
    </row>
    <row r="31" spans="2:9">
      <c r="B31" s="737" t="s">
        <v>657</v>
      </c>
      <c r="C31" s="29" t="s">
        <v>513</v>
      </c>
      <c r="D31" s="26">
        <f>SUM(D29:D30)</f>
        <v>40.9474894686171</v>
      </c>
      <c r="E31" s="27">
        <f t="shared" ref="E31:H31" si="3">SUM(E29:E30)</f>
        <v>55.360255999999993</v>
      </c>
      <c r="F31" s="27">
        <f t="shared" si="3"/>
        <v>75.440000000000012</v>
      </c>
      <c r="G31" s="27">
        <f t="shared" si="3"/>
        <v>87.234000000000009</v>
      </c>
      <c r="H31" s="27">
        <f t="shared" si="3"/>
        <v>99.301000000000016</v>
      </c>
      <c r="I31" s="302"/>
    </row>
    <row r="32" spans="2:9">
      <c r="B32" s="79" t="s">
        <v>658</v>
      </c>
      <c r="C32" s="29" t="s">
        <v>513</v>
      </c>
      <c r="D32" s="528">
        <v>38.245745468617102</v>
      </c>
      <c r="E32" s="528">
        <v>47.459999999999994</v>
      </c>
      <c r="F32" s="528">
        <v>72.570999999999998</v>
      </c>
      <c r="G32" s="528">
        <v>83.667000000000002</v>
      </c>
      <c r="H32" s="528">
        <v>99.253000000000014</v>
      </c>
      <c r="I32" s="302"/>
    </row>
    <row r="33" spans="2:11">
      <c r="B33" s="79" t="s">
        <v>659</v>
      </c>
      <c r="C33" s="29" t="s">
        <v>513</v>
      </c>
      <c r="D33" s="528">
        <v>2.7017440000000001</v>
      </c>
      <c r="E33" s="528">
        <v>7.9002559999999997</v>
      </c>
      <c r="F33" s="528">
        <v>2.8690000000000002</v>
      </c>
      <c r="G33" s="528">
        <v>3.5670000000000002</v>
      </c>
      <c r="H33" s="528">
        <v>4.8000000000000001E-2</v>
      </c>
      <c r="I33" s="302"/>
    </row>
    <row r="34" spans="2:11">
      <c r="B34" s="79"/>
      <c r="D34" s="551" t="str">
        <f>IF(ABS(D31-SUM(D32:D33))&lt;Data!$F$7,"OK","ERROR")</f>
        <v>OK</v>
      </c>
      <c r="E34" s="552" t="str">
        <f>IF(ABS(E31-SUM(E32:E33))&lt;Data!$F$7,"OK","ERROR")</f>
        <v>OK</v>
      </c>
      <c r="F34" s="552" t="str">
        <f>IF(ABS(F31-SUM(F32:F33))&lt;Data!$F$7,"OK","ERROR")</f>
        <v>OK</v>
      </c>
      <c r="G34" s="552" t="str">
        <f>IF(ABS(G31-SUM(G32:G33))&lt;Data!$F$7,"OK","ERROR")</f>
        <v>OK</v>
      </c>
      <c r="H34" s="552" t="str">
        <f>IF(ABS(H31-SUM(H32:H33))&lt;Data!$F$7,"OK","ERROR")</f>
        <v>OK</v>
      </c>
      <c r="I34" s="302"/>
    </row>
    <row r="35" spans="2:11">
      <c r="D35" s="529"/>
      <c r="E35" s="529"/>
      <c r="F35" s="529"/>
      <c r="G35" s="529"/>
      <c r="H35" s="529"/>
      <c r="I35" s="302"/>
    </row>
    <row r="36" spans="2:11">
      <c r="B36" s="79" t="s">
        <v>660</v>
      </c>
      <c r="C36" s="29" t="s">
        <v>513</v>
      </c>
      <c r="D36" s="528">
        <v>0</v>
      </c>
      <c r="E36" s="528">
        <v>0</v>
      </c>
      <c r="F36" s="528">
        <v>0</v>
      </c>
      <c r="G36" s="528">
        <v>0</v>
      </c>
      <c r="H36" s="528">
        <v>0</v>
      </c>
      <c r="I36" s="302"/>
    </row>
    <row r="37" spans="2:11">
      <c r="D37" s="529"/>
      <c r="E37" s="529"/>
      <c r="F37" s="529"/>
      <c r="G37" s="529"/>
      <c r="H37" s="529"/>
      <c r="I37" s="302"/>
    </row>
    <row r="38" spans="2:11">
      <c r="B38" s="79" t="s">
        <v>661</v>
      </c>
      <c r="C38" s="29" t="s">
        <v>513</v>
      </c>
      <c r="D38" s="550">
        <v>90.886686252520633</v>
      </c>
      <c r="E38" s="550">
        <v>40.140550628284615</v>
      </c>
      <c r="F38" s="550">
        <v>24.919679349871913</v>
      </c>
      <c r="G38" s="550">
        <v>32.088977860249194</v>
      </c>
      <c r="H38" s="550">
        <v>38.624286484412707</v>
      </c>
      <c r="I38" s="302"/>
      <c r="K38" s="309"/>
    </row>
    <row r="39" spans="2:11">
      <c r="B39" s="79"/>
      <c r="C39" s="29"/>
      <c r="D39" s="530"/>
      <c r="E39" s="530"/>
      <c r="F39" s="530"/>
      <c r="G39" s="530"/>
      <c r="H39" s="530"/>
      <c r="I39" s="302"/>
      <c r="K39" s="309"/>
    </row>
    <row r="40" spans="2:11">
      <c r="B40" s="79" t="s">
        <v>662</v>
      </c>
      <c r="C40" s="29" t="s">
        <v>513</v>
      </c>
      <c r="D40" s="21">
        <f>D31-D38</f>
        <v>-49.939196783903533</v>
      </c>
      <c r="E40" s="21">
        <f t="shared" ref="E40:H40" si="4">E31-E38</f>
        <v>15.219705371715378</v>
      </c>
      <c r="F40" s="21">
        <f t="shared" si="4"/>
        <v>50.520320650128099</v>
      </c>
      <c r="G40" s="21">
        <f t="shared" si="4"/>
        <v>55.145022139750814</v>
      </c>
      <c r="H40" s="21">
        <f t="shared" si="4"/>
        <v>60.676713515587309</v>
      </c>
    </row>
    <row r="41" spans="2:11">
      <c r="B41" s="79"/>
      <c r="C41" s="29"/>
      <c r="D41" s="29"/>
      <c r="E41" s="29"/>
      <c r="F41" s="29"/>
      <c r="G41" s="29"/>
      <c r="H41" s="29"/>
      <c r="I41" s="29"/>
      <c r="K41" s="309"/>
    </row>
    <row r="42" spans="2:11">
      <c r="B42" s="531" t="s">
        <v>663</v>
      </c>
      <c r="C42" s="29" t="s">
        <v>664</v>
      </c>
      <c r="D42" s="553">
        <f t="shared" ref="D42:H42" si="5">INDEX(real_to_nominal_CF,MATCH(D$6,calendar_year,0))</f>
        <v>1.2806226704273584</v>
      </c>
      <c r="E42" s="553">
        <f t="shared" si="5"/>
        <v>1.3166427517353263</v>
      </c>
      <c r="F42" s="553">
        <f t="shared" si="5"/>
        <v>1.3372044808664936</v>
      </c>
      <c r="G42" s="553">
        <f t="shared" si="5"/>
        <v>1.3601375551943939</v>
      </c>
      <c r="H42" s="553">
        <f t="shared" si="5"/>
        <v>1.3864986444601943</v>
      </c>
      <c r="I42" s="29"/>
      <c r="K42" s="309"/>
    </row>
    <row r="43" spans="2:11">
      <c r="I43" s="428"/>
      <c r="J43" s="428"/>
      <c r="K43" s="428"/>
    </row>
    <row r="44" spans="2:11">
      <c r="B44" s="78" t="s">
        <v>662</v>
      </c>
      <c r="C44" s="436" t="str">
        <f>Data!$C$9</f>
        <v>£m 20/21</v>
      </c>
      <c r="D44" s="26">
        <f>D40/D42</f>
        <v>-38.996027430342345</v>
      </c>
      <c r="E44" s="27">
        <f t="shared" ref="E44:H44" si="6">E40/E42</f>
        <v>11.559479860163973</v>
      </c>
      <c r="F44" s="27">
        <f t="shared" si="6"/>
        <v>37.780549925611595</v>
      </c>
      <c r="G44" s="27">
        <f t="shared" si="6"/>
        <v>40.543709663151944</v>
      </c>
      <c r="H44" s="27">
        <f t="shared" si="6"/>
        <v>43.762548025577466</v>
      </c>
      <c r="I44" s="554">
        <f>SUM(D44:INDEX(D44:H44,0,MATCH('RFPR cover'!$C$9,$D$6:$H$6,0)))</f>
        <v>-38.996027430342345</v>
      </c>
      <c r="J44" s="555">
        <f>SUM(D44:H44)</f>
        <v>94.650260044162636</v>
      </c>
    </row>
    <row r="45" spans="2:11">
      <c r="B45" s="79"/>
      <c r="C45" s="428"/>
      <c r="D45" s="532"/>
      <c r="E45" s="532"/>
      <c r="F45" s="532"/>
      <c r="G45" s="532"/>
      <c r="H45" s="532"/>
      <c r="I45" s="533"/>
      <c r="J45" s="533"/>
    </row>
    <row r="46" spans="2:11">
      <c r="B46" s="78" t="s">
        <v>665</v>
      </c>
      <c r="C46" s="29"/>
      <c r="D46" s="532"/>
      <c r="E46" s="532"/>
      <c r="F46" s="532"/>
      <c r="G46" s="532"/>
      <c r="H46" s="532"/>
      <c r="I46" s="533"/>
      <c r="J46" s="533"/>
    </row>
    <row r="47" spans="2:11">
      <c r="B47" s="525" t="s">
        <v>696</v>
      </c>
      <c r="C47" s="29" t="s">
        <v>513</v>
      </c>
      <c r="D47" s="90">
        <v>0.94899999999999995</v>
      </c>
      <c r="E47" s="90">
        <v>1.1059999999999999</v>
      </c>
      <c r="F47" s="90">
        <v>0.78200000000000003</v>
      </c>
      <c r="G47" s="90">
        <v>0.78799999999999992</v>
      </c>
      <c r="H47" s="90">
        <v>0.748</v>
      </c>
      <c r="I47" s="554">
        <f>SUM(D47:INDEX(D47:H47,0,MATCH('RFPR cover'!$C$9,$D$6:$H$6,0)))</f>
        <v>0.94899999999999995</v>
      </c>
      <c r="J47" s="554">
        <f t="shared" ref="J47:J54" si="7">SUM(D47:H47)</f>
        <v>4.3729999999999993</v>
      </c>
    </row>
    <row r="48" spans="2:11" ht="14">
      <c r="B48" s="525" t="s">
        <v>666</v>
      </c>
      <c r="C48" s="29" t="s">
        <v>513</v>
      </c>
      <c r="D48" s="506"/>
      <c r="E48" s="528">
        <v>0</v>
      </c>
      <c r="F48" s="528">
        <v>0.3</v>
      </c>
      <c r="G48" s="528">
        <v>0.5</v>
      </c>
      <c r="H48" s="528">
        <v>0.7</v>
      </c>
      <c r="I48" s="554">
        <f>SUM(D48:INDEX(D48:H48,0,MATCH('RFPR cover'!$C$9,$D$6:$H$6,0)))</f>
        <v>0</v>
      </c>
      <c r="J48" s="554">
        <f t="shared" si="7"/>
        <v>1.5</v>
      </c>
    </row>
    <row r="49" spans="1:11">
      <c r="B49" s="525" t="s">
        <v>697</v>
      </c>
      <c r="C49" s="29" t="s">
        <v>513</v>
      </c>
      <c r="D49" s="90">
        <v>0</v>
      </c>
      <c r="E49" s="90">
        <v>0</v>
      </c>
      <c r="F49" s="90">
        <v>0</v>
      </c>
      <c r="G49" s="90">
        <v>0</v>
      </c>
      <c r="H49" s="90">
        <v>0</v>
      </c>
      <c r="I49" s="554">
        <f>SUM(D49:INDEX(D49:H49,0,MATCH('RFPR cover'!$C$9,$D$6:$H$6,0)))</f>
        <v>0</v>
      </c>
      <c r="J49" s="554">
        <f t="shared" si="7"/>
        <v>0</v>
      </c>
    </row>
    <row r="50" spans="1:11">
      <c r="B50" s="525" t="s">
        <v>698</v>
      </c>
      <c r="C50" s="29" t="s">
        <v>513</v>
      </c>
      <c r="D50" s="90">
        <v>0</v>
      </c>
      <c r="E50" s="90">
        <v>0</v>
      </c>
      <c r="F50" s="90">
        <v>0</v>
      </c>
      <c r="G50" s="90">
        <v>0</v>
      </c>
      <c r="H50" s="90">
        <v>0</v>
      </c>
      <c r="I50" s="554">
        <f>SUM(D50:INDEX(D50:H50,0,MATCH('RFPR cover'!$C$9,$D$6:$H$6,0)))</f>
        <v>0</v>
      </c>
      <c r="J50" s="554">
        <f t="shared" si="7"/>
        <v>0</v>
      </c>
    </row>
    <row r="51" spans="1:11">
      <c r="B51" s="525" t="s">
        <v>695</v>
      </c>
      <c r="C51" s="29" t="s">
        <v>513</v>
      </c>
      <c r="D51" s="90">
        <v>0</v>
      </c>
      <c r="E51" s="90">
        <v>0</v>
      </c>
      <c r="F51" s="90">
        <v>0</v>
      </c>
      <c r="G51" s="90">
        <v>0</v>
      </c>
      <c r="H51" s="90">
        <v>0</v>
      </c>
      <c r="I51" s="554">
        <f>SUM(D51:INDEX(D51:H51,0,MATCH('RFPR cover'!$C$9,$D$6:$H$6,0)))</f>
        <v>0</v>
      </c>
      <c r="J51" s="554">
        <f t="shared" si="7"/>
        <v>0</v>
      </c>
    </row>
    <row r="52" spans="1:11">
      <c r="B52" s="525" t="s">
        <v>695</v>
      </c>
      <c r="C52" s="29" t="s">
        <v>513</v>
      </c>
      <c r="D52" s="90">
        <v>0</v>
      </c>
      <c r="E52" s="90">
        <v>0</v>
      </c>
      <c r="F52" s="90">
        <v>0</v>
      </c>
      <c r="G52" s="90">
        <v>0</v>
      </c>
      <c r="H52" s="90">
        <v>0</v>
      </c>
      <c r="I52" s="554">
        <f>SUM(D52:INDEX(D52:H52,0,MATCH('RFPR cover'!$C$9,$D$6:$H$6,0)))</f>
        <v>0</v>
      </c>
      <c r="J52" s="554">
        <f t="shared" si="7"/>
        <v>0</v>
      </c>
    </row>
    <row r="53" spans="1:11">
      <c r="B53" s="525" t="s">
        <v>695</v>
      </c>
      <c r="C53" s="29" t="s">
        <v>513</v>
      </c>
      <c r="D53" s="90">
        <v>0</v>
      </c>
      <c r="E53" s="90">
        <v>0</v>
      </c>
      <c r="F53" s="90">
        <v>0</v>
      </c>
      <c r="G53" s="90">
        <v>0</v>
      </c>
      <c r="H53" s="90">
        <v>0</v>
      </c>
      <c r="I53" s="554">
        <f>SUM(D53:INDEX(D53:H53,0,MATCH('RFPR cover'!$C$9,$D$6:$H$6,0)))</f>
        <v>0</v>
      </c>
      <c r="J53" s="554">
        <f t="shared" si="7"/>
        <v>0</v>
      </c>
    </row>
    <row r="54" spans="1:11">
      <c r="B54" s="525" t="s">
        <v>695</v>
      </c>
      <c r="C54" s="29" t="s">
        <v>513</v>
      </c>
      <c r="D54" s="90">
        <v>0</v>
      </c>
      <c r="E54" s="90">
        <v>0</v>
      </c>
      <c r="F54" s="90">
        <v>0</v>
      </c>
      <c r="G54" s="90">
        <v>0</v>
      </c>
      <c r="H54" s="90">
        <v>0</v>
      </c>
      <c r="I54" s="554">
        <f>SUM(D54:INDEX(D54:H54,0,MATCH('RFPR cover'!$C$9,$D$6:$H$6,0)))</f>
        <v>0</v>
      </c>
      <c r="J54" s="554">
        <f t="shared" si="7"/>
        <v>0</v>
      </c>
    </row>
    <row r="55" spans="1:11">
      <c r="A55" s="534"/>
      <c r="B55" s="535"/>
      <c r="C55" s="89"/>
      <c r="D55" s="536"/>
      <c r="E55" s="536"/>
      <c r="F55" s="536"/>
      <c r="G55" s="536"/>
      <c r="H55" s="536"/>
      <c r="I55" s="537"/>
      <c r="J55" s="537"/>
      <c r="K55" s="534"/>
    </row>
    <row r="56" spans="1:11">
      <c r="B56" s="538" t="s">
        <v>667</v>
      </c>
      <c r="C56" s="40" t="s">
        <v>513</v>
      </c>
      <c r="D56" s="26">
        <f>SUM(D47:D54)</f>
        <v>0.94899999999999995</v>
      </c>
      <c r="E56" s="26">
        <f t="shared" ref="E56:H56" si="8">SUM(E47:E54)</f>
        <v>1.1059999999999999</v>
      </c>
      <c r="F56" s="26">
        <f t="shared" si="8"/>
        <v>1.0820000000000001</v>
      </c>
      <c r="G56" s="26">
        <f t="shared" si="8"/>
        <v>1.2879999999999998</v>
      </c>
      <c r="H56" s="26">
        <f t="shared" si="8"/>
        <v>1.448</v>
      </c>
      <c r="I56" s="554">
        <f>SUM(D56:INDEX(D56:H56,0,MATCH('RFPR cover'!$C$9,$D$6:$H$6,0)))</f>
        <v>0.94899999999999995</v>
      </c>
      <c r="J56" s="555">
        <f>SUM(D56:H56)</f>
        <v>5.8729999999999993</v>
      </c>
    </row>
    <row r="57" spans="1:11">
      <c r="B57" s="538" t="s">
        <v>667</v>
      </c>
      <c r="C57" s="436" t="str">
        <f>Data!$C$9</f>
        <v>£m 20/21</v>
      </c>
      <c r="D57" s="26">
        <f>D56/D42</f>
        <v>0.74104575993747468</v>
      </c>
      <c r="E57" s="26">
        <f t="shared" ref="E57:H57" si="9">E56/E42</f>
        <v>0.84001525739787752</v>
      </c>
      <c r="F57" s="26">
        <f t="shared" si="9"/>
        <v>0.8091507435713019</v>
      </c>
      <c r="G57" s="26">
        <f t="shared" si="9"/>
        <v>0.9469630443487872</v>
      </c>
      <c r="H57" s="26">
        <f t="shared" si="9"/>
        <v>1.0443573138607358</v>
      </c>
      <c r="I57" s="554">
        <f>SUM(D57:INDEX(D57:H57,0,MATCH('RFPR cover'!$C$9,$D$6:$H$6,0)))</f>
        <v>0.74104575993747468</v>
      </c>
      <c r="J57" s="555">
        <f>SUM(D57:H57)</f>
        <v>4.3815321191161765</v>
      </c>
    </row>
    <row r="58" spans="1:11">
      <c r="B58" s="79"/>
      <c r="C58" s="428"/>
      <c r="D58" s="532"/>
      <c r="E58" s="532"/>
      <c r="F58" s="532"/>
      <c r="G58" s="532"/>
      <c r="H58" s="532"/>
      <c r="I58" s="533"/>
      <c r="J58" s="533"/>
    </row>
    <row r="59" spans="1:11">
      <c r="A59" s="427"/>
      <c r="B59" s="302"/>
      <c r="C59" s="302"/>
      <c r="D59" s="302"/>
      <c r="E59" s="302"/>
      <c r="F59" s="302"/>
      <c r="G59" s="302"/>
      <c r="H59" s="302"/>
      <c r="I59" s="302"/>
      <c r="J59" s="302"/>
      <c r="K59" s="302"/>
    </row>
    <row r="60" spans="1:11">
      <c r="A60" s="427"/>
      <c r="B60" s="539" t="s">
        <v>668</v>
      </c>
      <c r="C60" s="356"/>
      <c r="D60" s="356"/>
      <c r="E60" s="356"/>
      <c r="F60" s="356"/>
      <c r="G60" s="356"/>
      <c r="H60" s="356"/>
      <c r="I60" s="356"/>
      <c r="J60" s="356"/>
      <c r="K60" s="356"/>
    </row>
    <row r="61" spans="1:11">
      <c r="A61" s="427"/>
      <c r="B61" s="540" t="s">
        <v>669</v>
      </c>
      <c r="C61" s="541"/>
      <c r="D61" s="541"/>
      <c r="E61" s="541"/>
      <c r="F61" s="541"/>
      <c r="G61" s="541"/>
      <c r="H61" s="541"/>
      <c r="I61" s="541"/>
      <c r="J61" s="541"/>
      <c r="K61" s="541"/>
    </row>
    <row r="62" spans="1:11">
      <c r="A62" s="427"/>
      <c r="B62" s="302"/>
      <c r="C62" s="302"/>
      <c r="D62" s="302"/>
      <c r="E62" s="302"/>
      <c r="F62" s="302"/>
      <c r="G62" s="302"/>
      <c r="H62" s="302"/>
      <c r="I62" s="302"/>
      <c r="J62" s="302"/>
      <c r="K62" s="302"/>
    </row>
    <row r="63" spans="1:11">
      <c r="B63" s="79" t="s">
        <v>24</v>
      </c>
      <c r="C63" s="428" t="s">
        <v>477</v>
      </c>
      <c r="D63" s="91">
        <f>Data!$C$8</f>
        <v>0.6</v>
      </c>
      <c r="E63" s="92">
        <f>Data!$C$8</f>
        <v>0.6</v>
      </c>
      <c r="F63" s="92">
        <f>Data!$C$8</f>
        <v>0.6</v>
      </c>
      <c r="G63" s="92">
        <f>Data!$C$8</f>
        <v>0.6</v>
      </c>
      <c r="H63" s="92">
        <f>Data!$C$8</f>
        <v>0.6</v>
      </c>
      <c r="I63" s="302"/>
      <c r="K63" s="309"/>
    </row>
    <row r="64" spans="1:11">
      <c r="B64" s="79" t="s">
        <v>670</v>
      </c>
      <c r="C64" s="428" t="s">
        <v>477</v>
      </c>
      <c r="D64" s="92">
        <f>'R6 - Net Debt'!D75</f>
        <v>0.48120396437699753</v>
      </c>
      <c r="E64" s="92">
        <f>'R6 - Net Debt'!E75</f>
        <v>0.5144732972150734</v>
      </c>
      <c r="F64" s="92">
        <f>'R6 - Net Debt'!F75</f>
        <v>0.5407596307098661</v>
      </c>
      <c r="G64" s="92">
        <f>'R6 - Net Debt'!G75</f>
        <v>0.5960934832512933</v>
      </c>
      <c r="H64" s="92">
        <f>'R6 - Net Debt'!H75</f>
        <v>0.59526963583331205</v>
      </c>
      <c r="I64" s="302"/>
      <c r="K64" s="309"/>
    </row>
    <row r="65" spans="2:12">
      <c r="B65" s="79"/>
      <c r="C65" s="428"/>
      <c r="D65" s="428"/>
      <c r="E65" s="428"/>
      <c r="F65" s="428"/>
      <c r="G65" s="428"/>
      <c r="H65" s="428"/>
      <c r="I65" s="302"/>
      <c r="K65" s="309"/>
    </row>
    <row r="66" spans="2:12">
      <c r="B66" s="79" t="s">
        <v>671</v>
      </c>
      <c r="C66" s="29" t="s">
        <v>513</v>
      </c>
      <c r="D66" s="18">
        <f t="shared" ref="D66:H66" si="10">D40</f>
        <v>-49.939196783903533</v>
      </c>
      <c r="E66" s="19">
        <f t="shared" si="10"/>
        <v>15.219705371715378</v>
      </c>
      <c r="F66" s="19">
        <f t="shared" si="10"/>
        <v>50.520320650128099</v>
      </c>
      <c r="G66" s="19">
        <f t="shared" si="10"/>
        <v>55.145022139750814</v>
      </c>
      <c r="H66" s="19">
        <f t="shared" si="10"/>
        <v>60.676713515587309</v>
      </c>
    </row>
    <row r="67" spans="2:12">
      <c r="B67" s="79" t="s">
        <v>672</v>
      </c>
      <c r="C67" s="29" t="s">
        <v>513</v>
      </c>
      <c r="D67" s="18">
        <f>((D63-D64)/D64)*D66</f>
        <v>-12.328615388290682</v>
      </c>
      <c r="E67" s="18">
        <f t="shared" ref="E67:H67" si="11">((E63-E64)/E64)*E66</f>
        <v>2.5301434007306409</v>
      </c>
      <c r="F67" s="18">
        <f t="shared" si="11"/>
        <v>5.5345153040377664</v>
      </c>
      <c r="G67" s="18">
        <f t="shared" si="11"/>
        <v>0.36139457761178229</v>
      </c>
      <c r="H67" s="18">
        <f t="shared" si="11"/>
        <v>0.48217300881595065</v>
      </c>
      <c r="K67" s="309"/>
    </row>
    <row r="68" spans="2:12">
      <c r="B68" s="79" t="s">
        <v>673</v>
      </c>
      <c r="C68" s="29" t="s">
        <v>513</v>
      </c>
      <c r="D68" s="21">
        <f>SUM(D66:D67)</f>
        <v>-62.267812172194212</v>
      </c>
      <c r="E68" s="22">
        <f t="shared" ref="E68:H68" si="12">SUM(E66:E67)</f>
        <v>17.749848772446018</v>
      </c>
      <c r="F68" s="22">
        <f t="shared" si="12"/>
        <v>56.054835954165867</v>
      </c>
      <c r="G68" s="22">
        <f t="shared" si="12"/>
        <v>55.506416717362598</v>
      </c>
      <c r="H68" s="22">
        <f t="shared" si="12"/>
        <v>61.158886524403258</v>
      </c>
    </row>
    <row r="69" spans="2:12">
      <c r="B69" s="79"/>
      <c r="C69" s="29"/>
      <c r="D69" s="29"/>
      <c r="E69" s="29"/>
      <c r="F69" s="29"/>
      <c r="G69" s="29"/>
      <c r="H69" s="29"/>
      <c r="I69" s="29"/>
      <c r="J69" s="29"/>
      <c r="K69" s="29"/>
      <c r="L69" s="29"/>
    </row>
    <row r="70" spans="2:12">
      <c r="B70" s="78" t="s">
        <v>673</v>
      </c>
      <c r="C70" s="436" t="str">
        <f>Data!$C$9</f>
        <v>£m 20/21</v>
      </c>
      <c r="D70" s="26">
        <f t="shared" ref="D70:H70" si="13">D68/D42</f>
        <v>-48.623075016636029</v>
      </c>
      <c r="E70" s="27">
        <f t="shared" si="13"/>
        <v>13.48114266307382</v>
      </c>
      <c r="F70" s="27">
        <f t="shared" si="13"/>
        <v>41.919419771793585</v>
      </c>
      <c r="G70" s="27">
        <f t="shared" si="13"/>
        <v>40.809414095936418</v>
      </c>
      <c r="H70" s="27">
        <f t="shared" si="13"/>
        <v>44.110311083797889</v>
      </c>
      <c r="I70" s="554">
        <f>SUM(D70:INDEX(D70:H70,0,MATCH('RFPR cover'!$C$9,$D$6:$H$6,0)))</f>
        <v>-48.623075016636029</v>
      </c>
      <c r="J70" s="555">
        <f>SUM(D70:H70)</f>
        <v>91.697212597965688</v>
      </c>
    </row>
    <row r="71" spans="2:12">
      <c r="B71" s="79" t="s">
        <v>674</v>
      </c>
      <c r="C71" s="428" t="str">
        <f>Data!$C$9</f>
        <v>£m 20/21</v>
      </c>
      <c r="D71" s="18">
        <f>D57*((D63-D64)/D64)+D57</f>
        <v>0.92398959459557362</v>
      </c>
      <c r="E71" s="18">
        <f t="shared" ref="E71:H71" si="14">E57*((E63-E64)/E64)+E57</f>
        <v>0.97966047444446391</v>
      </c>
      <c r="F71" s="18">
        <f t="shared" si="14"/>
        <v>0.89779343459027816</v>
      </c>
      <c r="G71" s="18">
        <f t="shared" si="14"/>
        <v>0.95316899542373845</v>
      </c>
      <c r="H71" s="18">
        <f t="shared" si="14"/>
        <v>1.0526563940041225</v>
      </c>
      <c r="I71" s="556">
        <f>SUM(D71:INDEX(D71:H71,0,MATCH('RFPR cover'!$C$9,$D$6:$H$6,0)))</f>
        <v>0.92398959459557362</v>
      </c>
      <c r="J71" s="557">
        <f>SUM(D71:H71)</f>
        <v>4.8072688930581764</v>
      </c>
      <c r="K71" s="428"/>
    </row>
    <row r="72" spans="2:12"/>
    <row r="73" spans="2:12">
      <c r="B73" s="542" t="s">
        <v>675</v>
      </c>
      <c r="C73" s="543"/>
      <c r="D73" s="543"/>
      <c r="E73" s="543"/>
      <c r="F73" s="543"/>
      <c r="G73" s="543"/>
      <c r="H73" s="543"/>
      <c r="I73" s="543"/>
      <c r="J73" s="543"/>
      <c r="K73" s="543"/>
      <c r="L73" s="428"/>
    </row>
    <row r="74" spans="2:12">
      <c r="B74" s="453"/>
      <c r="C74" s="428"/>
      <c r="D74" s="428"/>
      <c r="E74" s="428"/>
      <c r="F74" s="428"/>
      <c r="G74" s="428"/>
      <c r="H74" s="428"/>
      <c r="I74" s="428"/>
      <c r="J74" s="428"/>
      <c r="K74" s="428"/>
      <c r="L74" s="428"/>
    </row>
    <row r="75" spans="2:12">
      <c r="B75" s="540" t="s">
        <v>676</v>
      </c>
      <c r="C75" s="544"/>
      <c r="D75" s="544"/>
      <c r="E75" s="544"/>
      <c r="F75" s="544"/>
      <c r="G75" s="544"/>
      <c r="H75" s="544"/>
      <c r="I75" s="544"/>
      <c r="J75" s="544"/>
      <c r="K75" s="544"/>
      <c r="L75" s="428"/>
    </row>
    <row r="76" spans="2:12">
      <c r="B76" s="545"/>
      <c r="C76" s="545"/>
      <c r="D76" s="545"/>
      <c r="E76" s="545"/>
      <c r="F76" s="545"/>
      <c r="G76" s="545"/>
      <c r="H76" s="545"/>
      <c r="I76" s="545"/>
      <c r="J76" s="545"/>
      <c r="K76" s="545"/>
      <c r="L76" s="428"/>
    </row>
    <row r="77" spans="2:12">
      <c r="B77" s="79" t="s">
        <v>677</v>
      </c>
      <c r="C77" s="428" t="str">
        <f>Data!$C$9</f>
        <v>£m 20/21</v>
      </c>
      <c r="D77" s="482">
        <f>'R7 - RAV'!F43</f>
        <v>37.089890927854753</v>
      </c>
      <c r="E77" s="482">
        <f>'R7 - RAV'!G43</f>
        <v>39.328550437117919</v>
      </c>
      <c r="F77" s="482">
        <f>'R7 - RAV'!H43</f>
        <v>41.88368011357727</v>
      </c>
      <c r="G77" s="482">
        <f>'R7 - RAV'!I43</f>
        <v>43.926421522961476</v>
      </c>
      <c r="H77" s="482">
        <f>'R7 - RAV'!J43</f>
        <v>46.266313469518835</v>
      </c>
      <c r="I77" s="545"/>
      <c r="J77" s="546"/>
      <c r="L77" s="428"/>
    </row>
    <row r="78" spans="2:12">
      <c r="B78" s="79"/>
      <c r="C78" s="428"/>
      <c r="D78" s="547"/>
      <c r="E78" s="547"/>
      <c r="F78" s="547"/>
      <c r="G78" s="547"/>
      <c r="H78" s="547"/>
      <c r="I78" s="545"/>
      <c r="J78" s="533"/>
      <c r="L78" s="428"/>
    </row>
    <row r="79" spans="2:12">
      <c r="B79" s="79"/>
      <c r="C79" s="428"/>
      <c r="D79" s="547"/>
      <c r="E79" s="548"/>
      <c r="F79" s="548"/>
      <c r="G79" s="548"/>
      <c r="H79" s="548"/>
      <c r="I79" s="533"/>
      <c r="J79" s="533"/>
      <c r="L79" s="428"/>
    </row>
    <row r="80" spans="2:12">
      <c r="B80" s="549" t="s">
        <v>678</v>
      </c>
      <c r="C80" s="543"/>
      <c r="D80" s="543"/>
      <c r="E80" s="543"/>
      <c r="F80" s="543"/>
      <c r="G80" s="543"/>
      <c r="H80" s="543"/>
      <c r="I80" s="543"/>
      <c r="J80" s="543"/>
      <c r="K80" s="543"/>
    </row>
    <row r="81" spans="2:11">
      <c r="B81" s="540" t="s">
        <v>679</v>
      </c>
      <c r="C81" s="541"/>
      <c r="D81" s="541"/>
      <c r="E81" s="541"/>
      <c r="F81" s="541"/>
      <c r="G81" s="541"/>
      <c r="H81" s="541"/>
      <c r="I81" s="541"/>
      <c r="J81" s="541"/>
      <c r="K81" s="541"/>
    </row>
    <row r="82" spans="2:11" ht="24.65" customHeight="1">
      <c r="B82" s="523" t="s">
        <v>680</v>
      </c>
      <c r="C82" s="428"/>
      <c r="D82" s="428"/>
      <c r="E82" s="428"/>
      <c r="F82" s="428"/>
      <c r="G82" s="428"/>
      <c r="H82" s="428"/>
      <c r="I82" s="428"/>
      <c r="J82" s="428"/>
      <c r="K82" s="428"/>
    </row>
    <row r="83" spans="2:11">
      <c r="B83" s="79" t="s">
        <v>681</v>
      </c>
      <c r="C83" s="428" t="str">
        <f>Data!$C$9</f>
        <v>£m 20/21</v>
      </c>
      <c r="D83" s="26">
        <f>D77-D44-D57</f>
        <v>75.344872598259613</v>
      </c>
      <c r="E83" s="26">
        <f>E77-E44-E57</f>
        <v>26.929055319556067</v>
      </c>
      <c r="F83" s="26">
        <f>F77-F44-F57</f>
        <v>3.2939794443943731</v>
      </c>
      <c r="G83" s="26">
        <f>G77-G44-G57</f>
        <v>2.4357488154607454</v>
      </c>
      <c r="H83" s="26">
        <f>H77-H44-H57</f>
        <v>1.4594081300806327</v>
      </c>
      <c r="I83" s="554">
        <f>SUM(D83:INDEX(D83:H83,0,MATCH('RFPR cover'!$C$9,$D$6:$H$6,0)))</f>
        <v>75.344872598259613</v>
      </c>
      <c r="J83" s="555">
        <f>SUM(D83:H83)</f>
        <v>109.46306430775142</v>
      </c>
      <c r="K83" s="428"/>
    </row>
    <row r="84" spans="2:11">
      <c r="B84" s="79"/>
      <c r="K84" s="428"/>
    </row>
    <row r="85" spans="2:11">
      <c r="B85" s="79" t="s">
        <v>682</v>
      </c>
      <c r="C85" s="428" t="str">
        <f>Data!$C$9</f>
        <v>£m 20/21</v>
      </c>
      <c r="D85" s="26">
        <f>D77-D70-D71</f>
        <v>84.788976349895208</v>
      </c>
      <c r="E85" s="26">
        <f>E77-E70-E71</f>
        <v>24.867747299599635</v>
      </c>
      <c r="F85" s="26">
        <f>F77-F70-F71</f>
        <v>-0.93353309280659291</v>
      </c>
      <c r="G85" s="26">
        <f>G77-G70-G71</f>
        <v>2.1638384316013197</v>
      </c>
      <c r="H85" s="26">
        <f>H77-H70-H71</f>
        <v>1.1033459917168233</v>
      </c>
      <c r="I85" s="554">
        <f>SUM(D85:INDEX(D85:H85,0,MATCH('RFPR cover'!$C$9,$D$6:$H$6,0)))</f>
        <v>84.788976349895208</v>
      </c>
      <c r="J85" s="555">
        <f>SUM(D85:H85)</f>
        <v>111.99037498000638</v>
      </c>
      <c r="K85" s="428"/>
    </row>
    <row r="86" spans="2:11">
      <c r="B86" s="79"/>
      <c r="K86" s="428"/>
    </row>
    <row r="87" spans="2:11">
      <c r="B87" s="79" t="s">
        <v>683</v>
      </c>
      <c r="C87" s="428" t="str">
        <f>Data!$C$9</f>
        <v>£m 20/21</v>
      </c>
      <c r="D87" s="26">
        <f>D83-D85</f>
        <v>-9.4441037516355948</v>
      </c>
      <c r="E87" s="26">
        <f t="shared" ref="E87:H87" si="15">E83-E85</f>
        <v>2.0613080199564315</v>
      </c>
      <c r="F87" s="26">
        <f t="shared" si="15"/>
        <v>4.2275125372009663</v>
      </c>
      <c r="G87" s="26">
        <f t="shared" si="15"/>
        <v>0.27191038385942568</v>
      </c>
      <c r="H87" s="26">
        <f t="shared" si="15"/>
        <v>0.3560621383638094</v>
      </c>
      <c r="I87" s="554">
        <f>SUM(D87:INDEX(D87:H87,0,MATCH('RFPR cover'!$C$9,$D$6:$H$6,0)))</f>
        <v>-9.4441037516355948</v>
      </c>
      <c r="J87" s="555">
        <f>SUM(D87:H87)</f>
        <v>-2.5273106722549619</v>
      </c>
      <c r="K87" s="428"/>
    </row>
    <row r="88" spans="2:11">
      <c r="K88" s="428"/>
    </row>
    <row r="89" spans="2:11">
      <c r="K89" s="428"/>
    </row>
    <row r="90" spans="2:11">
      <c r="K90" s="428"/>
    </row>
    <row r="91" spans="2:11">
      <c r="K91" s="428"/>
    </row>
    <row r="92" spans="2:11"/>
    <row r="93" spans="2:11"/>
    <row r="94" spans="2:11"/>
    <row r="95" spans="2:11"/>
    <row r="96" spans="2:11"/>
    <row r="97"/>
    <row r="98"/>
    <row r="99"/>
    <row r="100"/>
  </sheetData>
  <sheetProtection algorithmName="SHA-512" hashValue="Srf0oLG6UL4+Sszm6HpYIXtW+JmHab7ly+Hg1laLfRzmMGCDyMWfVxrJrBwvYRNyS9+iBYtyuD9tvjuKdFMa7w==" saltValue="Oo6AuskchqQGhyx4D0+Fow==" spinCount="100000" sheet="1" objects="1" scenarios="1"/>
  <conditionalFormatting sqref="D48">
    <cfRule type="expression" dxfId="31" priority="4">
      <formula>D$5="Forecast"</formula>
    </cfRule>
    <cfRule type="expression" dxfId="30" priority="5">
      <formula>C$12="N/A"</formula>
    </cfRule>
  </conditionalFormatting>
  <conditionalFormatting sqref="D30:H30">
    <cfRule type="expression" dxfId="29" priority="1">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85" zoomScaleNormal="85" workbookViewId="0"/>
  </sheetViews>
  <sheetFormatPr defaultColWidth="0" defaultRowHeight="13.5" zeroHeight="1"/>
  <cols>
    <col min="1" max="1" width="8.3828125" style="103" customWidth="1"/>
    <col min="2" max="2" width="85.765625" style="103" bestFit="1" customWidth="1"/>
    <col min="3" max="3" width="14.15234375" style="103" customWidth="1"/>
    <col min="4" max="8" width="11.15234375" style="103" customWidth="1"/>
    <col min="9" max="9" width="5" style="103" customWidth="1"/>
    <col min="10" max="10" width="12.84375" style="103" customWidth="1"/>
    <col min="11" max="23" width="9.23046875" style="103" customWidth="1"/>
    <col min="24" max="16384" width="9" style="103" hidden="1"/>
  </cols>
  <sheetData>
    <row r="1" spans="1:23" ht="20">
      <c r="A1" s="287" t="s">
        <v>265</v>
      </c>
      <c r="B1" s="289"/>
      <c r="C1" s="290"/>
      <c r="D1" s="290"/>
      <c r="E1" s="290"/>
      <c r="F1" s="290"/>
      <c r="G1" s="290"/>
      <c r="H1" s="290"/>
      <c r="I1" s="416"/>
    </row>
    <row r="2" spans="1:23" ht="20">
      <c r="A2" s="292" t="str">
        <f>Licensee</f>
        <v>NPgY</v>
      </c>
      <c r="B2" s="294"/>
      <c r="C2" s="295"/>
      <c r="D2" s="295"/>
      <c r="E2" s="295"/>
      <c r="F2" s="295"/>
      <c r="G2" s="295"/>
      <c r="H2" s="295"/>
      <c r="I2" s="297"/>
    </row>
    <row r="3" spans="1:23" ht="20">
      <c r="A3" s="514">
        <f>Reporting_Year</f>
        <v>2024</v>
      </c>
      <c r="B3" s="515" t="str">
        <f>'R5 - Financing'!B3</f>
        <v/>
      </c>
      <c r="C3" s="298"/>
      <c r="D3" s="298"/>
      <c r="E3" s="298"/>
      <c r="F3" s="298"/>
      <c r="G3" s="298"/>
      <c r="H3" s="298"/>
      <c r="I3" s="300"/>
    </row>
    <row r="4" spans="1:23" ht="12.75" customHeight="1">
      <c r="A4" s="516"/>
      <c r="B4" s="516"/>
      <c r="C4" s="516"/>
      <c r="D4" s="516"/>
      <c r="E4" s="516"/>
      <c r="F4" s="516"/>
      <c r="G4" s="516"/>
      <c r="H4" s="516"/>
      <c r="I4" s="517"/>
    </row>
    <row r="5" spans="1:23">
      <c r="A5" s="302"/>
      <c r="B5" s="440"/>
      <c r="C5" s="440"/>
      <c r="D5" s="301" t="str">
        <f t="shared" ref="D5:H5" si="0">IF(D6&lt;=Reporting_Year,"Actuals","Forecast")</f>
        <v>Actuals</v>
      </c>
      <c r="E5" s="301" t="str">
        <f t="shared" si="0"/>
        <v>Forecast</v>
      </c>
      <c r="F5" s="301" t="str">
        <f t="shared" si="0"/>
        <v>Forecast</v>
      </c>
      <c r="G5" s="301" t="str">
        <f t="shared" si="0"/>
        <v>Forecast</v>
      </c>
      <c r="H5" s="301" t="str">
        <f t="shared" si="0"/>
        <v>Forecast</v>
      </c>
      <c r="I5" s="302"/>
      <c r="J5" s="302"/>
      <c r="K5" s="302"/>
      <c r="L5" s="302"/>
      <c r="M5" s="302"/>
      <c r="N5" s="302"/>
      <c r="O5" s="302"/>
      <c r="P5" s="302"/>
      <c r="Q5" s="302"/>
      <c r="R5" s="302"/>
      <c r="S5" s="302"/>
      <c r="T5" s="302"/>
      <c r="U5" s="302"/>
      <c r="V5" s="302"/>
      <c r="W5" s="302"/>
    </row>
    <row r="6" spans="1:23">
      <c r="A6" s="302"/>
      <c r="B6" s="302"/>
      <c r="C6" s="302"/>
      <c r="D6" s="417">
        <f>'RFPR cover'!$C$6</f>
        <v>2024</v>
      </c>
      <c r="E6" s="418">
        <f>D6+1</f>
        <v>2025</v>
      </c>
      <c r="F6" s="418">
        <f t="shared" ref="F6:H6" si="1">E6+1</f>
        <v>2026</v>
      </c>
      <c r="G6" s="418">
        <f t="shared" si="1"/>
        <v>2027</v>
      </c>
      <c r="H6" s="418">
        <f t="shared" si="1"/>
        <v>2028</v>
      </c>
      <c r="I6" s="302"/>
      <c r="J6" s="302"/>
      <c r="K6" s="302"/>
      <c r="L6" s="302"/>
      <c r="M6" s="302"/>
      <c r="N6" s="302"/>
      <c r="O6" s="302"/>
      <c r="P6" s="302"/>
      <c r="Q6" s="302"/>
      <c r="R6" s="302"/>
      <c r="S6" s="302"/>
      <c r="T6" s="302"/>
      <c r="U6" s="302"/>
      <c r="V6" s="302"/>
      <c r="W6" s="302"/>
    </row>
    <row r="7" spans="1:23">
      <c r="A7" s="302"/>
      <c r="B7" s="302"/>
      <c r="C7" s="302"/>
      <c r="D7" s="417" t="str">
        <f>RIIO_2_start_date-1&amp;"/"&amp;RIGHT(RIIO_2_start_date,2)</f>
        <v>2023/24</v>
      </c>
      <c r="E7" s="417" t="str">
        <f>RIIO_2_start_date&amp;"/"&amp;RIGHT(RIIO_2_start_date+1,2)</f>
        <v>2024/25</v>
      </c>
      <c r="F7" s="417" t="str">
        <f>RIIO_2_start_date+1&amp;"/"&amp;RIGHT(RIIO_2_start_date+2,2)</f>
        <v>2025/26</v>
      </c>
      <c r="G7" s="417" t="str">
        <f>RIIO_2_start_date+2&amp;"/"&amp;RIGHT(RIIO_2_start_date+3,2)</f>
        <v>2026/27</v>
      </c>
      <c r="H7" s="521" t="str">
        <f>RIIO_2_start_date+3&amp;"/"&amp;RIGHT(RIIO_2_start_date+4,2)</f>
        <v>2027/28</v>
      </c>
      <c r="I7" s="302"/>
      <c r="J7" s="302"/>
      <c r="K7" s="302"/>
      <c r="L7" s="302"/>
      <c r="M7" s="302"/>
      <c r="N7" s="302"/>
      <c r="O7" s="302"/>
      <c r="P7" s="302"/>
      <c r="Q7" s="302"/>
      <c r="R7" s="302"/>
      <c r="S7" s="302"/>
      <c r="T7" s="302"/>
      <c r="U7" s="302"/>
      <c r="V7" s="302"/>
      <c r="W7" s="302"/>
    </row>
    <row r="8" spans="1:23">
      <c r="A8" s="302"/>
      <c r="B8" s="302"/>
      <c r="C8" s="302"/>
      <c r="D8" s="302"/>
      <c r="E8" s="302"/>
      <c r="F8" s="302"/>
      <c r="G8" s="302"/>
      <c r="H8" s="302"/>
      <c r="I8" s="302"/>
      <c r="J8" s="302"/>
      <c r="K8" s="302"/>
      <c r="L8" s="302"/>
      <c r="M8" s="302"/>
      <c r="N8" s="302"/>
      <c r="O8" s="302"/>
      <c r="P8" s="302"/>
      <c r="Q8" s="302"/>
      <c r="R8" s="302"/>
      <c r="S8" s="302"/>
      <c r="T8" s="302"/>
      <c r="U8" s="302"/>
      <c r="V8" s="302"/>
      <c r="W8" s="302"/>
    </row>
    <row r="9" spans="1:23">
      <c r="A9" s="302"/>
      <c r="B9" s="79" t="s">
        <v>699</v>
      </c>
      <c r="C9" s="29" t="s">
        <v>513</v>
      </c>
      <c r="D9" s="558">
        <v>0</v>
      </c>
      <c r="E9" s="565">
        <f>D11</f>
        <v>-0.51500000000000001</v>
      </c>
      <c r="F9" s="565">
        <f t="shared" ref="F9:H9" si="2">E11</f>
        <v>0</v>
      </c>
      <c r="G9" s="565">
        <f t="shared" si="2"/>
        <v>0</v>
      </c>
      <c r="H9" s="565">
        <f t="shared" si="2"/>
        <v>0</v>
      </c>
      <c r="I9" s="302"/>
      <c r="J9" s="302"/>
      <c r="K9" s="302"/>
      <c r="L9" s="302"/>
      <c r="M9" s="302"/>
      <c r="N9" s="302"/>
      <c r="O9" s="302"/>
      <c r="P9" s="302"/>
      <c r="Q9" s="302"/>
      <c r="R9" s="302"/>
      <c r="S9" s="302"/>
      <c r="T9" s="302"/>
      <c r="U9" s="302"/>
      <c r="V9" s="302"/>
      <c r="W9" s="302"/>
    </row>
    <row r="10" spans="1:23">
      <c r="A10" s="302"/>
      <c r="B10" s="79"/>
      <c r="C10" s="302"/>
      <c r="D10" s="302"/>
      <c r="E10" s="302"/>
      <c r="F10" s="302"/>
      <c r="G10" s="302"/>
      <c r="H10" s="302"/>
      <c r="I10" s="302"/>
      <c r="J10" s="302"/>
      <c r="K10" s="302"/>
      <c r="L10" s="302"/>
      <c r="M10" s="302"/>
      <c r="N10" s="302"/>
      <c r="O10" s="302"/>
      <c r="P10" s="302"/>
      <c r="Q10" s="302"/>
      <c r="R10" s="302"/>
      <c r="S10" s="302"/>
      <c r="T10" s="302"/>
      <c r="U10" s="302"/>
      <c r="V10" s="302"/>
      <c r="W10" s="302"/>
    </row>
    <row r="11" spans="1:23">
      <c r="B11" s="79" t="s">
        <v>700</v>
      </c>
      <c r="C11" s="29" t="s">
        <v>513</v>
      </c>
      <c r="D11" s="566">
        <v>-0.51500000000000001</v>
      </c>
      <c r="E11" s="566">
        <v>0</v>
      </c>
      <c r="F11" s="566">
        <v>0</v>
      </c>
      <c r="G11" s="566">
        <v>0</v>
      </c>
      <c r="H11" s="566">
        <v>0</v>
      </c>
    </row>
    <row r="12" spans="1:23">
      <c r="B12" s="310" t="s">
        <v>735</v>
      </c>
      <c r="C12" s="29" t="s">
        <v>513</v>
      </c>
      <c r="D12" s="567">
        <v>1039.1704999999999</v>
      </c>
      <c r="E12" s="567">
        <v>1039.1704999999999</v>
      </c>
      <c r="F12" s="567">
        <v>890.85349999999994</v>
      </c>
      <c r="G12" s="567">
        <v>890.85349999999994</v>
      </c>
      <c r="H12" s="567">
        <v>890.85349999999994</v>
      </c>
    </row>
    <row r="13" spans="1:23">
      <c r="B13" s="310" t="s">
        <v>736</v>
      </c>
      <c r="C13" s="29" t="s">
        <v>513</v>
      </c>
      <c r="D13" s="567">
        <v>180</v>
      </c>
      <c r="E13" s="567">
        <v>180</v>
      </c>
      <c r="F13" s="567">
        <v>130</v>
      </c>
      <c r="G13" s="567">
        <v>130</v>
      </c>
      <c r="H13" s="567">
        <v>0</v>
      </c>
    </row>
    <row r="14" spans="1:23">
      <c r="B14" s="310" t="s">
        <v>737</v>
      </c>
      <c r="C14" s="29" t="s">
        <v>513</v>
      </c>
      <c r="D14" s="567">
        <v>0</v>
      </c>
      <c r="E14" s="567">
        <v>0</v>
      </c>
      <c r="F14" s="567">
        <v>0</v>
      </c>
      <c r="G14" s="567">
        <v>0</v>
      </c>
      <c r="H14" s="567">
        <v>0</v>
      </c>
    </row>
    <row r="15" spans="1:23">
      <c r="B15" s="310" t="s">
        <v>738</v>
      </c>
      <c r="C15" s="29" t="s">
        <v>513</v>
      </c>
      <c r="D15" s="567">
        <v>0</v>
      </c>
      <c r="E15" s="567">
        <v>0</v>
      </c>
      <c r="F15" s="567">
        <v>0</v>
      </c>
      <c r="G15" s="567">
        <v>0</v>
      </c>
      <c r="H15" s="567">
        <v>0</v>
      </c>
    </row>
    <row r="16" spans="1:23">
      <c r="B16" s="310" t="s">
        <v>739</v>
      </c>
      <c r="C16" s="29" t="s">
        <v>513</v>
      </c>
      <c r="D16" s="567">
        <v>245.70059699999999</v>
      </c>
      <c r="E16" s="567">
        <v>0</v>
      </c>
      <c r="F16" s="567">
        <v>0</v>
      </c>
      <c r="G16" s="567">
        <v>0</v>
      </c>
      <c r="H16" s="567">
        <v>0</v>
      </c>
    </row>
    <row r="17" spans="2:10">
      <c r="B17" s="310" t="s">
        <v>740</v>
      </c>
      <c r="C17" s="29" t="s">
        <v>513</v>
      </c>
      <c r="D17" s="567">
        <v>0</v>
      </c>
      <c r="E17" s="567">
        <v>0</v>
      </c>
      <c r="F17" s="567">
        <v>0</v>
      </c>
      <c r="G17" s="567">
        <v>0</v>
      </c>
      <c r="H17" s="567">
        <v>0</v>
      </c>
    </row>
    <row r="18" spans="2:10">
      <c r="B18" s="310" t="s">
        <v>741</v>
      </c>
      <c r="C18" s="29" t="s">
        <v>513</v>
      </c>
      <c r="D18" s="567">
        <v>0</v>
      </c>
      <c r="E18" s="567">
        <v>0</v>
      </c>
      <c r="F18" s="567">
        <v>0</v>
      </c>
      <c r="G18" s="567">
        <v>0</v>
      </c>
      <c r="H18" s="567">
        <v>0</v>
      </c>
    </row>
    <row r="19" spans="2:10">
      <c r="B19" s="310" t="s">
        <v>742</v>
      </c>
      <c r="C19" s="29" t="s">
        <v>513</v>
      </c>
      <c r="D19" s="567">
        <v>0</v>
      </c>
      <c r="E19" s="567">
        <v>0</v>
      </c>
      <c r="F19" s="567">
        <v>0</v>
      </c>
      <c r="G19" s="567">
        <v>0</v>
      </c>
      <c r="H19" s="567">
        <v>0</v>
      </c>
    </row>
    <row r="20" spans="2:10">
      <c r="B20" s="310" t="s">
        <v>216</v>
      </c>
      <c r="C20" s="29" t="s">
        <v>513</v>
      </c>
      <c r="D20" s="567">
        <v>0</v>
      </c>
      <c r="E20" s="567">
        <v>0</v>
      </c>
      <c r="F20" s="567">
        <v>0</v>
      </c>
      <c r="G20" s="567">
        <v>0</v>
      </c>
      <c r="H20" s="567">
        <v>0</v>
      </c>
    </row>
    <row r="21" spans="2:10">
      <c r="B21" s="391" t="s">
        <v>701</v>
      </c>
      <c r="C21" s="40" t="s">
        <v>513</v>
      </c>
      <c r="D21" s="568">
        <f>SUM(D11:D20)</f>
        <v>1464.3560969999999</v>
      </c>
      <c r="E21" s="568">
        <f>SUM(E11:E20)</f>
        <v>1219.1704999999999</v>
      </c>
      <c r="F21" s="568">
        <f>SUM(F11:F20)</f>
        <v>1020.8534999999999</v>
      </c>
      <c r="G21" s="568">
        <f>SUM(G11:G20)</f>
        <v>1020.8534999999999</v>
      </c>
      <c r="H21" s="568">
        <f>SUM(H11:H20)</f>
        <v>890.85349999999994</v>
      </c>
      <c r="I21" s="302"/>
      <c r="J21" s="559"/>
    </row>
    <row r="22" spans="2:10">
      <c r="B22" s="391"/>
      <c r="C22" s="29"/>
      <c r="D22" s="41"/>
      <c r="E22" s="41"/>
      <c r="F22" s="41"/>
      <c r="G22" s="41"/>
      <c r="H22" s="41"/>
      <c r="I22" s="302"/>
      <c r="J22" s="302"/>
    </row>
    <row r="23" spans="2:10">
      <c r="B23" s="391" t="s">
        <v>702</v>
      </c>
      <c r="C23" s="523"/>
      <c r="D23" s="560"/>
      <c r="E23" s="560"/>
      <c r="F23" s="560"/>
      <c r="G23" s="560"/>
      <c r="H23" s="560"/>
      <c r="I23" s="302"/>
      <c r="J23" s="302"/>
    </row>
    <row r="24" spans="2:10">
      <c r="B24" s="525" t="s">
        <v>743</v>
      </c>
      <c r="C24" s="29" t="s">
        <v>513</v>
      </c>
      <c r="D24" s="569">
        <v>10.829499999999996</v>
      </c>
      <c r="E24" s="569">
        <v>10.829499999999996</v>
      </c>
      <c r="F24" s="569">
        <v>9.1</v>
      </c>
      <c r="G24" s="569">
        <v>9.1</v>
      </c>
      <c r="H24" s="569">
        <v>9.1</v>
      </c>
      <c r="J24" s="302"/>
    </row>
    <row r="25" spans="2:10">
      <c r="B25" s="525" t="s">
        <v>744</v>
      </c>
      <c r="C25" s="29" t="s">
        <v>513</v>
      </c>
      <c r="D25" s="569">
        <v>0</v>
      </c>
      <c r="E25" s="569">
        <v>0</v>
      </c>
      <c r="F25" s="569">
        <v>0</v>
      </c>
      <c r="G25" s="569">
        <v>0</v>
      </c>
      <c r="H25" s="569">
        <v>0</v>
      </c>
      <c r="J25" s="302"/>
    </row>
    <row r="26" spans="2:10">
      <c r="B26" s="525" t="s">
        <v>745</v>
      </c>
      <c r="C26" s="29" t="s">
        <v>513</v>
      </c>
      <c r="D26" s="569">
        <v>0</v>
      </c>
      <c r="E26" s="569">
        <v>0</v>
      </c>
      <c r="F26" s="569">
        <v>0</v>
      </c>
      <c r="G26" s="569">
        <v>0</v>
      </c>
      <c r="H26" s="569">
        <v>0</v>
      </c>
      <c r="J26" s="302"/>
    </row>
    <row r="27" spans="2:10">
      <c r="B27" s="525" t="s">
        <v>746</v>
      </c>
      <c r="C27" s="29" t="s">
        <v>513</v>
      </c>
      <c r="D27" s="569">
        <v>0</v>
      </c>
      <c r="E27" s="569">
        <v>0</v>
      </c>
      <c r="F27" s="569">
        <v>0</v>
      </c>
      <c r="G27" s="569">
        <v>0</v>
      </c>
      <c r="H27" s="569">
        <v>0</v>
      </c>
      <c r="J27" s="302"/>
    </row>
    <row r="28" spans="2:10">
      <c r="B28" s="525" t="s">
        <v>884</v>
      </c>
      <c r="C28" s="29" t="s">
        <v>513</v>
      </c>
      <c r="D28" s="569">
        <v>0</v>
      </c>
      <c r="E28" s="569">
        <v>0</v>
      </c>
      <c r="F28" s="569">
        <v>0</v>
      </c>
      <c r="G28" s="569">
        <v>0</v>
      </c>
      <c r="H28" s="569">
        <v>0</v>
      </c>
      <c r="J28" s="302"/>
    </row>
    <row r="29" spans="2:10">
      <c r="B29" s="525" t="s">
        <v>730</v>
      </c>
      <c r="C29" s="29" t="s">
        <v>513</v>
      </c>
      <c r="D29" s="569">
        <v>0</v>
      </c>
      <c r="E29" s="569">
        <v>0</v>
      </c>
      <c r="F29" s="569">
        <v>0</v>
      </c>
      <c r="G29" s="569">
        <v>0</v>
      </c>
      <c r="H29" s="569">
        <v>0</v>
      </c>
      <c r="J29" s="302"/>
    </row>
    <row r="30" spans="2:10" ht="12.75" customHeight="1">
      <c r="B30" s="525" t="s">
        <v>731</v>
      </c>
      <c r="C30" s="29" t="s">
        <v>513</v>
      </c>
      <c r="D30" s="569">
        <v>0</v>
      </c>
      <c r="E30" s="569">
        <v>0</v>
      </c>
      <c r="F30" s="569">
        <v>0</v>
      </c>
      <c r="G30" s="569">
        <v>0</v>
      </c>
      <c r="H30" s="569">
        <v>0</v>
      </c>
      <c r="J30" s="302"/>
    </row>
    <row r="31" spans="2:10">
      <c r="B31" s="525" t="s">
        <v>732</v>
      </c>
      <c r="C31" s="29" t="s">
        <v>513</v>
      </c>
      <c r="D31" s="569">
        <v>0</v>
      </c>
      <c r="E31" s="569">
        <v>0</v>
      </c>
      <c r="F31" s="569">
        <v>0</v>
      </c>
      <c r="G31" s="569">
        <v>0</v>
      </c>
      <c r="H31" s="569">
        <v>0</v>
      </c>
      <c r="J31" s="302"/>
    </row>
    <row r="32" spans="2:10">
      <c r="B32" s="525" t="s">
        <v>733</v>
      </c>
      <c r="C32" s="29" t="s">
        <v>513</v>
      </c>
      <c r="D32" s="569">
        <v>0</v>
      </c>
      <c r="E32" s="569">
        <v>0</v>
      </c>
      <c r="F32" s="569">
        <v>0</v>
      </c>
      <c r="G32" s="569">
        <v>0</v>
      </c>
      <c r="H32" s="569">
        <v>0</v>
      </c>
      <c r="J32" s="302"/>
    </row>
    <row r="33" spans="2:11">
      <c r="B33" s="525" t="s">
        <v>734</v>
      </c>
      <c r="C33" s="29" t="s">
        <v>513</v>
      </c>
      <c r="D33" s="569">
        <v>0</v>
      </c>
      <c r="E33" s="569">
        <v>0</v>
      </c>
      <c r="F33" s="569">
        <v>0</v>
      </c>
      <c r="G33" s="569">
        <v>0</v>
      </c>
      <c r="H33" s="569">
        <v>0</v>
      </c>
      <c r="J33" s="302"/>
    </row>
    <row r="34" spans="2:11">
      <c r="B34" s="525" t="s">
        <v>714</v>
      </c>
      <c r="C34" s="29" t="s">
        <v>513</v>
      </c>
      <c r="D34" s="569">
        <v>0</v>
      </c>
      <c r="E34" s="569">
        <v>0</v>
      </c>
      <c r="F34" s="569">
        <v>0</v>
      </c>
      <c r="G34" s="569">
        <v>0</v>
      </c>
      <c r="H34" s="569">
        <v>0</v>
      </c>
      <c r="J34" s="302"/>
    </row>
    <row r="35" spans="2:11">
      <c r="B35" s="525" t="s">
        <v>715</v>
      </c>
      <c r="C35" s="29" t="s">
        <v>513</v>
      </c>
      <c r="D35" s="569">
        <v>0</v>
      </c>
      <c r="E35" s="569">
        <v>0</v>
      </c>
      <c r="F35" s="569">
        <v>0</v>
      </c>
      <c r="G35" s="569">
        <v>0</v>
      </c>
      <c r="H35" s="569">
        <v>0</v>
      </c>
      <c r="J35" s="302"/>
      <c r="K35" s="561"/>
    </row>
    <row r="36" spans="2:11">
      <c r="B36" s="525" t="s">
        <v>716</v>
      </c>
      <c r="C36" s="29" t="s">
        <v>513</v>
      </c>
      <c r="D36" s="569">
        <v>0</v>
      </c>
      <c r="E36" s="569">
        <v>0</v>
      </c>
      <c r="F36" s="569">
        <v>0</v>
      </c>
      <c r="G36" s="569">
        <v>0</v>
      </c>
      <c r="H36" s="569">
        <v>0</v>
      </c>
    </row>
    <row r="37" spans="2:11">
      <c r="B37" s="525" t="s">
        <v>717</v>
      </c>
      <c r="C37" s="29" t="s">
        <v>513</v>
      </c>
      <c r="D37" s="569">
        <v>0</v>
      </c>
      <c r="E37" s="569">
        <v>0</v>
      </c>
      <c r="F37" s="569">
        <v>0</v>
      </c>
      <c r="G37" s="569">
        <v>0</v>
      </c>
      <c r="H37" s="569">
        <v>0</v>
      </c>
    </row>
    <row r="38" spans="2:11">
      <c r="B38" s="525" t="s">
        <v>718</v>
      </c>
      <c r="C38" s="29" t="s">
        <v>513</v>
      </c>
      <c r="D38" s="569">
        <v>0</v>
      </c>
      <c r="E38" s="569">
        <v>0</v>
      </c>
      <c r="F38" s="569">
        <v>0</v>
      </c>
      <c r="G38" s="569">
        <v>0</v>
      </c>
      <c r="H38" s="569">
        <v>0</v>
      </c>
    </row>
    <row r="39" spans="2:11">
      <c r="B39" s="525" t="s">
        <v>747</v>
      </c>
      <c r="C39" s="29" t="s">
        <v>513</v>
      </c>
      <c r="D39" s="569">
        <v>0</v>
      </c>
      <c r="E39" s="569">
        <v>0</v>
      </c>
      <c r="F39" s="569">
        <v>0</v>
      </c>
      <c r="G39" s="569">
        <v>0</v>
      </c>
      <c r="H39" s="569">
        <v>0</v>
      </c>
    </row>
    <row r="40" spans="2:11">
      <c r="B40" s="526" t="s">
        <v>703</v>
      </c>
      <c r="C40" s="29" t="s">
        <v>513</v>
      </c>
      <c r="D40" s="77">
        <f>SUM(D21,D24:D39)</f>
        <v>1475.1855969999999</v>
      </c>
      <c r="E40" s="77">
        <f t="shared" ref="E40:H40" si="3">SUM(E21,E24:E39)</f>
        <v>1230</v>
      </c>
      <c r="F40" s="77">
        <f t="shared" si="3"/>
        <v>1029.9534999999998</v>
      </c>
      <c r="G40" s="77">
        <f t="shared" si="3"/>
        <v>1029.9534999999998</v>
      </c>
      <c r="H40" s="77">
        <f t="shared" si="3"/>
        <v>899.95349999999996</v>
      </c>
    </row>
    <row r="41" spans="2:11">
      <c r="B41" s="527" t="s">
        <v>704</v>
      </c>
      <c r="C41" s="29" t="s">
        <v>513</v>
      </c>
      <c r="D41" s="375"/>
      <c r="E41" s="562">
        <v>148.535</v>
      </c>
      <c r="F41" s="562">
        <v>782.90800000000002</v>
      </c>
      <c r="G41" s="562">
        <v>899.33699999999999</v>
      </c>
      <c r="H41" s="562">
        <v>1156.5050000000001</v>
      </c>
    </row>
    <row r="42" spans="2:11">
      <c r="B42" s="526" t="s">
        <v>705</v>
      </c>
      <c r="C42" s="29" t="s">
        <v>513</v>
      </c>
      <c r="D42" s="18">
        <f>SUM(D40:D41)</f>
        <v>1475.1855969999999</v>
      </c>
      <c r="E42" s="19">
        <f t="shared" ref="E42:H42" si="4">SUM(E40:E41)</f>
        <v>1378.5350000000001</v>
      </c>
      <c r="F42" s="19">
        <f t="shared" si="4"/>
        <v>1812.8615</v>
      </c>
      <c r="G42" s="19">
        <f t="shared" si="4"/>
        <v>1929.2904999999998</v>
      </c>
      <c r="H42" s="19">
        <f t="shared" si="4"/>
        <v>2056.4585000000002</v>
      </c>
    </row>
    <row r="43" spans="2:11">
      <c r="D43" s="551" t="s">
        <v>936</v>
      </c>
      <c r="E43" s="551" t="s">
        <v>936</v>
      </c>
      <c r="F43" s="551" t="s">
        <v>936</v>
      </c>
      <c r="G43" s="551" t="s">
        <v>936</v>
      </c>
      <c r="H43" s="551" t="s">
        <v>936</v>
      </c>
    </row>
    <row r="44" spans="2:11"/>
    <row r="45" spans="2:11">
      <c r="B45" s="563" t="s">
        <v>706</v>
      </c>
      <c r="C45" s="29" t="s">
        <v>513</v>
      </c>
      <c r="D45" s="562">
        <v>1027.91703822</v>
      </c>
      <c r="E45" s="19">
        <f>D46</f>
        <v>1475.1855969999999</v>
      </c>
      <c r="F45" s="19">
        <f t="shared" ref="F45:H45" si="5">E46</f>
        <v>1378.5350000000001</v>
      </c>
      <c r="G45" s="19">
        <f t="shared" si="5"/>
        <v>1812.8615</v>
      </c>
      <c r="H45" s="19">
        <f t="shared" si="5"/>
        <v>1929.2904999999998</v>
      </c>
      <c r="I45" s="124"/>
    </row>
    <row r="46" spans="2:11">
      <c r="B46" s="563" t="s">
        <v>707</v>
      </c>
      <c r="C46" s="29" t="s">
        <v>513</v>
      </c>
      <c r="D46" s="571">
        <f>D42</f>
        <v>1475.1855969999999</v>
      </c>
      <c r="E46" s="570">
        <f>E42</f>
        <v>1378.5350000000001</v>
      </c>
      <c r="F46" s="570">
        <f t="shared" ref="F46:H46" si="6">F42</f>
        <v>1812.8615</v>
      </c>
      <c r="G46" s="570">
        <f t="shared" si="6"/>
        <v>1929.2904999999998</v>
      </c>
      <c r="H46" s="570">
        <f t="shared" si="6"/>
        <v>2056.4585000000002</v>
      </c>
      <c r="I46" s="124"/>
    </row>
    <row r="47" spans="2:11">
      <c r="D47" s="564"/>
      <c r="E47" s="564"/>
      <c r="F47" s="564"/>
      <c r="G47" s="564"/>
      <c r="H47" s="564"/>
    </row>
    <row r="48" spans="2:11">
      <c r="B48" s="391" t="s">
        <v>708</v>
      </c>
      <c r="D48" s="564"/>
      <c r="E48" s="564"/>
      <c r="F48" s="564"/>
      <c r="G48" s="564"/>
      <c r="H48" s="564"/>
    </row>
    <row r="49" spans="2:10">
      <c r="B49" s="525" t="s">
        <v>709</v>
      </c>
      <c r="C49" s="29" t="s">
        <v>513</v>
      </c>
      <c r="D49" s="562"/>
      <c r="E49" s="562"/>
      <c r="F49" s="562"/>
      <c r="G49" s="562"/>
      <c r="H49" s="562"/>
    </row>
    <row r="50" spans="2:10">
      <c r="B50" s="525" t="s">
        <v>710</v>
      </c>
      <c r="C50" s="29" t="s">
        <v>513</v>
      </c>
      <c r="D50" s="562">
        <v>27.721000000000004</v>
      </c>
      <c r="E50" s="562">
        <v>27.721000000000004</v>
      </c>
      <c r="F50" s="562">
        <v>23.625000000000004</v>
      </c>
      <c r="G50" s="562">
        <v>23.625000000000004</v>
      </c>
      <c r="H50" s="562">
        <v>22.653000000000002</v>
      </c>
    </row>
    <row r="51" spans="2:10">
      <c r="B51" s="525" t="s">
        <v>711</v>
      </c>
      <c r="C51" s="29" t="s">
        <v>513</v>
      </c>
      <c r="D51" s="562"/>
      <c r="E51" s="562"/>
      <c r="F51" s="562"/>
      <c r="G51" s="562"/>
      <c r="H51" s="562"/>
    </row>
    <row r="52" spans="2:10">
      <c r="B52" s="525" t="s">
        <v>712</v>
      </c>
      <c r="C52" s="29" t="s">
        <v>513</v>
      </c>
      <c r="D52" s="562"/>
      <c r="E52" s="562"/>
      <c r="F52" s="562"/>
      <c r="G52" s="562"/>
      <c r="H52" s="562"/>
    </row>
    <row r="53" spans="2:10">
      <c r="B53" s="525" t="s">
        <v>713</v>
      </c>
      <c r="C53" s="29" t="s">
        <v>513</v>
      </c>
      <c r="D53" s="562">
        <v>7.3330873999999984</v>
      </c>
      <c r="E53" s="562">
        <v>4.8392298300000007</v>
      </c>
      <c r="F53" s="562">
        <v>3.0947294400000005</v>
      </c>
      <c r="G53" s="562">
        <v>1.8045991199999998</v>
      </c>
      <c r="H53" s="562">
        <v>0.92373711000000003</v>
      </c>
    </row>
    <row r="54" spans="2:10">
      <c r="B54" s="525" t="s">
        <v>919</v>
      </c>
      <c r="C54" s="29" t="s">
        <v>513</v>
      </c>
      <c r="D54" s="562">
        <v>-12.765999999999998</v>
      </c>
      <c r="E54" s="562">
        <v>-11.80579452999994</v>
      </c>
      <c r="F54" s="562">
        <v>-11.122939689999974</v>
      </c>
      <c r="G54" s="562">
        <v>-10.408483279999984</v>
      </c>
      <c r="H54" s="562">
        <v>-9.6599613899999532</v>
      </c>
    </row>
    <row r="55" spans="2:10">
      <c r="B55" s="525" t="s">
        <v>715</v>
      </c>
      <c r="C55" s="29" t="s">
        <v>513</v>
      </c>
      <c r="D55" s="562"/>
      <c r="E55" s="562"/>
      <c r="F55" s="562"/>
      <c r="G55" s="562"/>
      <c r="H55" s="562"/>
    </row>
    <row r="56" spans="2:10">
      <c r="B56" s="525" t="s">
        <v>716</v>
      </c>
      <c r="C56" s="29" t="s">
        <v>513</v>
      </c>
      <c r="D56" s="562"/>
      <c r="E56" s="562"/>
      <c r="F56" s="562"/>
      <c r="G56" s="562"/>
      <c r="H56" s="562"/>
    </row>
    <row r="57" spans="2:10">
      <c r="B57" s="525" t="s">
        <v>717</v>
      </c>
      <c r="C57" s="29" t="s">
        <v>513</v>
      </c>
      <c r="D57" s="562"/>
      <c r="E57" s="562"/>
      <c r="F57" s="562"/>
      <c r="G57" s="562"/>
      <c r="H57" s="562"/>
    </row>
    <row r="58" spans="2:10">
      <c r="B58" s="525" t="s">
        <v>718</v>
      </c>
      <c r="C58" s="29" t="s">
        <v>513</v>
      </c>
      <c r="D58" s="562"/>
      <c r="E58" s="562"/>
      <c r="F58" s="562"/>
      <c r="G58" s="562"/>
      <c r="H58" s="562"/>
    </row>
    <row r="59" spans="2:10">
      <c r="B59" s="525" t="s">
        <v>719</v>
      </c>
      <c r="C59" s="29" t="s">
        <v>513</v>
      </c>
      <c r="D59" s="18">
        <f>SUM(D49:D58)+D42</f>
        <v>1497.4736843999999</v>
      </c>
      <c r="E59" s="18">
        <f t="shared" ref="E59:H59" si="7">SUM(E49:E58)+E42</f>
        <v>1399.2894353000002</v>
      </c>
      <c r="F59" s="18">
        <f t="shared" si="7"/>
        <v>1828.4582897499999</v>
      </c>
      <c r="G59" s="18">
        <f t="shared" si="7"/>
        <v>1944.3116158399998</v>
      </c>
      <c r="H59" s="18">
        <f t="shared" si="7"/>
        <v>2070.3752757200004</v>
      </c>
    </row>
    <row r="60" spans="2:10">
      <c r="D60" s="564"/>
      <c r="E60" s="564"/>
      <c r="F60" s="564"/>
      <c r="G60" s="564"/>
      <c r="H60" s="564"/>
    </row>
    <row r="61" spans="2:10">
      <c r="B61" s="391" t="s">
        <v>720</v>
      </c>
    </row>
    <row r="62" spans="2:10">
      <c r="B62" s="103" t="s">
        <v>721</v>
      </c>
      <c r="C62" s="124" t="s">
        <v>477</v>
      </c>
      <c r="D62" s="572">
        <v>0</v>
      </c>
      <c r="E62" s="572">
        <v>0</v>
      </c>
      <c r="F62" s="572">
        <v>0</v>
      </c>
      <c r="G62" s="572">
        <v>0</v>
      </c>
      <c r="H62" s="572">
        <v>0</v>
      </c>
    </row>
    <row r="63" spans="2:10">
      <c r="B63" s="103" t="s">
        <v>686</v>
      </c>
      <c r="C63" s="124" t="s">
        <v>477</v>
      </c>
      <c r="D63" s="573">
        <f>1-D62</f>
        <v>1</v>
      </c>
      <c r="E63" s="574">
        <f t="shared" ref="E63:H63" si="8">1-E62</f>
        <v>1</v>
      </c>
      <c r="F63" s="574">
        <f t="shared" si="8"/>
        <v>1</v>
      </c>
      <c r="G63" s="574">
        <f t="shared" si="8"/>
        <v>1</v>
      </c>
      <c r="H63" s="574">
        <f t="shared" si="8"/>
        <v>1</v>
      </c>
      <c r="J63" s="561"/>
    </row>
    <row r="64" spans="2:10">
      <c r="C64" s="124"/>
      <c r="D64" s="124"/>
      <c r="E64" s="124"/>
      <c r="F64" s="124"/>
      <c r="G64" s="124"/>
      <c r="H64" s="124"/>
      <c r="I64" s="124"/>
    </row>
    <row r="65" spans="2:11">
      <c r="B65" s="103" t="s">
        <v>722</v>
      </c>
      <c r="C65" s="29" t="s">
        <v>513</v>
      </c>
      <c r="D65" s="575">
        <f>AVERAGE(D45:D46)*D63</f>
        <v>1251.5513176099998</v>
      </c>
      <c r="E65" s="576">
        <f t="shared" ref="E65:H65" si="9">AVERAGE(E45:E46)*E63</f>
        <v>1426.8602985</v>
      </c>
      <c r="F65" s="576">
        <f t="shared" si="9"/>
        <v>1595.6982499999999</v>
      </c>
      <c r="G65" s="576">
        <f t="shared" si="9"/>
        <v>1871.076</v>
      </c>
      <c r="H65" s="576">
        <f t="shared" si="9"/>
        <v>1992.8744999999999</v>
      </c>
    </row>
    <row r="66" spans="2:11">
      <c r="B66" s="103" t="s">
        <v>723</v>
      </c>
      <c r="C66" s="29" t="s">
        <v>513</v>
      </c>
      <c r="D66" s="577">
        <f>D67-D65</f>
        <v>1349.3235925340828</v>
      </c>
      <c r="E66" s="578">
        <f t="shared" ref="E66:H66" si="10">E67-E65</f>
        <v>1346.5786850659576</v>
      </c>
      <c r="F66" s="578">
        <f t="shared" si="10"/>
        <v>1355.1474851102462</v>
      </c>
      <c r="G66" s="578">
        <f t="shared" si="10"/>
        <v>1267.8209223325939</v>
      </c>
      <c r="H66" s="578">
        <f t="shared" si="10"/>
        <v>1354.9772633613125</v>
      </c>
    </row>
    <row r="67" spans="2:11">
      <c r="B67" s="103" t="s">
        <v>724</v>
      </c>
      <c r="C67" s="29" t="s">
        <v>513</v>
      </c>
      <c r="D67" s="579">
        <f>IF(D6=RIIO_2_start_date,AVERAGE(('R7 - RAV'!F15*'R7 - RAV'!F30),'R7 - RAV'!F32),AVERAGE('R7 - RAV'!E32:F32))</f>
        <v>2600.8749101440826</v>
      </c>
      <c r="E67" s="579">
        <f>IF(E6=RIIO_2_start_date,AVERAGE(('R7 - RAV'!G15*'R7 - RAV'!G30),'R7 - RAV'!G32),AVERAGE('R7 - RAV'!F32:G32))</f>
        <v>2773.4389835659576</v>
      </c>
      <c r="F67" s="579">
        <f>IF(F6=RIIO_2_start_date,AVERAGE(('R7 - RAV'!H15*'R7 - RAV'!H30),'R7 - RAV'!H32),AVERAGE('R7 - RAV'!G32:H32))</f>
        <v>2950.8457351102461</v>
      </c>
      <c r="G67" s="579">
        <f>IF(G6=RIIO_2_start_date,AVERAGE(('R7 - RAV'!I15*'R7 - RAV'!I30),'R7 - RAV'!I32),AVERAGE('R7 - RAV'!H32:I32))</f>
        <v>3138.8969223325939</v>
      </c>
      <c r="H67" s="579">
        <f>IF(H6=RIIO_2_start_date,AVERAGE(('R7 - RAV'!J15*'R7 - RAV'!J30),'R7 - RAV'!J32),AVERAGE('R7 - RAV'!I32:J32))</f>
        <v>3347.8517633613124</v>
      </c>
    </row>
    <row r="68" spans="2:11">
      <c r="B68" s="103" t="s">
        <v>725</v>
      </c>
      <c r="C68" s="29" t="s">
        <v>477</v>
      </c>
      <c r="D68" s="580">
        <f>D65/D67</f>
        <v>0.48120396437699753</v>
      </c>
      <c r="E68" s="581">
        <f t="shared" ref="E68:H68" si="11">E65/E67</f>
        <v>0.5144732972150734</v>
      </c>
      <c r="F68" s="581">
        <f t="shared" si="11"/>
        <v>0.5407596307098661</v>
      </c>
      <c r="G68" s="581">
        <f t="shared" si="11"/>
        <v>0.5960934832512933</v>
      </c>
      <c r="H68" s="581">
        <f t="shared" si="11"/>
        <v>0.59526963583331205</v>
      </c>
      <c r="K68" s="781"/>
    </row>
    <row r="69" spans="2:11">
      <c r="B69" s="103" t="s">
        <v>24</v>
      </c>
      <c r="C69" s="29" t="s">
        <v>477</v>
      </c>
      <c r="D69" s="582">
        <f>Data!$C$8</f>
        <v>0.6</v>
      </c>
      <c r="E69" s="583">
        <f>Data!$C$8</f>
        <v>0.6</v>
      </c>
      <c r="F69" s="583">
        <f>Data!$C$8</f>
        <v>0.6</v>
      </c>
      <c r="G69" s="583">
        <f>Data!$C$8</f>
        <v>0.6</v>
      </c>
      <c r="H69" s="583">
        <f>Data!$C$8</f>
        <v>0.6</v>
      </c>
    </row>
    <row r="70" spans="2:11">
      <c r="B70" s="103" t="s">
        <v>726</v>
      </c>
      <c r="C70" s="29" t="s">
        <v>477</v>
      </c>
      <c r="D70" s="584">
        <f t="shared" ref="D70:H70" si="12">IF(ISBLANK(D21),"n/a",D68-D69)</f>
        <v>-0.11879603562300245</v>
      </c>
      <c r="E70" s="585">
        <f t="shared" si="12"/>
        <v>-8.5526702784926578E-2</v>
      </c>
      <c r="F70" s="585">
        <f t="shared" si="12"/>
        <v>-5.9240369290133876E-2</v>
      </c>
      <c r="G70" s="585">
        <f t="shared" si="12"/>
        <v>-3.9065167487066788E-3</v>
      </c>
      <c r="H70" s="585">
        <f t="shared" si="12"/>
        <v>-4.7303641666879281E-3</v>
      </c>
    </row>
    <row r="71" spans="2:11"/>
    <row r="72" spans="2:11">
      <c r="B72" s="103" t="s">
        <v>727</v>
      </c>
      <c r="C72" s="428" t="str">
        <f>Data!$C$9</f>
        <v>£m 20/21</v>
      </c>
      <c r="D72" s="586">
        <f>D74*D68</f>
        <v>959.55927703194334</v>
      </c>
      <c r="E72" s="587">
        <f t="shared" ref="E72:H72" si="13">E74*E68</f>
        <v>1063.8006844412921</v>
      </c>
      <c r="F72" s="587">
        <f t="shared" si="13"/>
        <v>1168.679225541187</v>
      </c>
      <c r="G72" s="587">
        <f t="shared" si="13"/>
        <v>1346.9266261515788</v>
      </c>
      <c r="H72" s="587">
        <f t="shared" si="13"/>
        <v>1408.0230864187292</v>
      </c>
    </row>
    <row r="73" spans="2:11">
      <c r="B73" s="103" t="s">
        <v>728</v>
      </c>
      <c r="C73" s="428" t="str">
        <f>Data!$C$9</f>
        <v>£m 20/21</v>
      </c>
      <c r="D73" s="588">
        <f>D74*(1-D68)</f>
        <v>1034.5208803796029</v>
      </c>
      <c r="E73" s="589">
        <f t="shared" ref="E73:H73" si="14">E74*(1-E68)</f>
        <v>1003.9464468477681</v>
      </c>
      <c r="F73" s="589">
        <f t="shared" si="14"/>
        <v>992.50137887456447</v>
      </c>
      <c r="G73" s="589">
        <f t="shared" si="14"/>
        <v>912.66295836290089</v>
      </c>
      <c r="H73" s="589">
        <f t="shared" si="14"/>
        <v>957.33036294317492</v>
      </c>
    </row>
    <row r="74" spans="2:11">
      <c r="B74" s="103" t="s">
        <v>729</v>
      </c>
      <c r="C74" s="428" t="str">
        <f>Data!$C$9</f>
        <v>£m 20/21</v>
      </c>
      <c r="D74" s="579">
        <f>'R7 - RAV'!F41</f>
        <v>1994.0801574115462</v>
      </c>
      <c r="E74" s="579">
        <f>'R7 - RAV'!G41</f>
        <v>2067.7471312890602</v>
      </c>
      <c r="F74" s="579">
        <f>'R7 - RAV'!H41</f>
        <v>2161.1806044157515</v>
      </c>
      <c r="G74" s="579">
        <f>'R7 - RAV'!I41</f>
        <v>2259.5895845144796</v>
      </c>
      <c r="H74" s="579">
        <f>'R7 - RAV'!J41</f>
        <v>2365.353449361904</v>
      </c>
    </row>
    <row r="75" spans="2:11">
      <c r="B75" s="103" t="s">
        <v>725</v>
      </c>
      <c r="C75" s="29" t="s">
        <v>477</v>
      </c>
      <c r="D75" s="580">
        <f>D72/D74</f>
        <v>0.48120396437699753</v>
      </c>
      <c r="E75" s="581">
        <f t="shared" ref="E75:H75" si="15">E72/E74</f>
        <v>0.5144732972150734</v>
      </c>
      <c r="F75" s="581">
        <f t="shared" si="15"/>
        <v>0.5407596307098661</v>
      </c>
      <c r="G75" s="581">
        <f t="shared" si="15"/>
        <v>0.5960934832512933</v>
      </c>
      <c r="H75" s="581">
        <f t="shared" si="15"/>
        <v>0.59526963583331205</v>
      </c>
    </row>
    <row r="76" spans="2:11">
      <c r="B76" s="103" t="s">
        <v>24</v>
      </c>
      <c r="C76" s="29" t="s">
        <v>477</v>
      </c>
      <c r="D76" s="582">
        <f>Data!$C$8</f>
        <v>0.6</v>
      </c>
      <c r="E76" s="583">
        <f>Data!$C$8</f>
        <v>0.6</v>
      </c>
      <c r="F76" s="583">
        <f>Data!$C$8</f>
        <v>0.6</v>
      </c>
      <c r="G76" s="583">
        <f>Data!$C$8</f>
        <v>0.6</v>
      </c>
      <c r="H76" s="583">
        <f>Data!$C$8</f>
        <v>0.6</v>
      </c>
    </row>
    <row r="77" spans="2:11">
      <c r="B77" s="103" t="s">
        <v>726</v>
      </c>
      <c r="C77" s="29" t="s">
        <v>477</v>
      </c>
      <c r="D77" s="584">
        <f t="shared" ref="D77:H77" si="16">IF(ISBLANK(D21),"n/a",D75-D76)</f>
        <v>-0.11879603562300245</v>
      </c>
      <c r="E77" s="585">
        <f t="shared" si="16"/>
        <v>-8.5526702784926578E-2</v>
      </c>
      <c r="F77" s="585">
        <f t="shared" si="16"/>
        <v>-5.9240369290133876E-2</v>
      </c>
      <c r="G77" s="585">
        <f t="shared" si="16"/>
        <v>-3.9065167487066788E-3</v>
      </c>
      <c r="H77" s="585">
        <f t="shared" si="16"/>
        <v>-4.7303641666879281E-3</v>
      </c>
    </row>
    <row r="78" spans="2:11"/>
    <row r="79" spans="2:11"/>
    <row r="80" spans="2:11"/>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algorithmName="SHA-512" hashValue="0fUberfEpo6FXlJ/bCbji1qQh/hyuyqaesxqbwqkHOBalvYiXfUS1T/q2wP6KwrgdS5SGqvsD04VsgpevKQ9NA==" saltValue="rN48FJugae8zLhXFQZoARw==" spinCount="100000" sheet="1" objects="1" scenarios="1"/>
  <conditionalFormatting sqref="D41">
    <cfRule type="expression" dxfId="28" priority="2">
      <formula>D$5="Forecast"</formula>
    </cfRule>
    <cfRule type="expression" dxfId="27" priority="3">
      <formula>C$12="N/A"</formula>
    </cfRule>
  </conditionalFormatting>
  <conditionalFormatting sqref="D41:H41">
    <cfRule type="expression" dxfId="26" priority="1">
      <formula>D$5="Actuals"</formula>
    </cfRule>
  </conditionalFormatting>
  <pageMargins left="0.70866141732283472" right="0.70866141732283472" top="0.74803149606299213" bottom="0.74803149606299213" header="0.31496062992125984" footer="0.31496062992125984"/>
  <pageSetup paperSize="8"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heetViews>
  <sheetFormatPr defaultColWidth="9" defaultRowHeight="13.5"/>
  <cols>
    <col min="1" max="1" width="8.3828125" style="103" customWidth="1"/>
    <col min="2" max="2" width="52.15234375" style="103" bestFit="1" customWidth="1"/>
    <col min="3" max="4" width="4.23046875" style="103" customWidth="1"/>
    <col min="5" max="5" width="14.15234375" style="124" customWidth="1"/>
    <col min="6" max="10" width="11.15234375" style="103" customWidth="1"/>
    <col min="11" max="11" width="5" style="103" customWidth="1"/>
    <col min="12" max="12" width="9" style="103"/>
    <col min="13" max="13" width="13.53515625" style="79" bestFit="1" customWidth="1"/>
    <col min="14" max="16384" width="9" style="103"/>
  </cols>
  <sheetData>
    <row r="1" spans="1:19" ht="20">
      <c r="A1" s="287" t="s">
        <v>748</v>
      </c>
      <c r="B1" s="289"/>
      <c r="C1" s="289"/>
      <c r="D1" s="289"/>
      <c r="E1" s="590"/>
      <c r="F1" s="290"/>
      <c r="G1" s="290"/>
      <c r="H1" s="290"/>
      <c r="I1" s="290"/>
      <c r="J1" s="290"/>
      <c r="K1" s="416"/>
    </row>
    <row r="2" spans="1:19" ht="20">
      <c r="A2" s="292" t="str">
        <f>Licensee</f>
        <v>NPgY</v>
      </c>
      <c r="B2" s="294"/>
      <c r="C2" s="294"/>
      <c r="D2" s="294"/>
      <c r="E2" s="591"/>
      <c r="F2" s="295"/>
      <c r="G2" s="295"/>
      <c r="H2" s="295"/>
      <c r="I2" s="295"/>
      <c r="J2" s="295"/>
      <c r="K2" s="297"/>
    </row>
    <row r="3" spans="1:19" ht="20">
      <c r="A3" s="294">
        <f>Reporting_Year</f>
        <v>2024</v>
      </c>
      <c r="B3" s="298"/>
      <c r="C3" s="298"/>
      <c r="D3" s="298"/>
      <c r="E3" s="298"/>
      <c r="F3" s="298"/>
      <c r="G3" s="298"/>
      <c r="H3" s="298"/>
      <c r="I3" s="298"/>
      <c r="J3" s="298"/>
      <c r="K3" s="300"/>
    </row>
    <row r="4" spans="1:19" s="302" customFormat="1" ht="12.75" customHeight="1">
      <c r="E4" s="427"/>
      <c r="M4" s="352"/>
    </row>
    <row r="5" spans="1:19" s="302" customFormat="1">
      <c r="B5" s="440"/>
      <c r="C5" s="440"/>
      <c r="D5" s="440"/>
      <c r="E5" s="427"/>
      <c r="F5" s="441" t="str">
        <f>IF(F6&lt;=Reporting_Year,"Actuals","Forecast")</f>
        <v>Actuals</v>
      </c>
      <c r="G5" s="441" t="str">
        <f>IF(G6&lt;=Reporting_Year,"Actuals","Forecast")</f>
        <v>Forecast</v>
      </c>
      <c r="H5" s="441" t="str">
        <f>IF(H6&lt;=Reporting_Year,"Actuals","Forecast")</f>
        <v>Forecast</v>
      </c>
      <c r="I5" s="441" t="str">
        <f>IF(I6&lt;=Reporting_Year,"Actuals","Forecast")</f>
        <v>Forecast</v>
      </c>
      <c r="J5" s="441" t="str">
        <f>IF(J6&lt;=Reporting_Year,"Actuals","Forecast")</f>
        <v>Forecast</v>
      </c>
      <c r="M5" s="352"/>
    </row>
    <row r="6" spans="1:19" s="302" customFormat="1">
      <c r="E6" s="427"/>
      <c r="F6" s="417">
        <f>'RFPR cover'!$C$6</f>
        <v>2024</v>
      </c>
      <c r="G6" s="418">
        <f>F6+1</f>
        <v>2025</v>
      </c>
      <c r="H6" s="418">
        <f t="shared" ref="H6:J6" si="0">G6+1</f>
        <v>2026</v>
      </c>
      <c r="I6" s="418">
        <f t="shared" si="0"/>
        <v>2027</v>
      </c>
      <c r="J6" s="418">
        <f t="shared" si="0"/>
        <v>2028</v>
      </c>
      <c r="M6" s="352"/>
    </row>
    <row r="7" spans="1:19" s="302" customFormat="1">
      <c r="E7" s="427"/>
      <c r="F7" s="417" t="str">
        <f>RIIO_2_start_date-1&amp;"/"&amp;RIGHT(RIIO_2_start_date,2)</f>
        <v>2023/24</v>
      </c>
      <c r="G7" s="417" t="str">
        <f>RIIO_2_start_date&amp;"/"&amp;RIGHT(RIIO_2_start_date+1,2)</f>
        <v>2024/25</v>
      </c>
      <c r="H7" s="417" t="str">
        <f>RIIO_2_start_date+1&amp;"/"&amp;RIGHT(RIIO_2_start_date+2,2)</f>
        <v>2025/26</v>
      </c>
      <c r="I7" s="417" t="str">
        <f>RIIO_2_start_date+2&amp;"/"&amp;RIGHT(RIIO_2_start_date+3,2)</f>
        <v>2026/27</v>
      </c>
      <c r="J7" s="521" t="str">
        <f>RIIO_2_start_date+3&amp;"/"&amp;RIGHT(RIIO_2_start_date+4,2)</f>
        <v>2027/28</v>
      </c>
      <c r="M7" s="352"/>
    </row>
    <row r="8" spans="1:19" s="302" customFormat="1">
      <c r="E8" s="427"/>
      <c r="F8" s="427"/>
      <c r="G8" s="427"/>
      <c r="H8" s="427"/>
      <c r="I8" s="427"/>
      <c r="J8" s="427"/>
      <c r="K8" s="427"/>
      <c r="L8" s="427"/>
      <c r="M8" s="427"/>
      <c r="N8" s="427"/>
      <c r="O8" s="427"/>
      <c r="P8" s="427"/>
      <c r="Q8" s="427"/>
      <c r="R8" s="427"/>
      <c r="S8" s="427"/>
    </row>
    <row r="9" spans="1:19" s="302" customFormat="1">
      <c r="B9" s="592" t="s">
        <v>749</v>
      </c>
      <c r="C9" s="592"/>
      <c r="D9" s="592"/>
      <c r="L9" s="427"/>
      <c r="M9" s="352"/>
    </row>
    <row r="10" spans="1:19" s="302" customFormat="1">
      <c r="L10" s="427"/>
    </row>
    <row r="11" spans="1:19" s="302" customFormat="1">
      <c r="B11" s="593"/>
      <c r="C11" s="593"/>
      <c r="D11" s="593"/>
      <c r="E11" s="593"/>
      <c r="F11" s="593"/>
      <c r="G11" s="593"/>
      <c r="H11" s="593"/>
      <c r="I11" s="593"/>
      <c r="J11" s="593"/>
      <c r="K11" s="593"/>
      <c r="L11" s="427"/>
      <c r="M11" s="352"/>
    </row>
    <row r="12" spans="1:19" s="302" customFormat="1">
      <c r="B12" s="103" t="s">
        <v>750</v>
      </c>
      <c r="C12" s="103"/>
      <c r="D12" s="103"/>
      <c r="E12" s="594" t="str">
        <f>Data!$C$9</f>
        <v>£m 20/21</v>
      </c>
      <c r="F12" s="595">
        <v>2067.380611837285</v>
      </c>
      <c r="G12" s="595">
        <v>2167.4974033382314</v>
      </c>
      <c r="H12" s="595">
        <v>2267.1151010250974</v>
      </c>
      <c r="I12" s="595">
        <v>2377.7874207812974</v>
      </c>
      <c r="J12" s="595">
        <v>2493.0884463613379</v>
      </c>
      <c r="L12" s="427"/>
      <c r="M12" s="352"/>
    </row>
    <row r="13" spans="1:19" s="302" customFormat="1">
      <c r="L13" s="427"/>
      <c r="M13" s="352"/>
    </row>
    <row r="14" spans="1:19" s="302" customFormat="1">
      <c r="B14" s="593"/>
      <c r="C14" s="593"/>
      <c r="D14" s="593"/>
      <c r="E14" s="427"/>
      <c r="F14" s="427"/>
      <c r="G14" s="427"/>
      <c r="H14" s="427"/>
      <c r="I14" s="427"/>
      <c r="J14" s="427"/>
      <c r="L14" s="427"/>
      <c r="M14" s="352"/>
    </row>
    <row r="15" spans="1:19" s="302" customFormat="1">
      <c r="B15" s="302" t="s">
        <v>751</v>
      </c>
      <c r="E15" s="594" t="str">
        <f>Data!$C$9</f>
        <v>£m 20/21</v>
      </c>
      <c r="F15" s="595">
        <v>2004.1008316261359</v>
      </c>
      <c r="G15" s="775">
        <f>F24</f>
        <v>2062.8932646355793</v>
      </c>
      <c r="H15" s="775">
        <f>G24</f>
        <v>2158.3448809279271</v>
      </c>
      <c r="I15" s="775">
        <f>H24</f>
        <v>2253.7151743091677</v>
      </c>
      <c r="J15" s="775">
        <f>I24</f>
        <v>2359.6350385667456</v>
      </c>
      <c r="L15" s="427"/>
      <c r="M15" s="352"/>
    </row>
    <row r="16" spans="1:19" s="302" customFormat="1">
      <c r="B16" s="302" t="s">
        <v>752</v>
      </c>
      <c r="E16" s="594" t="str">
        <f>Data!$C$9</f>
        <v>£m 20/21</v>
      </c>
      <c r="F16" s="596"/>
      <c r="G16" s="597"/>
      <c r="H16" s="597"/>
      <c r="I16" s="597"/>
      <c r="J16" s="597"/>
      <c r="L16" s="427"/>
      <c r="M16" s="352"/>
    </row>
    <row r="17" spans="1:19" s="302" customFormat="1">
      <c r="B17" s="442" t="s">
        <v>753</v>
      </c>
      <c r="C17" s="442"/>
      <c r="D17" s="442"/>
      <c r="E17" s="594" t="str">
        <f>Data!$C$9</f>
        <v>£m 20/21</v>
      </c>
      <c r="F17" s="611">
        <f>SUM(F15:F16)</f>
        <v>2004.1008316261359</v>
      </c>
      <c r="G17" s="612">
        <f t="shared" ref="G17:J17" si="1">SUM(G15:G16)</f>
        <v>2062.8932646355793</v>
      </c>
      <c r="H17" s="612">
        <f t="shared" si="1"/>
        <v>2158.3448809279271</v>
      </c>
      <c r="I17" s="612">
        <f t="shared" si="1"/>
        <v>2253.7151743091677</v>
      </c>
      <c r="J17" s="612">
        <f t="shared" si="1"/>
        <v>2359.6350385667456</v>
      </c>
      <c r="L17" s="427"/>
      <c r="M17" s="352"/>
    </row>
    <row r="18" spans="1:19" s="302" customFormat="1">
      <c r="B18" s="598" t="s">
        <v>754</v>
      </c>
      <c r="C18" s="598"/>
      <c r="D18" s="598"/>
      <c r="E18" s="594" t="str">
        <f>Data!$C$9</f>
        <v>£m 20/21</v>
      </c>
      <c r="F18" s="599">
        <v>210.27800019751459</v>
      </c>
      <c r="G18" s="599">
        <v>245.59914795521007</v>
      </c>
      <c r="H18" s="599">
        <v>243.18909848846752</v>
      </c>
      <c r="I18" s="599">
        <v>252.17601449598604</v>
      </c>
      <c r="J18" s="599">
        <v>256.29963867694016</v>
      </c>
      <c r="L18" s="427"/>
      <c r="M18" s="352"/>
    </row>
    <row r="19" spans="1:19" s="302" customFormat="1">
      <c r="B19" s="598" t="s">
        <v>755</v>
      </c>
      <c r="C19" s="598"/>
      <c r="D19" s="598"/>
      <c r="E19" s="594" t="str">
        <f>Data!$C$9</f>
        <v>£m 20/21</v>
      </c>
      <c r="F19" s="600">
        <v>-4.4873472017056315</v>
      </c>
      <c r="G19" s="600">
        <v>-4.7648940353035982</v>
      </c>
      <c r="H19" s="600">
        <v>-4.4530096664479686</v>
      </c>
      <c r="I19" s="600">
        <v>-5.0570166298100503</v>
      </c>
      <c r="J19" s="600">
        <v>-5.27539317194001</v>
      </c>
      <c r="L19" s="427"/>
      <c r="M19" s="352"/>
    </row>
    <row r="20" spans="1:19" s="302" customFormat="1">
      <c r="B20" s="601" t="s">
        <v>756</v>
      </c>
      <c r="C20" s="601"/>
      <c r="D20" s="601"/>
      <c r="E20" s="594" t="str">
        <f>Data!$C$9</f>
        <v>£m 20/21</v>
      </c>
      <c r="F20" s="613">
        <f>SUM(F18:F19)</f>
        <v>205.79065299580895</v>
      </c>
      <c r="G20" s="613">
        <f t="shared" ref="G20:J20" si="2">SUM(G18:G19)</f>
        <v>240.83425391990647</v>
      </c>
      <c r="H20" s="613">
        <f t="shared" si="2"/>
        <v>238.73608882201955</v>
      </c>
      <c r="I20" s="613">
        <f t="shared" si="2"/>
        <v>247.11899786617599</v>
      </c>
      <c r="J20" s="613">
        <f t="shared" si="2"/>
        <v>251.02424550500015</v>
      </c>
      <c r="L20" s="427"/>
      <c r="M20" s="352"/>
    </row>
    <row r="21" spans="1:19" s="302" customFormat="1">
      <c r="B21" s="598" t="s">
        <v>757</v>
      </c>
      <c r="C21" s="598"/>
      <c r="D21" s="598"/>
      <c r="E21" s="594" t="str">
        <f>Data!$C$9</f>
        <v>£m 20/21</v>
      </c>
      <c r="F21" s="599">
        <v>-146.99821998636568</v>
      </c>
      <c r="G21" s="599">
        <v>-145.48235645426354</v>
      </c>
      <c r="H21" s="599">
        <v>-143.57140080160144</v>
      </c>
      <c r="I21" s="599">
        <v>-141.50369473978603</v>
      </c>
      <c r="J21" s="599">
        <v>-140.99861309689953</v>
      </c>
      <c r="L21" s="427"/>
      <c r="M21" s="352"/>
    </row>
    <row r="22" spans="1:19" s="302" customFormat="1">
      <c r="B22" s="598" t="s">
        <v>758</v>
      </c>
      <c r="C22" s="598"/>
      <c r="D22" s="598"/>
      <c r="E22" s="594" t="str">
        <f>Data!$C$9</f>
        <v>£m 20/21</v>
      </c>
      <c r="F22" s="600">
        <v>0</v>
      </c>
      <c r="G22" s="600">
        <v>9.9718826704588537E-2</v>
      </c>
      <c r="H22" s="600">
        <v>0.20560536082240333</v>
      </c>
      <c r="I22" s="600">
        <v>0.30456113118793837</v>
      </c>
      <c r="J22" s="600">
        <v>0.41693927851704871</v>
      </c>
      <c r="L22" s="427"/>
      <c r="M22" s="352"/>
    </row>
    <row r="23" spans="1:19" s="302" customFormat="1">
      <c r="B23" s="359" t="s">
        <v>759</v>
      </c>
      <c r="C23" s="359"/>
      <c r="D23" s="359"/>
      <c r="E23" s="594" t="str">
        <f>Data!$C$9</f>
        <v>£m 20/21</v>
      </c>
      <c r="F23" s="614">
        <f>SUM(F21:F22)</f>
        <v>-146.99821998636568</v>
      </c>
      <c r="G23" s="614">
        <f t="shared" ref="G23:J23" si="3">SUM(G21:G22)</f>
        <v>-145.38263762755895</v>
      </c>
      <c r="H23" s="614">
        <f t="shared" si="3"/>
        <v>-143.36579544077904</v>
      </c>
      <c r="I23" s="614">
        <f t="shared" si="3"/>
        <v>-141.19913360859809</v>
      </c>
      <c r="J23" s="614">
        <f t="shared" si="3"/>
        <v>-140.58167381838248</v>
      </c>
      <c r="L23" s="745"/>
      <c r="M23" s="352"/>
      <c r="N23" s="352"/>
      <c r="O23" s="352"/>
      <c r="P23" s="352"/>
      <c r="Q23" s="352"/>
    </row>
    <row r="24" spans="1:19" s="302" customFormat="1">
      <c r="B24" s="442" t="s">
        <v>760</v>
      </c>
      <c r="C24" s="442"/>
      <c r="D24" s="442"/>
      <c r="E24" s="594" t="str">
        <f>Data!$C$9</f>
        <v>£m 20/21</v>
      </c>
      <c r="F24" s="615">
        <f>F17+F20+F23</f>
        <v>2062.8932646355793</v>
      </c>
      <c r="G24" s="615">
        <f t="shared" ref="G24:J24" si="4">G17+G20+G23</f>
        <v>2158.3448809279271</v>
      </c>
      <c r="H24" s="615">
        <f t="shared" si="4"/>
        <v>2253.7151743091677</v>
      </c>
      <c r="I24" s="615">
        <f t="shared" si="4"/>
        <v>2359.6350385667456</v>
      </c>
      <c r="J24" s="615">
        <f t="shared" si="4"/>
        <v>2470.0776102533632</v>
      </c>
      <c r="L24" s="427"/>
      <c r="M24" s="352"/>
      <c r="N24" s="352"/>
      <c r="O24" s="352"/>
      <c r="P24" s="352"/>
      <c r="Q24" s="352"/>
    </row>
    <row r="25" spans="1:19" s="302" customFormat="1">
      <c r="B25" s="442"/>
      <c r="C25" s="442"/>
      <c r="D25" s="442"/>
      <c r="E25" s="594"/>
      <c r="F25" s="594"/>
      <c r="G25" s="594"/>
      <c r="H25" s="594"/>
      <c r="I25" s="594"/>
      <c r="J25" s="594"/>
      <c r="K25" s="594"/>
      <c r="L25" s="427"/>
      <c r="M25" s="352"/>
      <c r="N25" s="352"/>
      <c r="O25" s="352"/>
      <c r="P25" s="352"/>
      <c r="Q25" s="352"/>
    </row>
    <row r="26" spans="1:19" s="302" customFormat="1">
      <c r="B26" s="442" t="s">
        <v>761</v>
      </c>
      <c r="C26" s="594"/>
      <c r="D26" s="594"/>
      <c r="E26" s="594" t="str">
        <f>Data!$C$9</f>
        <v>£m 20/21</v>
      </c>
      <c r="F26" s="615">
        <f>F19+F22</f>
        <v>-4.4873472017056315</v>
      </c>
      <c r="G26" s="616">
        <f>G19+G22</f>
        <v>-4.6651752085990097</v>
      </c>
      <c r="H26" s="616">
        <f t="shared" ref="H26:J26" si="5">H19+H22</f>
        <v>-4.2474043056255653</v>
      </c>
      <c r="I26" s="616">
        <f t="shared" si="5"/>
        <v>-4.7524554986221119</v>
      </c>
      <c r="J26" s="617">
        <f t="shared" si="5"/>
        <v>-4.8584538934229613</v>
      </c>
      <c r="K26" s="594"/>
      <c r="L26" s="427"/>
      <c r="M26" s="352"/>
      <c r="N26" s="352"/>
      <c r="O26" s="352"/>
      <c r="P26" s="352"/>
      <c r="Q26" s="352"/>
    </row>
    <row r="27" spans="1:19" s="302" customFormat="1">
      <c r="B27" s="442" t="s">
        <v>762</v>
      </c>
      <c r="C27" s="594"/>
      <c r="D27" s="594"/>
      <c r="E27" s="604"/>
      <c r="F27" s="618" t="str">
        <f>IF(F5="Actuals",IF(ABS((F24-SUM($F26:F$26))-F12)&lt;0.1,"TRUE","FALSE"),"NA")</f>
        <v>TRUE</v>
      </c>
      <c r="G27" s="619" t="str">
        <f>IF(G5="Actuals",IF(ABS((G24-SUM($F26:G$26))-G12)&lt;0.1,"TRUE","FALSE"),"NA")</f>
        <v>NA</v>
      </c>
      <c r="H27" s="619" t="str">
        <f>IF(H5="Actuals",IF(ABS((H24-SUM($F26:H$26))-H12)&lt;0.1,"TRUE","FALSE"),"NA")</f>
        <v>NA</v>
      </c>
      <c r="I27" s="619" t="str">
        <f>IF(I5="Actuals",IF(ABS((I24-SUM($F26:I$26))-I12)&lt;0.1,"TRUE","FALSE"),"NA")</f>
        <v>NA</v>
      </c>
      <c r="J27" s="620" t="str">
        <f>IF(J5="Actuals",IF(ABS((J24-SUM($F26:J$26))-J12)&lt;0.1,"TRUE","FALSE"),"NA")</f>
        <v>NA</v>
      </c>
      <c r="K27" s="594"/>
      <c r="L27" s="427"/>
      <c r="N27" s="594"/>
    </row>
    <row r="28" spans="1:19" s="302" customFormat="1">
      <c r="B28" s="442"/>
      <c r="C28" s="442"/>
      <c r="D28" s="442"/>
      <c r="E28" s="594"/>
      <c r="F28" s="594"/>
      <c r="G28" s="594"/>
      <c r="H28" s="594"/>
      <c r="I28" s="594"/>
      <c r="J28" s="594"/>
      <c r="K28" s="594"/>
      <c r="L28" s="427"/>
      <c r="M28" s="594"/>
      <c r="N28" s="594"/>
    </row>
    <row r="29" spans="1:19" s="302" customFormat="1">
      <c r="B29" s="442"/>
      <c r="C29" s="442"/>
      <c r="D29" s="442"/>
      <c r="E29" s="594"/>
      <c r="F29" s="603"/>
      <c r="G29" s="594"/>
      <c r="H29" s="603"/>
      <c r="I29" s="603"/>
      <c r="J29" s="603"/>
      <c r="K29" s="594"/>
      <c r="L29" s="427"/>
      <c r="M29" s="594"/>
      <c r="N29" s="594"/>
    </row>
    <row r="30" spans="1:19" s="302" customFormat="1">
      <c r="A30" s="103"/>
      <c r="B30" s="302" t="s">
        <v>763</v>
      </c>
      <c r="E30" s="124" t="s">
        <v>764</v>
      </c>
      <c r="F30" s="731">
        <f>IF(Sector="ED2",(INDEX(Data!C29:N29,MATCH(RIIO_2_start_date-1,Data!C27:N27,0))/Data!$E$28),INDEX(Data!C20:N20,MATCH(RIIO_2_start_date-1,Data!C18:N18,0))/Data!$C$19)</f>
        <v>1.2567228174904603</v>
      </c>
      <c r="G30" s="594"/>
      <c r="H30" s="603"/>
      <c r="I30" s="603"/>
      <c r="J30" s="605"/>
      <c r="K30" s="606"/>
      <c r="L30" s="427"/>
      <c r="M30" s="352"/>
      <c r="N30" s="352"/>
      <c r="O30" s="352"/>
      <c r="P30" s="352"/>
      <c r="Q30" s="352"/>
      <c r="R30" s="352"/>
    </row>
    <row r="31" spans="1:19" s="302" customFormat="1">
      <c r="B31" s="442"/>
      <c r="C31" s="442"/>
      <c r="D31" s="442"/>
      <c r="E31" s="594"/>
      <c r="F31" s="607"/>
      <c r="G31" s="607"/>
      <c r="H31" s="607"/>
      <c r="I31" s="607"/>
      <c r="J31" s="607"/>
      <c r="K31" s="594"/>
      <c r="L31" s="427"/>
      <c r="M31" s="352"/>
      <c r="N31" s="352"/>
      <c r="O31" s="352"/>
      <c r="P31" s="352"/>
      <c r="Q31" s="352"/>
      <c r="R31" s="352"/>
    </row>
    <row r="32" spans="1:19" s="302" customFormat="1">
      <c r="B32" s="442" t="s">
        <v>760</v>
      </c>
      <c r="C32" s="442"/>
      <c r="D32" s="442"/>
      <c r="E32" s="29" t="s">
        <v>513</v>
      </c>
      <c r="F32" s="621">
        <f>IF(Sector="ED2",F24*Data!H36,F24*Combined_real_to_nominal_prices_conversion_factor__financial_year_end)</f>
        <v>2683.1505766319924</v>
      </c>
      <c r="G32" s="621">
        <f>IF(Sector="ED2",G24*Data!I36,G24*Combined_real_to_nominal_prices_conversion_factor__financial_year_end)</f>
        <v>2863.7273904999229</v>
      </c>
      <c r="H32" s="621">
        <f>IF(Sector="ED2",H24*Data!J36,H24*Combined_real_to_nominal_prices_conversion_factor__financial_year_end)</f>
        <v>3037.9640797205693</v>
      </c>
      <c r="I32" s="621">
        <f>IF(Sector="ED2",I24*Data!K36,I24*Combined_real_to_nominal_prices_conversion_factor__financial_year_end)</f>
        <v>3239.8297649446181</v>
      </c>
      <c r="J32" s="621">
        <f>IF(Sector="ED2",J24*Data!L36,J24*Combined_real_to_nominal_prices_conversion_factor__financial_year_end)</f>
        <v>3455.8737617780066</v>
      </c>
      <c r="K32" s="759"/>
      <c r="M32" s="352"/>
      <c r="N32" s="352"/>
      <c r="O32" s="352"/>
      <c r="P32" s="352"/>
      <c r="Q32" s="352"/>
      <c r="R32" s="352"/>
      <c r="S32" s="745"/>
    </row>
    <row r="33" spans="1:18" s="302" customFormat="1">
      <c r="B33" s="442"/>
      <c r="C33" s="442"/>
      <c r="D33" s="442"/>
      <c r="E33" s="594"/>
      <c r="F33" s="594"/>
      <c r="G33" s="594"/>
      <c r="H33" s="594"/>
      <c r="I33" s="594"/>
      <c r="J33" s="594"/>
      <c r="K33" s="594"/>
      <c r="L33" s="427"/>
      <c r="M33" s="352"/>
      <c r="N33" s="352"/>
      <c r="O33" s="352"/>
      <c r="P33" s="352"/>
      <c r="Q33" s="352"/>
      <c r="R33" s="352"/>
    </row>
    <row r="34" spans="1:18" s="302" customFormat="1">
      <c r="B34" s="352" t="s">
        <v>765</v>
      </c>
      <c r="C34" s="352"/>
      <c r="D34" s="352"/>
      <c r="E34" s="594" t="s">
        <v>766</v>
      </c>
      <c r="F34" s="622">
        <f>INDEX(Data!$H$63:$P$91,MATCH('RFPR cover'!$C$7,Data!$B$63:$B$91,0),MATCH('R7 - RAV'!F$6,Data!$H$62:$P$62,0))</f>
        <v>3.1E-2</v>
      </c>
      <c r="G34" s="622">
        <f>INDEX(Data!$H$63:$P$91,MATCH('RFPR cover'!$C$7,Data!$B$63:$B$91,0),MATCH('R7 - RAV'!G$6,Data!$H$62:$P$62,0))</f>
        <v>3.1699999999999999E-2</v>
      </c>
      <c r="H34" s="622">
        <f>INDEX(Data!$H$63:$P$91,MATCH('RFPR cover'!$C$7,Data!$B$63:$B$91,0),MATCH('R7 - RAV'!H$6,Data!$H$62:$P$62,0))</f>
        <v>3.2300000000000002E-2</v>
      </c>
      <c r="I34" s="622">
        <f>INDEX(Data!$H$63:$P$91,MATCH('RFPR cover'!$C$7,Data!$B$63:$B$91,0),MATCH('R7 - RAV'!I$6,Data!$H$62:$P$62,0))</f>
        <v>3.2399999999999998E-2</v>
      </c>
      <c r="J34" s="622">
        <f>INDEX(Data!$H$63:$P$91,MATCH('RFPR cover'!$C$7,Data!$B$63:$B$91,0),MATCH('R7 - RAV'!J$6,Data!$H$62:$P$62,0))</f>
        <v>3.2599999999999997E-2</v>
      </c>
      <c r="K34" s="594"/>
      <c r="L34" s="427"/>
      <c r="M34" s="352"/>
      <c r="N34" s="352"/>
      <c r="O34" s="352"/>
      <c r="P34" s="352"/>
      <c r="Q34" s="352"/>
      <c r="R34" s="352"/>
    </row>
    <row r="35" spans="1:18" s="302" customFormat="1">
      <c r="B35" s="352" t="s">
        <v>767</v>
      </c>
      <c r="C35" s="352"/>
      <c r="D35" s="352"/>
      <c r="E35" s="594" t="s">
        <v>766</v>
      </c>
      <c r="F35" s="623">
        <f>INDEX(Data!$O$63:$U$91,MATCH('RFPR cover'!$C$7,Data!$B$63:$B$91,0),MATCH('R7 - RAV'!F$6,Data!$O$62:$U$62,0))</f>
        <v>5.2833944000000001E-2</v>
      </c>
      <c r="G35" s="623">
        <f>INDEX(Data!$O$63:$U$91,MATCH('RFPR cover'!$C$7,Data!$B$63:$B$91,0),MATCH('R7 - RAV'!G$6,Data!$O$62:$U$62,0))</f>
        <v>5.5875458000000003E-2</v>
      </c>
      <c r="H35" s="623">
        <f>INDEX(Data!$O$63:$U$91,MATCH('RFPR cover'!$C$7,Data!$B$63:$B$91,0),MATCH('R7 - RAV'!H$6,Data!$O$62:$U$62,0))</f>
        <v>5.5175427000000006E-2</v>
      </c>
      <c r="I35" s="623">
        <f>INDEX(Data!$O$63:$U$91,MATCH('RFPR cover'!$C$7,Data!$B$63:$B$91,0),MATCH('R7 - RAV'!I$6,Data!$O$62:$U$62,0))</f>
        <v>5.5320261000000003E-2</v>
      </c>
      <c r="J35" s="623">
        <f>INDEX(Data!$O$63:$U$91,MATCH('RFPR cover'!$C$7,Data!$B$63:$B$91,0),MATCH('R7 - RAV'!J$6,Data!$O$62:$U$62,0))</f>
        <v>5.5489234000000012E-2</v>
      </c>
      <c r="K35" s="594"/>
      <c r="L35" s="427"/>
      <c r="M35" s="594"/>
      <c r="N35" s="594"/>
    </row>
    <row r="36" spans="1:18">
      <c r="A36" s="302"/>
      <c r="B36" s="352" t="s">
        <v>768</v>
      </c>
      <c r="C36" s="352"/>
      <c r="D36" s="352"/>
      <c r="E36" s="594" t="s">
        <v>477</v>
      </c>
      <c r="F36" s="624">
        <f t="shared" ref="F36:J36" si="6">Notional_Gearing</f>
        <v>0.6</v>
      </c>
      <c r="G36" s="624">
        <f t="shared" si="6"/>
        <v>0.6</v>
      </c>
      <c r="H36" s="624">
        <f t="shared" si="6"/>
        <v>0.6</v>
      </c>
      <c r="I36" s="624">
        <f t="shared" si="6"/>
        <v>0.6</v>
      </c>
      <c r="J36" s="624">
        <f t="shared" si="6"/>
        <v>0.6</v>
      </c>
      <c r="K36" s="594"/>
      <c r="L36" s="427"/>
      <c r="M36" s="594"/>
      <c r="N36" s="594"/>
    </row>
    <row r="37" spans="1:18">
      <c r="B37" s="103" t="s">
        <v>769</v>
      </c>
      <c r="E37" s="594" t="s">
        <v>766</v>
      </c>
      <c r="F37" s="625">
        <f t="shared" ref="F37:J37" si="7">F34*F36+F35*(1-F36)</f>
        <v>3.97335776E-2</v>
      </c>
      <c r="G37" s="626">
        <f t="shared" si="7"/>
        <v>4.1370183200000001E-2</v>
      </c>
      <c r="H37" s="626">
        <f t="shared" si="7"/>
        <v>4.1450170800000005E-2</v>
      </c>
      <c r="I37" s="626">
        <f t="shared" si="7"/>
        <v>4.15681044E-2</v>
      </c>
      <c r="J37" s="626">
        <f t="shared" si="7"/>
        <v>4.1755693600000005E-2</v>
      </c>
      <c r="K37" s="594"/>
      <c r="L37" s="427"/>
      <c r="M37" s="594"/>
      <c r="N37" s="594"/>
    </row>
    <row r="38" spans="1:18" s="302" customFormat="1">
      <c r="A38" s="103"/>
      <c r="B38" s="103"/>
      <c r="C38" s="103"/>
      <c r="D38" s="103"/>
      <c r="E38" s="608"/>
      <c r="F38" s="609"/>
      <c r="G38" s="609"/>
      <c r="H38" s="609"/>
      <c r="I38" s="609"/>
      <c r="J38" s="609"/>
      <c r="K38" s="594"/>
      <c r="L38" s="427"/>
      <c r="M38" s="594"/>
      <c r="N38" s="594"/>
    </row>
    <row r="39" spans="1:18" s="302" customFormat="1">
      <c r="A39" s="103"/>
      <c r="B39" s="79" t="s">
        <v>770</v>
      </c>
      <c r="C39" s="79"/>
      <c r="D39" s="79"/>
      <c r="E39" s="594" t="str">
        <f>Data!$C$9</f>
        <v>£m 20/21</v>
      </c>
      <c r="F39" s="18">
        <f>F41*F36</f>
        <v>1196.4480944469276</v>
      </c>
      <c r="G39" s="19">
        <f t="shared" ref="G39:J39" si="8">G41*G36</f>
        <v>1240.648278773436</v>
      </c>
      <c r="H39" s="19">
        <f t="shared" si="8"/>
        <v>1296.7083626494509</v>
      </c>
      <c r="I39" s="19">
        <f t="shared" si="8"/>
        <v>1355.7537507086877</v>
      </c>
      <c r="J39" s="19">
        <f t="shared" si="8"/>
        <v>1419.2120696171423</v>
      </c>
      <c r="K39" s="594"/>
      <c r="L39" s="427"/>
      <c r="M39" s="352"/>
      <c r="N39" s="352"/>
      <c r="O39" s="352"/>
      <c r="P39" s="352"/>
      <c r="Q39" s="352"/>
      <c r="R39" s="352"/>
    </row>
    <row r="40" spans="1:18" s="302" customFormat="1">
      <c r="A40" s="103"/>
      <c r="B40" s="79" t="s">
        <v>771</v>
      </c>
      <c r="C40" s="79"/>
      <c r="D40" s="79"/>
      <c r="E40" s="594" t="str">
        <f>Data!$C$9</f>
        <v>£m 20/21</v>
      </c>
      <c r="F40" s="65">
        <f>F41*(1-F36)</f>
        <v>797.63206296461851</v>
      </c>
      <c r="G40" s="66">
        <f t="shared" ref="G40:J40" si="9">G41*(1-G36)</f>
        <v>827.09885251562412</v>
      </c>
      <c r="H40" s="66">
        <f t="shared" si="9"/>
        <v>864.47224176630061</v>
      </c>
      <c r="I40" s="66">
        <f t="shared" si="9"/>
        <v>903.83583380579194</v>
      </c>
      <c r="J40" s="66">
        <f t="shared" si="9"/>
        <v>946.14137974476171</v>
      </c>
      <c r="K40" s="594"/>
      <c r="L40" s="427"/>
      <c r="M40" s="352"/>
      <c r="N40" s="352"/>
      <c r="O40" s="352"/>
      <c r="P40" s="352"/>
      <c r="Q40" s="352"/>
      <c r="R40" s="352"/>
    </row>
    <row r="41" spans="1:18" s="302" customFormat="1">
      <c r="A41" s="103"/>
      <c r="B41" s="103" t="s">
        <v>772</v>
      </c>
      <c r="C41" s="103"/>
      <c r="D41" s="103"/>
      <c r="E41" s="594" t="str">
        <f>Data!$C$9</f>
        <v>£m 20/21</v>
      </c>
      <c r="F41" s="21">
        <f>AVERAGE(F17,F24*(1/(1+F37)))</f>
        <v>1994.0801574115462</v>
      </c>
      <c r="G41" s="21">
        <f t="shared" ref="G41:J41" si="10">AVERAGE(G17,G24*(1/(1+G37)))</f>
        <v>2067.7471312890602</v>
      </c>
      <c r="H41" s="21">
        <f t="shared" si="10"/>
        <v>2161.1806044157515</v>
      </c>
      <c r="I41" s="21">
        <f t="shared" si="10"/>
        <v>2259.5895845144796</v>
      </c>
      <c r="J41" s="21">
        <f t="shared" si="10"/>
        <v>2365.353449361904</v>
      </c>
      <c r="K41" s="594"/>
      <c r="L41" s="427"/>
      <c r="M41" s="352"/>
      <c r="N41" s="352"/>
      <c r="O41" s="352"/>
      <c r="P41" s="352"/>
      <c r="Q41" s="352"/>
      <c r="R41" s="352"/>
    </row>
    <row r="42" spans="1:18" s="302" customFormat="1">
      <c r="A42" s="103"/>
      <c r="B42" s="103"/>
      <c r="C42" s="103"/>
      <c r="D42" s="103"/>
      <c r="E42" s="594"/>
      <c r="F42" s="594"/>
      <c r="G42" s="594"/>
      <c r="H42" s="594"/>
      <c r="I42" s="594"/>
      <c r="J42" s="594"/>
      <c r="K42" s="594"/>
      <c r="L42" s="427"/>
      <c r="M42" s="352"/>
      <c r="N42" s="352"/>
      <c r="O42" s="352"/>
      <c r="P42" s="352"/>
      <c r="Q42" s="352"/>
      <c r="R42" s="352"/>
    </row>
    <row r="43" spans="1:18" s="302" customFormat="1">
      <c r="A43" s="103"/>
      <c r="B43" s="79" t="s">
        <v>773</v>
      </c>
      <c r="C43" s="79"/>
      <c r="D43" s="79"/>
      <c r="E43" s="594" t="str">
        <f>Data!$C$9</f>
        <v>£m 20/21</v>
      </c>
      <c r="F43" s="142">
        <f>F34*F39</f>
        <v>37.089890927854753</v>
      </c>
      <c r="G43" s="143">
        <f t="shared" ref="G43:J44" si="11">G34*G39</f>
        <v>39.328550437117919</v>
      </c>
      <c r="H43" s="143">
        <f t="shared" si="11"/>
        <v>41.88368011357727</v>
      </c>
      <c r="I43" s="143">
        <f t="shared" si="11"/>
        <v>43.926421522961476</v>
      </c>
      <c r="J43" s="143">
        <f t="shared" si="11"/>
        <v>46.266313469518835</v>
      </c>
      <c r="K43" s="594"/>
      <c r="L43" s="427"/>
      <c r="M43" s="352"/>
      <c r="N43" s="352"/>
      <c r="O43" s="352"/>
      <c r="P43" s="352"/>
      <c r="Q43" s="352"/>
      <c r="R43" s="352"/>
    </row>
    <row r="44" spans="1:18">
      <c r="B44" s="79" t="s">
        <v>774</v>
      </c>
      <c r="C44" s="79"/>
      <c r="D44" s="79"/>
      <c r="E44" s="594" t="str">
        <f>Data!$C$9</f>
        <v>£m 20/21</v>
      </c>
      <c r="F44" s="15">
        <f>F35*F40</f>
        <v>42.142047747277132</v>
      </c>
      <c r="G44" s="16">
        <f t="shared" si="11"/>
        <v>46.214527195584949</v>
      </c>
      <c r="H44" s="16">
        <f t="shared" si="11"/>
        <v>47.697625069102877</v>
      </c>
      <c r="I44" s="16">
        <f t="shared" si="11"/>
        <v>50.000434227289034</v>
      </c>
      <c r="J44" s="16">
        <f t="shared" si="11"/>
        <v>52.500660417739951</v>
      </c>
      <c r="K44" s="594"/>
      <c r="L44" s="427"/>
      <c r="M44" s="352"/>
      <c r="N44" s="352"/>
      <c r="O44" s="352"/>
      <c r="P44" s="352"/>
      <c r="Q44" s="352"/>
      <c r="R44" s="352"/>
    </row>
    <row r="45" spans="1:18">
      <c r="B45" s="103" t="s">
        <v>775</v>
      </c>
      <c r="E45" s="594" t="str">
        <f>Data!$C$9</f>
        <v>£m 20/21</v>
      </c>
      <c r="F45" s="21">
        <f>SUM(F43:F44)</f>
        <v>79.231938675131886</v>
      </c>
      <c r="G45" s="22">
        <f t="shared" ref="G45:J45" si="12">SUM(G43:G44)</f>
        <v>85.543077632702875</v>
      </c>
      <c r="H45" s="22">
        <f t="shared" si="12"/>
        <v>89.581305182680154</v>
      </c>
      <c r="I45" s="22">
        <f t="shared" si="12"/>
        <v>93.92685575025051</v>
      </c>
      <c r="J45" s="22">
        <f t="shared" si="12"/>
        <v>98.766973887258786</v>
      </c>
      <c r="K45" s="594"/>
      <c r="L45" s="427"/>
      <c r="M45" s="352"/>
      <c r="N45" s="352"/>
      <c r="O45" s="352"/>
      <c r="P45" s="352"/>
      <c r="Q45" s="352"/>
      <c r="R45" s="352"/>
    </row>
    <row r="46" spans="1:18">
      <c r="K46" s="594"/>
      <c r="L46" s="427"/>
      <c r="M46" s="352"/>
      <c r="N46" s="352"/>
      <c r="O46" s="352"/>
      <c r="P46" s="352"/>
      <c r="Q46" s="352"/>
      <c r="R46" s="352"/>
    </row>
    <row r="47" spans="1:18">
      <c r="B47" s="79"/>
      <c r="C47" s="79"/>
      <c r="D47" s="79"/>
      <c r="E47" s="29"/>
      <c r="F47" s="532"/>
      <c r="G47" s="532"/>
      <c r="H47" s="532"/>
      <c r="I47" s="532"/>
      <c r="J47" s="532"/>
      <c r="K47" s="594"/>
      <c r="L47" s="427"/>
      <c r="M47" s="352"/>
      <c r="N47" s="352"/>
      <c r="O47" s="352"/>
      <c r="P47" s="352"/>
      <c r="Q47" s="352"/>
      <c r="R47" s="352"/>
    </row>
    <row r="48" spans="1:18">
      <c r="B48" s="79"/>
      <c r="C48" s="79"/>
      <c r="D48" s="79"/>
      <c r="E48" s="29"/>
      <c r="F48" s="532"/>
      <c r="G48" s="532"/>
      <c r="H48" s="532"/>
      <c r="I48" s="532"/>
      <c r="J48" s="532"/>
      <c r="K48" s="594"/>
      <c r="L48" s="427"/>
      <c r="M48" s="352"/>
      <c r="N48" s="352"/>
      <c r="O48" s="352"/>
      <c r="P48" s="352"/>
      <c r="Q48" s="352"/>
      <c r="R48" s="352"/>
    </row>
    <row r="49" spans="2:14">
      <c r="E49" s="29"/>
      <c r="F49" s="610"/>
      <c r="G49" s="610"/>
      <c r="H49" s="610"/>
      <c r="I49" s="610"/>
      <c r="J49" s="610"/>
      <c r="K49" s="594"/>
      <c r="L49" s="427"/>
      <c r="M49" s="594"/>
      <c r="N49" s="594"/>
    </row>
    <row r="50" spans="2:14">
      <c r="E50" s="594"/>
      <c r="F50" s="594"/>
      <c r="G50" s="594"/>
      <c r="H50" s="594"/>
      <c r="I50" s="594"/>
      <c r="J50" s="594"/>
      <c r="K50" s="594"/>
      <c r="L50" s="427"/>
      <c r="M50" s="594"/>
      <c r="N50" s="594"/>
    </row>
    <row r="54" spans="2:14">
      <c r="E54" s="103"/>
      <c r="M54" s="103"/>
    </row>
    <row r="55" spans="2:14">
      <c r="E55" s="103"/>
      <c r="M55" s="103"/>
    </row>
    <row r="56" spans="2:14">
      <c r="B56" s="79"/>
      <c r="C56" s="79"/>
      <c r="D56" s="79"/>
      <c r="E56" s="29"/>
      <c r="F56" s="532"/>
      <c r="G56" s="532"/>
      <c r="H56" s="532"/>
      <c r="I56" s="532"/>
      <c r="J56" s="532"/>
      <c r="K56" s="391"/>
    </row>
    <row r="57" spans="2:14">
      <c r="B57" s="79"/>
      <c r="C57" s="79"/>
      <c r="D57" s="79"/>
      <c r="E57" s="29"/>
      <c r="F57" s="610"/>
      <c r="G57" s="610"/>
      <c r="H57" s="610"/>
      <c r="I57" s="610"/>
      <c r="J57" s="610"/>
    </row>
    <row r="58" spans="2:14">
      <c r="E58" s="29"/>
      <c r="F58" s="532"/>
      <c r="G58" s="532"/>
      <c r="H58" s="532"/>
      <c r="I58" s="532"/>
      <c r="J58" s="532"/>
    </row>
    <row r="59" spans="2:14">
      <c r="B59" s="391"/>
      <c r="C59" s="391"/>
      <c r="D59" s="391"/>
      <c r="E59" s="40"/>
      <c r="F59" s="40"/>
      <c r="G59" s="40"/>
      <c r="H59" s="40"/>
      <c r="I59" s="40"/>
      <c r="J59" s="40"/>
    </row>
    <row r="60" spans="2:14">
      <c r="B60" s="391"/>
      <c r="C60" s="391"/>
      <c r="D60" s="391"/>
      <c r="E60" s="40"/>
      <c r="F60" s="40"/>
      <c r="G60" s="40"/>
      <c r="H60" s="40"/>
      <c r="I60" s="40"/>
      <c r="J60" s="40"/>
    </row>
    <row r="61" spans="2:14">
      <c r="B61" s="391"/>
      <c r="C61" s="391"/>
      <c r="D61" s="391"/>
      <c r="E61" s="40"/>
      <c r="F61" s="40"/>
      <c r="G61" s="40"/>
      <c r="H61" s="40"/>
      <c r="I61" s="40"/>
      <c r="J61" s="40"/>
    </row>
    <row r="64" spans="2:14">
      <c r="B64" s="391"/>
      <c r="C64" s="391"/>
      <c r="D64" s="391"/>
      <c r="E64" s="40"/>
      <c r="F64" s="40"/>
      <c r="G64" s="40"/>
      <c r="H64" s="40"/>
      <c r="I64" s="40"/>
      <c r="J64" s="40"/>
    </row>
  </sheetData>
  <sheetProtection algorithmName="SHA-512" hashValue="5o45xcA/SaGq+PsJAwgKwD4vSmYTyzIAfDwLeZ4fjFK17Cqy6XDWe+3QDmAfvWcWosEaoFsPPbrph4c7RGp7UQ==" saltValue="sKl9v6brKxJV0rYeycstDQ==" spinCount="100000" sheet="1" objects="1" scenarios="1"/>
  <conditionalFormatting sqref="F5:J5 F6:I6">
    <cfRule type="expression" dxfId="25" priority="15">
      <formula>AND(F$5="Actuals",G$5="Forecast")</formula>
    </cfRule>
  </conditionalFormatting>
  <conditionalFormatting sqref="F7:J7">
    <cfRule type="expression" dxfId="24" priority="1">
      <formula>AND(F$5="Actuals",G$5="Forecast")</formula>
    </cfRule>
  </conditionalFormatting>
  <conditionalFormatting sqref="J6">
    <cfRule type="expression" dxfId="23"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Normal="100" workbookViewId="0"/>
  </sheetViews>
  <sheetFormatPr defaultColWidth="9" defaultRowHeight="13.5"/>
  <cols>
    <col min="1" max="1" width="8.3828125" style="103" customWidth="1"/>
    <col min="2" max="2" width="54.765625" style="103" customWidth="1"/>
    <col min="3" max="3" width="1.765625" style="103" customWidth="1"/>
    <col min="4" max="4" width="14.15234375" style="103" customWidth="1"/>
    <col min="5" max="9" width="11.15234375" style="103" customWidth="1"/>
    <col min="10" max="10" width="7.765625" style="103" customWidth="1"/>
    <col min="11" max="16384" width="9" style="103"/>
  </cols>
  <sheetData>
    <row r="1" spans="1:20" ht="20">
      <c r="A1" s="287" t="s">
        <v>267</v>
      </c>
      <c r="B1" s="289"/>
      <c r="C1" s="289"/>
      <c r="D1" s="290"/>
      <c r="E1" s="290"/>
      <c r="F1" s="290"/>
      <c r="G1" s="290"/>
      <c r="H1" s="290"/>
      <c r="I1" s="290"/>
      <c r="J1" s="416"/>
    </row>
    <row r="2" spans="1:20" ht="20">
      <c r="A2" s="292" t="str">
        <f>Licensee</f>
        <v>NPgY</v>
      </c>
      <c r="B2" s="295"/>
      <c r="C2" s="295"/>
      <c r="D2" s="295"/>
      <c r="E2" s="295"/>
      <c r="F2" s="295"/>
      <c r="G2" s="295"/>
      <c r="H2" s="295"/>
      <c r="I2" s="295"/>
      <c r="J2" s="297"/>
    </row>
    <row r="3" spans="1:20" ht="20">
      <c r="A3" s="294">
        <f>Reporting_Year</f>
        <v>2024</v>
      </c>
      <c r="B3" s="298"/>
      <c r="C3" s="298"/>
      <c r="D3" s="298"/>
      <c r="E3" s="627"/>
      <c r="F3" s="627"/>
      <c r="G3" s="627"/>
      <c r="H3" s="627"/>
      <c r="I3" s="627"/>
      <c r="J3" s="300"/>
    </row>
    <row r="4" spans="1:20" ht="12.75" customHeight="1">
      <c r="A4" s="628"/>
      <c r="B4" s="629"/>
      <c r="C4" s="629"/>
      <c r="D4" s="628"/>
      <c r="E4" s="628"/>
      <c r="F4" s="628"/>
      <c r="G4" s="628"/>
      <c r="H4" s="628"/>
      <c r="I4" s="628"/>
      <c r="J4" s="628"/>
      <c r="K4" s="629"/>
    </row>
    <row r="5" spans="1:20" s="302" customFormat="1">
      <c r="B5" s="440"/>
      <c r="C5" s="440"/>
      <c r="D5" s="440"/>
      <c r="E5" s="301" t="str">
        <f>IF(E6+1&lt;=Reporting_Year,"Actuals","Forecast")</f>
        <v>Forecast</v>
      </c>
      <c r="F5" s="301" t="str">
        <f>IF(F6+1&lt;=Reporting_Year,"Actuals","Forecast")</f>
        <v>Forecast</v>
      </c>
      <c r="G5" s="301" t="str">
        <f>IF(G6+1&lt;=Reporting_Year,"Actuals","Forecast")</f>
        <v>Forecast</v>
      </c>
      <c r="H5" s="301" t="str">
        <f>IF(H6+1&lt;=Reporting_Year,"Actuals","Forecast")</f>
        <v>Forecast</v>
      </c>
      <c r="I5" s="301" t="str">
        <f>IF(I6+1&lt;=Reporting_Year,"Actuals","Forecast")</f>
        <v>Forecast</v>
      </c>
    </row>
    <row r="6" spans="1:20" s="302" customFormat="1">
      <c r="E6" s="417">
        <f>'RFPR cover'!$C$6</f>
        <v>2024</v>
      </c>
      <c r="F6" s="418">
        <f>E6+1</f>
        <v>2025</v>
      </c>
      <c r="G6" s="418">
        <f t="shared" ref="G6:I6" si="0">F6+1</f>
        <v>2026</v>
      </c>
      <c r="H6" s="418">
        <f t="shared" si="0"/>
        <v>2027</v>
      </c>
      <c r="I6" s="418">
        <f t="shared" si="0"/>
        <v>2028</v>
      </c>
    </row>
    <row r="7" spans="1:20" s="302" customFormat="1">
      <c r="E7" s="417" t="str">
        <f>RIIO_2_start_date-1&amp;"/"&amp;RIGHT(RIIO_2_start_date,2)</f>
        <v>2023/24</v>
      </c>
      <c r="F7" s="417" t="str">
        <f>RIIO_2_start_date&amp;"/"&amp;RIGHT(RIIO_2_start_date+1,2)</f>
        <v>2024/25</v>
      </c>
      <c r="G7" s="417" t="str">
        <f>RIIO_2_start_date+1&amp;"/"&amp;RIGHT(RIIO_2_start_date+2,2)</f>
        <v>2025/26</v>
      </c>
      <c r="H7" s="417" t="str">
        <f>RIIO_2_start_date+2&amp;"/"&amp;RIGHT(RIIO_2_start_date+3,2)</f>
        <v>2026/27</v>
      </c>
      <c r="I7" s="521" t="str">
        <f>RIIO_2_start_date+3&amp;"/"&amp;RIGHT(RIIO_2_start_date+4,2)</f>
        <v>2027/28</v>
      </c>
    </row>
    <row r="8" spans="1:20" s="302" customFormat="1">
      <c r="B8" s="630" t="s">
        <v>776</v>
      </c>
      <c r="C8" s="540"/>
      <c r="D8" s="541"/>
      <c r="E8" s="541"/>
      <c r="F8" s="541"/>
      <c r="G8" s="541"/>
      <c r="H8" s="541"/>
      <c r="I8" s="541"/>
    </row>
    <row r="9" spans="1:20" s="302" customFormat="1" ht="34.5" customHeight="1">
      <c r="B9" s="855" t="s">
        <v>777</v>
      </c>
      <c r="C9" s="855"/>
      <c r="D9" s="855"/>
      <c r="E9" s="855"/>
      <c r="F9" s="855"/>
      <c r="G9" s="855"/>
      <c r="H9" s="855"/>
      <c r="I9" s="855"/>
    </row>
    <row r="10" spans="1:20" s="302" customFormat="1">
      <c r="B10" s="593"/>
      <c r="C10" s="593"/>
    </row>
    <row r="11" spans="1:20" s="302" customFormat="1" ht="34.5" customHeight="1">
      <c r="B11" s="631" t="s">
        <v>778</v>
      </c>
      <c r="C11" s="391"/>
      <c r="D11" s="29" t="s">
        <v>513</v>
      </c>
      <c r="E11" s="632"/>
      <c r="F11" s="632"/>
      <c r="G11" s="632"/>
      <c r="H11" s="632"/>
      <c r="I11" s="632"/>
      <c r="J11" s="103"/>
    </row>
    <row r="12" spans="1:20" s="302" customFormat="1">
      <c r="B12" s="391"/>
      <c r="C12" s="391"/>
      <c r="D12" s="391"/>
      <c r="E12" s="391"/>
      <c r="F12" s="391"/>
      <c r="G12" s="391"/>
      <c r="H12" s="391"/>
      <c r="I12" s="391"/>
      <c r="J12" s="391"/>
      <c r="K12" s="391"/>
      <c r="L12" s="391"/>
      <c r="M12" s="391"/>
      <c r="N12" s="391"/>
      <c r="O12" s="391"/>
      <c r="P12" s="391"/>
      <c r="Q12" s="391"/>
      <c r="R12" s="391"/>
      <c r="S12" s="391"/>
      <c r="T12" s="391"/>
    </row>
    <row r="13" spans="1:20" s="302" customFormat="1">
      <c r="B13" s="391"/>
      <c r="C13" s="391"/>
      <c r="D13" s="391"/>
      <c r="E13" s="391"/>
      <c r="F13" s="391"/>
      <c r="G13" s="391"/>
      <c r="H13" s="391"/>
      <c r="I13" s="391"/>
      <c r="J13" s="391"/>
      <c r="K13" s="391"/>
      <c r="L13" s="391"/>
      <c r="M13" s="391"/>
      <c r="N13" s="391"/>
      <c r="O13" s="391"/>
      <c r="P13" s="391"/>
      <c r="Q13" s="391"/>
      <c r="R13" s="391"/>
      <c r="S13" s="391"/>
      <c r="T13" s="391"/>
    </row>
    <row r="14" spans="1:20" s="302" customFormat="1">
      <c r="B14" s="633"/>
      <c r="C14" s="391"/>
      <c r="D14" s="29"/>
      <c r="E14" s="634"/>
      <c r="F14" s="634"/>
      <c r="G14" s="634"/>
      <c r="H14" s="634"/>
      <c r="I14" s="634"/>
      <c r="J14" s="103"/>
    </row>
    <row r="15" spans="1:20">
      <c r="B15" s="391" t="s">
        <v>779</v>
      </c>
      <c r="C15" s="391"/>
      <c r="D15" s="29"/>
      <c r="E15" s="29"/>
      <c r="F15" s="29"/>
      <c r="G15" s="29"/>
      <c r="H15" s="29"/>
      <c r="I15" s="29"/>
      <c r="M15" s="302"/>
      <c r="N15" s="302"/>
    </row>
    <row r="16" spans="1:20">
      <c r="B16" s="525" t="s">
        <v>780</v>
      </c>
      <c r="C16" s="525"/>
      <c r="D16" s="29" t="s">
        <v>513</v>
      </c>
      <c r="E16" s="632"/>
      <c r="F16" s="632"/>
      <c r="G16" s="632"/>
      <c r="H16" s="632"/>
      <c r="I16" s="632"/>
      <c r="M16" s="302"/>
      <c r="N16" s="302"/>
    </row>
    <row r="17" spans="2:38">
      <c r="B17" s="525" t="s">
        <v>781</v>
      </c>
      <c r="C17" s="525"/>
      <c r="D17" s="29" t="s">
        <v>513</v>
      </c>
      <c r="E17" s="632"/>
      <c r="F17" s="632"/>
      <c r="G17" s="632"/>
      <c r="H17" s="632"/>
      <c r="I17" s="632"/>
      <c r="M17" s="302"/>
      <c r="N17" s="302"/>
    </row>
    <row r="18" spans="2:38">
      <c r="B18" s="525" t="s">
        <v>782</v>
      </c>
      <c r="C18" s="525"/>
      <c r="D18" s="29" t="s">
        <v>513</v>
      </c>
      <c r="E18" s="632"/>
      <c r="F18" s="632"/>
      <c r="G18" s="632"/>
      <c r="H18" s="632"/>
      <c r="I18" s="632"/>
      <c r="M18" s="302"/>
      <c r="N18" s="302"/>
    </row>
    <row r="19" spans="2:38">
      <c r="B19" s="525" t="s">
        <v>783</v>
      </c>
      <c r="C19" s="525"/>
      <c r="D19" s="29" t="s">
        <v>513</v>
      </c>
      <c r="E19" s="632"/>
      <c r="F19" s="632"/>
      <c r="G19" s="632"/>
      <c r="H19" s="632"/>
      <c r="I19" s="632"/>
      <c r="M19" s="302"/>
      <c r="N19" s="302"/>
    </row>
    <row r="20" spans="2:38">
      <c r="B20" s="635" t="s">
        <v>784</v>
      </c>
      <c r="C20" s="635"/>
      <c r="D20" s="29" t="s">
        <v>513</v>
      </c>
      <c r="E20" s="513">
        <f>SUM(E16:E19)</f>
        <v>0</v>
      </c>
      <c r="F20" s="472">
        <f t="shared" ref="F20:I20" si="1">SUM(F16:F19)</f>
        <v>0</v>
      </c>
      <c r="G20" s="472">
        <f t="shared" si="1"/>
        <v>0</v>
      </c>
      <c r="H20" s="472">
        <f t="shared" si="1"/>
        <v>0</v>
      </c>
      <c r="I20" s="472">
        <f t="shared" si="1"/>
        <v>0</v>
      </c>
      <c r="M20" s="302"/>
      <c r="N20" s="302"/>
    </row>
    <row r="21" spans="2:38">
      <c r="B21" s="525"/>
      <c r="C21" s="525"/>
      <c r="D21" s="525"/>
      <c r="E21" s="636"/>
      <c r="F21" s="636"/>
      <c r="G21" s="636"/>
      <c r="H21" s="636"/>
      <c r="I21" s="636"/>
    </row>
    <row r="22" spans="2:38">
      <c r="B22" s="391" t="s">
        <v>684</v>
      </c>
      <c r="C22" s="391"/>
      <c r="D22" s="29"/>
      <c r="E22" s="29"/>
      <c r="F22" s="231"/>
      <c r="G22" s="231"/>
      <c r="H22" s="231"/>
      <c r="I22" s="231"/>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row>
    <row r="23" spans="2:38">
      <c r="B23" s="525" t="s">
        <v>785</v>
      </c>
      <c r="C23" s="637"/>
      <c r="D23" s="29" t="s">
        <v>513</v>
      </c>
      <c r="E23" s="642">
        <f>IF(E5="Actuals",('R4 - Incentives and Other Rev'!D71+'R4 - Incentives and Other Rev'!D45+'R4 - Incentives and Other Rev'!D52+'R4 - Incentives and Other Rev'!D59)/(1-INDEX(Corporate_Tax,MATCH(E$6,Data!$C$18:$N$18,0)))*INDEX(Corporate_Tax,MATCH(E$6,Data!$C$18:$N$18,0)),0)*E38</f>
        <v>0</v>
      </c>
      <c r="F23" s="642">
        <f>IF(F5="Actuals",('R4 - Incentives and Other Rev'!E71+'R4 - Incentives and Other Rev'!E45+'R4 - Incentives and Other Rev'!E52+'R4 - Incentives and Other Rev'!E59)/(1-INDEX(Corporate_Tax,MATCH(F$6,Data!$C$18:$N$18,0)))*INDEX(Corporate_Tax,MATCH(F$6,Data!$C$18:$N$18,0)),0)*F38</f>
        <v>0</v>
      </c>
      <c r="G23" s="642">
        <f>IF(G5="Actuals",('R4 - Incentives and Other Rev'!F71+'R4 - Incentives and Other Rev'!F45+'R4 - Incentives and Other Rev'!F52+'R4 - Incentives and Other Rev'!F59)/(1-INDEX(Corporate_Tax,MATCH(G$6,Data!$C$18:$N$18,0)))*INDEX(Corporate_Tax,MATCH(G$6,Data!$C$18:$N$18,0)),0)*G38</f>
        <v>0</v>
      </c>
      <c r="H23" s="642">
        <f>IF(H5="Actuals",('R4 - Incentives and Other Rev'!G71+'R4 - Incentives and Other Rev'!G45+'R4 - Incentives and Other Rev'!G52+'R4 - Incentives and Other Rev'!G59)/(1-INDEX(Corporate_Tax,MATCH(H$6,Data!$C$18:$N$18,0)))*INDEX(Corporate_Tax,MATCH(H$6,Data!$C$18:$N$18,0)),0)*H38</f>
        <v>0</v>
      </c>
      <c r="I23" s="642">
        <f>IF(I5="Actuals",('R4 - Incentives and Other Rev'!H71+'R4 - Incentives and Other Rev'!H45+'R4 - Incentives and Other Rev'!H52+'R4 - Incentives and Other Rev'!H59)/(1-INDEX(Corporate_Tax,MATCH(I$6,Data!$C$18:$N$18,0)))*INDEX(Corporate_Tax,MATCH(I$6,Data!$C$18:$N$18,0)),0)*I38</f>
        <v>0</v>
      </c>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row>
    <row r="24" spans="2:38">
      <c r="B24" s="525" t="s">
        <v>786</v>
      </c>
      <c r="C24" s="525"/>
      <c r="D24" s="29" t="s">
        <v>513</v>
      </c>
      <c r="E24" s="632"/>
      <c r="F24" s="632"/>
      <c r="G24" s="632"/>
      <c r="H24" s="632"/>
      <c r="I24" s="632"/>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row>
    <row r="25" spans="2:38">
      <c r="B25" s="525" t="s">
        <v>787</v>
      </c>
      <c r="C25" s="525"/>
      <c r="D25" s="29" t="s">
        <v>513</v>
      </c>
      <c r="E25" s="632"/>
      <c r="F25" s="632"/>
      <c r="G25" s="632"/>
      <c r="H25" s="632"/>
      <c r="I25" s="632"/>
    </row>
    <row r="26" spans="2:38">
      <c r="B26" s="525" t="s">
        <v>788</v>
      </c>
      <c r="C26" s="525"/>
      <c r="D26" s="29" t="s">
        <v>513</v>
      </c>
      <c r="E26" s="632"/>
      <c r="F26" s="632"/>
      <c r="G26" s="632"/>
      <c r="H26" s="632"/>
      <c r="I26" s="632"/>
    </row>
    <row r="27" spans="2:38">
      <c r="B27" s="525" t="s">
        <v>789</v>
      </c>
      <c r="C27" s="525"/>
      <c r="D27" s="29" t="s">
        <v>513</v>
      </c>
      <c r="E27" s="632"/>
      <c r="F27" s="632"/>
      <c r="G27" s="632"/>
      <c r="H27" s="632"/>
      <c r="I27" s="632"/>
    </row>
    <row r="28" spans="2:38">
      <c r="B28" s="525" t="s">
        <v>790</v>
      </c>
      <c r="C28" s="525"/>
      <c r="D28" s="29" t="s">
        <v>513</v>
      </c>
      <c r="E28" s="632"/>
      <c r="F28" s="632"/>
      <c r="G28" s="632"/>
      <c r="H28" s="632"/>
      <c r="I28" s="632"/>
    </row>
    <row r="29" spans="2:38">
      <c r="B29" s="525" t="s">
        <v>790</v>
      </c>
      <c r="C29" s="525"/>
      <c r="D29" s="29" t="s">
        <v>513</v>
      </c>
      <c r="E29" s="632"/>
      <c r="F29" s="632"/>
      <c r="G29" s="632"/>
      <c r="H29" s="632"/>
      <c r="I29" s="632"/>
    </row>
    <row r="30" spans="2:38">
      <c r="B30" s="525" t="s">
        <v>790</v>
      </c>
      <c r="C30" s="525"/>
      <c r="D30" s="29" t="s">
        <v>513</v>
      </c>
      <c r="E30" s="632"/>
      <c r="F30" s="632"/>
      <c r="G30" s="632"/>
      <c r="H30" s="632"/>
      <c r="I30" s="632"/>
    </row>
    <row r="31" spans="2:38">
      <c r="B31" s="525" t="s">
        <v>790</v>
      </c>
      <c r="C31" s="525"/>
      <c r="D31" s="29" t="s">
        <v>513</v>
      </c>
      <c r="E31" s="632"/>
      <c r="F31" s="632"/>
      <c r="G31" s="632"/>
      <c r="H31" s="632"/>
      <c r="I31" s="632"/>
    </row>
    <row r="32" spans="2:38">
      <c r="B32" s="525" t="s">
        <v>791</v>
      </c>
      <c r="C32" s="525"/>
      <c r="D32" s="29" t="s">
        <v>513</v>
      </c>
      <c r="E32" s="632"/>
      <c r="F32" s="632"/>
      <c r="G32" s="632"/>
      <c r="H32" s="632"/>
      <c r="I32" s="632"/>
    </row>
    <row r="33" spans="2:11">
      <c r="B33" s="391" t="s">
        <v>536</v>
      </c>
      <c r="C33" s="391"/>
      <c r="D33" s="29" t="s">
        <v>513</v>
      </c>
      <c r="E33" s="642">
        <f>SUM(E23:E32)</f>
        <v>0</v>
      </c>
      <c r="F33" s="643">
        <f>SUM(F23:F32)</f>
        <v>0</v>
      </c>
      <c r="G33" s="643">
        <f>SUM(G23:G32)</f>
        <v>0</v>
      </c>
      <c r="H33" s="643">
        <f>SUM(H23:H32)</f>
        <v>0</v>
      </c>
      <c r="I33" s="643">
        <f>SUM(I23:I32)</f>
        <v>0</v>
      </c>
    </row>
    <row r="35" spans="2:11" ht="25.5" customHeight="1">
      <c r="B35" s="563" t="s">
        <v>792</v>
      </c>
      <c r="D35" s="29" t="s">
        <v>513</v>
      </c>
      <c r="E35" s="632">
        <v>42.700638763234011</v>
      </c>
      <c r="F35" s="632">
        <v>32.609605401002902</v>
      </c>
      <c r="G35" s="632">
        <v>23.032461781368017</v>
      </c>
      <c r="H35" s="632">
        <v>26.271632431792213</v>
      </c>
      <c r="I35" s="632">
        <v>24.224138918784888</v>
      </c>
    </row>
    <row r="36" spans="2:11" ht="12.75" customHeight="1">
      <c r="B36" s="563" t="s">
        <v>793</v>
      </c>
      <c r="C36" s="563"/>
      <c r="D36" s="29" t="s">
        <v>513</v>
      </c>
      <c r="E36" s="642">
        <f>IF(ISNUMBER(E11),E11-E20-E33,E35-E20-E33)</f>
        <v>42.700638763234011</v>
      </c>
      <c r="F36" s="642">
        <f t="shared" ref="F36:I36" si="2">IF(ISNUMBER(F11),F11-F20-F33,F35-F20-F33)</f>
        <v>32.609605401002902</v>
      </c>
      <c r="G36" s="642">
        <f t="shared" si="2"/>
        <v>23.032461781368017</v>
      </c>
      <c r="H36" s="642">
        <f t="shared" si="2"/>
        <v>26.271632431792213</v>
      </c>
      <c r="I36" s="642">
        <f t="shared" si="2"/>
        <v>24.224138918784888</v>
      </c>
    </row>
    <row r="37" spans="2:11" ht="12.75" customHeight="1">
      <c r="B37" s="526"/>
      <c r="C37" s="526"/>
      <c r="D37" s="29"/>
      <c r="E37" s="634"/>
      <c r="F37" s="634"/>
      <c r="G37" s="634"/>
      <c r="H37" s="634"/>
      <c r="I37" s="634"/>
    </row>
    <row r="38" spans="2:11">
      <c r="B38" s="103" t="s">
        <v>663</v>
      </c>
      <c r="D38" s="124" t="s">
        <v>664</v>
      </c>
      <c r="E38" s="644">
        <f t="shared" ref="E38:I38" si="3">INDEX(real_to_nominal_CF,MATCH(E$6,calendar_year,0))</f>
        <v>1.2806226704273584</v>
      </c>
      <c r="F38" s="644">
        <f t="shared" si="3"/>
        <v>1.3166427517353263</v>
      </c>
      <c r="G38" s="644">
        <f t="shared" si="3"/>
        <v>1.3372044808664936</v>
      </c>
      <c r="H38" s="644">
        <f t="shared" si="3"/>
        <v>1.3601375551943939</v>
      </c>
      <c r="I38" s="644">
        <f t="shared" si="3"/>
        <v>1.3864986444601943</v>
      </c>
    </row>
    <row r="39" spans="2:11">
      <c r="B39" s="526"/>
      <c r="C39" s="526"/>
      <c r="D39" s="29"/>
      <c r="E39" s="29"/>
      <c r="F39" s="29"/>
      <c r="G39" s="29"/>
      <c r="H39" s="29"/>
      <c r="I39" s="29"/>
    </row>
    <row r="40" spans="2:11">
      <c r="B40" s="563" t="s">
        <v>794</v>
      </c>
      <c r="C40" s="563"/>
      <c r="D40" s="594" t="str">
        <f>Data!$C$9</f>
        <v>£m 20/21</v>
      </c>
      <c r="E40" s="642">
        <f>Adjusted_regulated_tax_liability/E38</f>
        <v>33.343653637635761</v>
      </c>
      <c r="F40" s="642">
        <f>Adjusted_regulated_tax_liability/F38</f>
        <v>24.767238765430989</v>
      </c>
      <c r="G40" s="642">
        <f>Adjusted_regulated_tax_liability/G38</f>
        <v>17.224337871230613</v>
      </c>
      <c r="H40" s="642">
        <f>Adjusted_regulated_tax_liability/H38</f>
        <v>19.315423158091839</v>
      </c>
      <c r="I40" s="642">
        <f>Adjusted_regulated_tax_liability/I38</f>
        <v>17.471447963958216</v>
      </c>
    </row>
    <row r="41" spans="2:11">
      <c r="B41" s="563"/>
      <c r="C41" s="563"/>
      <c r="D41" s="563"/>
      <c r="E41" s="563"/>
      <c r="F41" s="563"/>
      <c r="G41" s="563"/>
      <c r="H41" s="563"/>
      <c r="I41" s="563"/>
    </row>
    <row r="42" spans="2:11">
      <c r="B42" s="539" t="s">
        <v>795</v>
      </c>
      <c r="C42" s="539"/>
      <c r="D42" s="594"/>
      <c r="E42" s="594"/>
      <c r="F42" s="594"/>
      <c r="G42" s="594"/>
      <c r="H42" s="594"/>
      <c r="I42" s="594"/>
    </row>
    <row r="43" spans="2:11">
      <c r="B43" s="540" t="s">
        <v>669</v>
      </c>
      <c r="C43" s="540"/>
      <c r="D43" s="563"/>
      <c r="E43" s="563"/>
      <c r="F43" s="563"/>
      <c r="G43" s="563"/>
      <c r="H43" s="563"/>
      <c r="I43" s="563"/>
      <c r="K43" s="563"/>
    </row>
    <row r="44" spans="2:11">
      <c r="K44" s="563"/>
    </row>
    <row r="45" spans="2:11" ht="12.75" customHeight="1">
      <c r="B45" s="79" t="s">
        <v>24</v>
      </c>
      <c r="C45" s="79"/>
      <c r="D45" s="428" t="s">
        <v>477</v>
      </c>
      <c r="E45" s="93">
        <f>Data!$C$8</f>
        <v>0.6</v>
      </c>
      <c r="F45" s="94">
        <f>Data!$C$8</f>
        <v>0.6</v>
      </c>
      <c r="G45" s="94">
        <f>Data!$C$8</f>
        <v>0.6</v>
      </c>
      <c r="H45" s="94">
        <f>Data!$C$8</f>
        <v>0.6</v>
      </c>
      <c r="I45" s="94">
        <f>Data!$C$8</f>
        <v>0.6</v>
      </c>
      <c r="K45" s="563"/>
    </row>
    <row r="46" spans="2:11" ht="12.75" customHeight="1">
      <c r="B46" s="79" t="s">
        <v>670</v>
      </c>
      <c r="C46" s="79"/>
      <c r="D46" s="428" t="s">
        <v>477</v>
      </c>
      <c r="E46" s="94">
        <f>'R6 - Net Debt'!D68</f>
        <v>0.48120396437699753</v>
      </c>
      <c r="F46" s="94">
        <f>'R6 - Net Debt'!E68</f>
        <v>0.5144732972150734</v>
      </c>
      <c r="G46" s="94">
        <f>'R6 - Net Debt'!F68</f>
        <v>0.5407596307098661</v>
      </c>
      <c r="H46" s="94">
        <f>'R6 - Net Debt'!G68</f>
        <v>0.5960934832512933</v>
      </c>
      <c r="I46" s="94">
        <f>'R6 - Net Debt'!H68</f>
        <v>0.59526963583331205</v>
      </c>
      <c r="K46" s="563"/>
    </row>
    <row r="47" spans="2:11" ht="12.75" customHeight="1">
      <c r="B47" s="79"/>
      <c r="C47" s="79"/>
      <c r="D47" s="428"/>
      <c r="E47" s="428"/>
      <c r="F47" s="428"/>
      <c r="G47" s="428"/>
      <c r="H47" s="428"/>
      <c r="I47" s="428"/>
      <c r="K47" s="563"/>
    </row>
    <row r="48" spans="2:11" ht="12.75" customHeight="1">
      <c r="B48" s="563" t="s">
        <v>794</v>
      </c>
      <c r="C48" s="563"/>
      <c r="D48" s="29" t="s">
        <v>513</v>
      </c>
      <c r="E48" s="642">
        <f>E36</f>
        <v>42.700638763234011</v>
      </c>
      <c r="F48" s="642">
        <f>F36</f>
        <v>32.609605401002902</v>
      </c>
      <c r="G48" s="642">
        <f>G36</f>
        <v>23.032461781368017</v>
      </c>
      <c r="H48" s="642">
        <f>H36</f>
        <v>26.271632431792213</v>
      </c>
      <c r="I48" s="642">
        <f>I36</f>
        <v>24.224138918784888</v>
      </c>
      <c r="K48" s="563"/>
    </row>
    <row r="49" spans="2:11">
      <c r="B49" s="79" t="s">
        <v>796</v>
      </c>
      <c r="C49" s="79"/>
      <c r="D49" s="29" t="s">
        <v>513</v>
      </c>
      <c r="E49" s="642">
        <f>E66-E68</f>
        <v>3.0235833415531523</v>
      </c>
      <c r="F49" s="642">
        <f>F66-F68</f>
        <v>-0.67850156589238253</v>
      </c>
      <c r="G49" s="642">
        <f>G66-G68</f>
        <v>-1.4132621769161027</v>
      </c>
      <c r="H49" s="642">
        <f>H66-H68</f>
        <v>-9.2458881183632102E-2</v>
      </c>
      <c r="I49" s="642">
        <f>I66-I68</f>
        <v>-0.12341991804625502</v>
      </c>
      <c r="K49" s="563"/>
    </row>
    <row r="50" spans="2:11">
      <c r="B50" s="79" t="s">
        <v>797</v>
      </c>
      <c r="C50" s="79"/>
      <c r="D50" s="29" t="s">
        <v>513</v>
      </c>
      <c r="E50" s="642">
        <f>SUM(E48:E49)</f>
        <v>45.72422210478716</v>
      </c>
      <c r="F50" s="642">
        <f>SUM(F48:F49)</f>
        <v>31.93110383511052</v>
      </c>
      <c r="G50" s="642">
        <f>SUM(G48:G49)</f>
        <v>21.619199604451914</v>
      </c>
      <c r="H50" s="642">
        <f>SUM(H48:H49)</f>
        <v>26.179173550608581</v>
      </c>
      <c r="I50" s="642">
        <f>SUM(I48:I49)</f>
        <v>24.100719000738632</v>
      </c>
    </row>
    <row r="52" spans="2:11">
      <c r="B52" s="79" t="s">
        <v>797</v>
      </c>
      <c r="C52" s="79"/>
      <c r="D52" s="594" t="str">
        <f>Data!$C$9</f>
        <v>£m 20/21</v>
      </c>
      <c r="E52" s="642">
        <f>E50/E38</f>
        <v>35.704679575544652</v>
      </c>
      <c r="F52" s="642">
        <f>F50/F38</f>
        <v>24.251911760441882</v>
      </c>
      <c r="G52" s="642">
        <f>G50/G38</f>
        <v>16.167459736930372</v>
      </c>
      <c r="H52" s="642">
        <f>H50/H38</f>
        <v>19.247445562126984</v>
      </c>
      <c r="I52" s="642">
        <f>I50/I38</f>
        <v>17.382432429367263</v>
      </c>
    </row>
    <row r="54" spans="2:11">
      <c r="B54" s="638" t="s">
        <v>798</v>
      </c>
      <c r="C54" s="638"/>
      <c r="D54" s="639"/>
      <c r="E54" s="639"/>
      <c r="F54" s="639"/>
      <c r="G54" s="639"/>
      <c r="H54" s="639"/>
      <c r="I54" s="639"/>
      <c r="K54" s="563"/>
    </row>
    <row r="55" spans="2:11" ht="12.65" customHeight="1">
      <c r="D55" s="594"/>
      <c r="E55" s="640"/>
      <c r="F55" s="640"/>
      <c r="G55" s="640"/>
      <c r="H55" s="640"/>
      <c r="I55" s="640"/>
    </row>
    <row r="56" spans="2:11">
      <c r="B56" s="103" t="s">
        <v>799</v>
      </c>
      <c r="D56" s="594" t="str">
        <f>Data!$C$9</f>
        <v>£m 20/21</v>
      </c>
      <c r="E56" s="602">
        <v>25.991736221935145</v>
      </c>
      <c r="F56" s="602">
        <v>21.160149672058118</v>
      </c>
      <c r="G56" s="602">
        <v>16.698307775735714</v>
      </c>
      <c r="H56" s="602">
        <v>19.334147117765404</v>
      </c>
      <c r="I56" s="602">
        <v>17.842185504522313</v>
      </c>
    </row>
    <row r="57" spans="2:11">
      <c r="D57" s="594"/>
      <c r="E57" s="594"/>
      <c r="F57" s="594"/>
      <c r="G57" s="594"/>
      <c r="H57" s="594"/>
      <c r="I57" s="594"/>
    </row>
    <row r="58" spans="2:11">
      <c r="B58" s="549" t="s">
        <v>678</v>
      </c>
      <c r="C58" s="549"/>
      <c r="D58" s="549"/>
      <c r="E58" s="549"/>
      <c r="F58" s="549"/>
      <c r="G58" s="549"/>
      <c r="H58" s="549"/>
      <c r="I58" s="549"/>
    </row>
    <row r="60" spans="2:11">
      <c r="B60" s="391" t="s">
        <v>800</v>
      </c>
      <c r="C60" s="391"/>
      <c r="D60" s="641" t="str">
        <f>Data!$C$9</f>
        <v>£m 20/21</v>
      </c>
      <c r="E60" s="471">
        <f>E$56-E40</f>
        <v>-7.3519174157006155</v>
      </c>
      <c r="F60" s="471">
        <f>F$56-F40</f>
        <v>-3.6070890933728705</v>
      </c>
      <c r="G60" s="471">
        <f>G$56-G40</f>
        <v>-0.52603009549489954</v>
      </c>
      <c r="H60" s="471">
        <f>H$56-H40</f>
        <v>1.8723959673565105E-2</v>
      </c>
      <c r="I60" s="471">
        <f>I$56-I40</f>
        <v>0.37073754056409669</v>
      </c>
    </row>
    <row r="61" spans="2:11">
      <c r="B61" s="391"/>
      <c r="C61" s="391"/>
      <c r="D61" s="391"/>
      <c r="E61" s="391"/>
      <c r="F61" s="391"/>
      <c r="G61" s="391"/>
      <c r="H61" s="391"/>
      <c r="I61" s="391"/>
    </row>
    <row r="62" spans="2:11">
      <c r="B62" s="391" t="s">
        <v>801</v>
      </c>
      <c r="C62" s="391"/>
      <c r="D62" s="641" t="str">
        <f>Data!$C$9</f>
        <v>£m 20/21</v>
      </c>
      <c r="E62" s="471">
        <f>E$56-E52</f>
        <v>-9.7129433536095071</v>
      </c>
      <c r="F62" s="471">
        <f>F$56-F52</f>
        <v>-3.0917620883837635</v>
      </c>
      <c r="G62" s="471">
        <f>G$56-G52</f>
        <v>0.53084803880534182</v>
      </c>
      <c r="H62" s="471">
        <f>H$56-H52</f>
        <v>8.6701555638420302E-2</v>
      </c>
      <c r="I62" s="471">
        <f>I$56-I52</f>
        <v>0.45975307515504937</v>
      </c>
    </row>
    <row r="64" spans="2:11">
      <c r="B64" s="391" t="s">
        <v>802</v>
      </c>
      <c r="C64" s="391"/>
      <c r="D64" s="641" t="str">
        <f>Data!$C$9</f>
        <v>£m 20/21</v>
      </c>
      <c r="E64" s="471">
        <f>E60-E62</f>
        <v>2.3610259379088916</v>
      </c>
      <c r="F64" s="512">
        <f>F60-F62</f>
        <v>-0.515327004989107</v>
      </c>
      <c r="G64" s="512">
        <f>G60-G62</f>
        <v>-1.0568781343002414</v>
      </c>
      <c r="H64" s="512">
        <f>H60-H62</f>
        <v>-6.7977595964855198E-2</v>
      </c>
      <c r="I64" s="512">
        <f>I60-I62</f>
        <v>-8.9015534590952683E-2</v>
      </c>
    </row>
    <row r="66" spans="2:9">
      <c r="B66" s="103" t="s">
        <v>803</v>
      </c>
      <c r="D66" s="29" t="s">
        <v>513</v>
      </c>
      <c r="E66" s="645">
        <f>-('R5 - Financing'!D83*INDEX(Corporate_Tax,MATCH(E$6,Data!$C$18:$N$18,0))*'R8 - Tax'!E$38)</f>
        <v>-24.122087987448083</v>
      </c>
      <c r="F66" s="645">
        <f>-('R5 - Financing'!E83*INDEX(Corporate_Tax,MATCH(F$6,Data!$C$18:$N$18,0))*'R8 - Tax'!F$38)</f>
        <v>-8.8639863743932814</v>
      </c>
      <c r="G66" s="645">
        <f>-('R5 - Financing'!F83*INDEX(Corporate_Tax,MATCH(G$6,Data!$C$18:$N$18,0))*'R8 - Tax'!G$38)</f>
        <v>-1.1011810182315696</v>
      </c>
      <c r="H66" s="645">
        <f>-('R5 - Financing'!G83*INDEX(Corporate_Tax,MATCH(H$6,Data!$C$18:$N$18,0))*'R8 - Tax'!H$38)</f>
        <v>-0.8282383597321048</v>
      </c>
      <c r="I66" s="645">
        <f>-('R5 - Financing'!H83*INDEX(Corporate_Tax,MATCH(I$6,Data!$C$18:$N$18,0))*'R8 - Tax'!I$38)</f>
        <v>-0.5058668485177461</v>
      </c>
    </row>
    <row r="67" spans="2:9">
      <c r="B67" s="103" t="s">
        <v>803</v>
      </c>
      <c r="D67" s="594" t="str">
        <f>Data!$C$9</f>
        <v>£m 20/21</v>
      </c>
      <c r="E67" s="642">
        <f>E66/E$38</f>
        <v>-18.836218149564903</v>
      </c>
      <c r="F67" s="642">
        <f>F66/F$38</f>
        <v>-6.7322638298890167</v>
      </c>
      <c r="G67" s="642">
        <f>G66/G$38</f>
        <v>-0.82349486109859316</v>
      </c>
      <c r="H67" s="642">
        <f>H66/H$38</f>
        <v>-0.60893720386518635</v>
      </c>
      <c r="I67" s="642">
        <f>I66/I$38</f>
        <v>-0.36485203252015819</v>
      </c>
    </row>
    <row r="68" spans="2:9">
      <c r="B68" s="103" t="s">
        <v>804</v>
      </c>
      <c r="D68" s="29" t="s">
        <v>513</v>
      </c>
      <c r="E68" s="645">
        <f>-('R5 - Financing'!D85*INDEX(Corporate_Tax,MATCH(E$6,Data!$C$18:$N$18,0))*'R8 - Tax'!E$38)</f>
        <v>-27.145671329001235</v>
      </c>
      <c r="F68" s="645">
        <f>-('R5 - Financing'!E85*INDEX(Corporate_Tax,MATCH(F$6,Data!$C$18:$N$18,0))*'R8 - Tax'!F$38)</f>
        <v>-8.1854848085008989</v>
      </c>
      <c r="G68" s="645">
        <f>-('R5 - Financing'!F85*INDEX(Corporate_Tax,MATCH(G$6,Data!$C$18:$N$18,0))*'R8 - Tax'!G$38)</f>
        <v>0.31208115868453307</v>
      </c>
      <c r="H68" s="645">
        <f>-('R5 - Financing'!G85*INDEX(Corporate_Tax,MATCH(H$6,Data!$C$18:$N$18,0))*'R8 - Tax'!H$38)</f>
        <v>-0.7357794785484727</v>
      </c>
      <c r="I68" s="645">
        <f>-('R5 - Financing'!H85*INDEX(Corporate_Tax,MATCH(I$6,Data!$C$18:$N$18,0))*'R8 - Tax'!I$38)</f>
        <v>-0.38244693047149109</v>
      </c>
    </row>
    <row r="69" spans="2:9">
      <c r="B69" s="103" t="s">
        <v>804</v>
      </c>
      <c r="D69" s="594" t="str">
        <f>Data!$C$9</f>
        <v>£m 20/21</v>
      </c>
      <c r="E69" s="642">
        <f>E68/E$38</f>
        <v>-21.197244087473802</v>
      </c>
      <c r="F69" s="642">
        <f>F68/F$38</f>
        <v>-6.2169368248999088</v>
      </c>
      <c r="G69" s="642">
        <f>G68/G$38</f>
        <v>0.23338327320164823</v>
      </c>
      <c r="H69" s="642">
        <f>H68/H$38</f>
        <v>-0.54095960790032993</v>
      </c>
      <c r="I69" s="642">
        <f>I68/I$38</f>
        <v>-0.27583649792920584</v>
      </c>
    </row>
    <row r="70" spans="2:9">
      <c r="B70" s="103" t="s">
        <v>805</v>
      </c>
      <c r="D70" s="594" t="str">
        <f>Data!$C$9</f>
        <v>£m 20/21</v>
      </c>
      <c r="E70" s="642">
        <f>E67-E69</f>
        <v>2.3610259379088987</v>
      </c>
      <c r="F70" s="642">
        <f>F67-F69</f>
        <v>-0.51532700498910788</v>
      </c>
      <c r="G70" s="642">
        <f>G67-G69</f>
        <v>-1.0568781343002414</v>
      </c>
      <c r="H70" s="642">
        <f>H67-H69</f>
        <v>-6.7977595964856419E-2</v>
      </c>
      <c r="I70" s="642">
        <f>I67-I69</f>
        <v>-8.901553459095235E-2</v>
      </c>
    </row>
  </sheetData>
  <sheetProtection algorithmName="SHA-512" hashValue="Op5g4Kaqn9FeAJHOZymy7vuN83jZbeU/dGnMYE5ikgnYm3yFSMH+Bf3PFU/SLTcoSn4L//zEaSQ6BIuykXhcTQ==" saltValue="j/mD1BbukEXh45o5JKZixA==" spinCount="100000" sheet="1" objects="1" scenarios="1"/>
  <mergeCells count="1">
    <mergeCell ref="B9:I9"/>
  </mergeCells>
  <phoneticPr fontId="248" type="noConversion"/>
  <conditionalFormatting sqref="E7:I7">
    <cfRule type="expression" dxfId="22" priority="15">
      <formula>AND(E$5="Actuals",F$5="Forecast")</formula>
    </cfRule>
  </conditionalFormatting>
  <conditionalFormatting sqref="E11:I11">
    <cfRule type="expression" dxfId="21" priority="10">
      <formula>E$5="Forecast"</formula>
    </cfRule>
  </conditionalFormatting>
  <conditionalFormatting sqref="E16:I19">
    <cfRule type="expression" dxfId="20" priority="7">
      <formula>E$5="Forecast"</formula>
    </cfRule>
  </conditionalFormatting>
  <conditionalFormatting sqref="E23:I32">
    <cfRule type="expression" dxfId="19" priority="13">
      <formula>E$5="Forecast"</formula>
    </cfRule>
  </conditionalFormatting>
  <pageMargins left="0.70866141732283472" right="0.70866141732283472" top="0.74803149606299213" bottom="0.74803149606299213" header="0.31496062992125984" footer="0.31496062992125984"/>
  <pageSetup paperSize="8" scale="75" orientation="landscape" r:id="rId1"/>
  <ignoredErrors>
    <ignoredError sqref="F46:I46"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4"/>
  <sheetViews>
    <sheetView zoomScaleNormal="100" workbookViewId="0"/>
  </sheetViews>
  <sheetFormatPr defaultColWidth="9" defaultRowHeight="13.5"/>
  <cols>
    <col min="1" max="1" width="8.3828125" style="103" customWidth="1"/>
    <col min="2" max="2" width="75" style="103" customWidth="1"/>
    <col min="3" max="3" width="15.15234375" style="103" customWidth="1"/>
    <col min="4" max="8" width="11.53515625" style="103" customWidth="1"/>
    <col min="9" max="9" width="5" style="103" customWidth="1"/>
    <col min="10" max="13" width="9" style="103"/>
    <col min="14" max="14" width="13.15234375" style="103" customWidth="1"/>
    <col min="15" max="16384" width="9" style="103"/>
  </cols>
  <sheetData>
    <row r="1" spans="1:15" ht="20">
      <c r="A1" s="287" t="s">
        <v>268</v>
      </c>
      <c r="B1" s="289"/>
      <c r="C1" s="290"/>
      <c r="D1" s="290"/>
      <c r="E1" s="290"/>
      <c r="F1" s="290"/>
      <c r="G1" s="290"/>
      <c r="H1" s="290"/>
      <c r="I1" s="416"/>
    </row>
    <row r="2" spans="1:15" ht="20">
      <c r="A2" s="292" t="str">
        <f>Licensee</f>
        <v>NPgY</v>
      </c>
      <c r="B2" s="294"/>
      <c r="C2" s="295"/>
      <c r="D2" s="295"/>
      <c r="E2" s="295"/>
      <c r="F2" s="295"/>
      <c r="G2" s="295"/>
      <c r="H2" s="295"/>
      <c r="I2" s="297"/>
    </row>
    <row r="3" spans="1:15" ht="20">
      <c r="A3" s="294">
        <f>Reporting_Year</f>
        <v>2024</v>
      </c>
      <c r="B3" s="298"/>
      <c r="C3" s="298"/>
      <c r="D3" s="298"/>
      <c r="E3" s="298"/>
      <c r="F3" s="298"/>
      <c r="G3" s="298"/>
      <c r="H3" s="298"/>
      <c r="I3" s="300"/>
    </row>
    <row r="4" spans="1:15" s="302" customFormat="1" ht="12.75" customHeight="1"/>
    <row r="5" spans="1:15" s="302" customFormat="1">
      <c r="B5" s="440"/>
      <c r="C5" s="440"/>
      <c r="D5" s="301" t="str">
        <f t="shared" ref="D5:H5" si="0">IF(D6&lt;=Reporting_Year,"Actuals","Forecast")</f>
        <v>Actuals</v>
      </c>
      <c r="E5" s="301" t="str">
        <f t="shared" si="0"/>
        <v>Forecast</v>
      </c>
      <c r="F5" s="301" t="str">
        <f t="shared" si="0"/>
        <v>Forecast</v>
      </c>
      <c r="G5" s="301" t="str">
        <f t="shared" si="0"/>
        <v>Forecast</v>
      </c>
      <c r="H5" s="301" t="str">
        <f t="shared" si="0"/>
        <v>Forecast</v>
      </c>
    </row>
    <row r="6" spans="1:15" s="302" customFormat="1">
      <c r="D6" s="417">
        <f>'RFPR cover'!$C$6</f>
        <v>2024</v>
      </c>
      <c r="E6" s="418">
        <f>D6+1</f>
        <v>2025</v>
      </c>
      <c r="F6" s="418">
        <f t="shared" ref="F6:H6" si="1">E6+1</f>
        <v>2026</v>
      </c>
      <c r="G6" s="418">
        <f t="shared" si="1"/>
        <v>2027</v>
      </c>
      <c r="H6" s="418">
        <f t="shared" si="1"/>
        <v>2028</v>
      </c>
    </row>
    <row r="7" spans="1:15" s="302" customFormat="1">
      <c r="D7" s="417" t="str">
        <f>RIIO_2_start_date-1&amp;"/"&amp;RIGHT(RIIO_2_start_date,2)</f>
        <v>2023/24</v>
      </c>
      <c r="E7" s="417" t="str">
        <f>RIIO_2_start_date&amp;"/"&amp;RIGHT(RIIO_2_start_date+1,2)</f>
        <v>2024/25</v>
      </c>
      <c r="F7" s="417" t="str">
        <f>RIIO_2_start_date+1&amp;"/"&amp;RIGHT(RIIO_2_start_date+2,2)</f>
        <v>2025/26</v>
      </c>
      <c r="G7" s="417" t="str">
        <f>RIIO_2_start_date+2&amp;"/"&amp;RIGHT(RIIO_2_start_date+3,2)</f>
        <v>2026/27</v>
      </c>
      <c r="H7" s="521" t="str">
        <f>RIIO_2_start_date+3&amp;"/"&amp;RIGHT(RIIO_2_start_date+4,2)</f>
        <v>2027/28</v>
      </c>
    </row>
    <row r="8" spans="1:15" s="302" customFormat="1"/>
    <row r="9" spans="1:15" s="302" customFormat="1">
      <c r="A9" s="646" t="s">
        <v>807</v>
      </c>
      <c r="B9" s="647"/>
      <c r="C9" s="307"/>
      <c r="D9" s="307"/>
      <c r="E9" s="307"/>
      <c r="F9" s="307"/>
      <c r="G9" s="307"/>
      <c r="H9" s="307"/>
    </row>
    <row r="10" spans="1:15" s="302" customFormat="1"/>
    <row r="11" spans="1:15">
      <c r="B11" s="391" t="s">
        <v>808</v>
      </c>
      <c r="C11" s="29" t="s">
        <v>513</v>
      </c>
      <c r="D11" s="632">
        <v>442.5</v>
      </c>
      <c r="E11" s="632"/>
      <c r="F11" s="632"/>
      <c r="G11" s="632"/>
      <c r="H11" s="632"/>
      <c r="J11" s="302"/>
    </row>
    <row r="12" spans="1:15">
      <c r="B12" s="373" t="s">
        <v>809</v>
      </c>
      <c r="C12" s="391"/>
      <c r="D12" s="610"/>
      <c r="E12" s="610"/>
      <c r="F12" s="610"/>
      <c r="G12" s="610"/>
      <c r="H12" s="610"/>
      <c r="J12" s="302"/>
    </row>
    <row r="13" spans="1:15">
      <c r="B13" s="525" t="s">
        <v>790</v>
      </c>
      <c r="C13" s="29" t="s">
        <v>513</v>
      </c>
      <c r="D13" s="632"/>
      <c r="E13" s="632"/>
      <c r="F13" s="632"/>
      <c r="G13" s="632"/>
      <c r="H13" s="632"/>
      <c r="J13" s="302"/>
    </row>
    <row r="14" spans="1:15">
      <c r="B14" s="525" t="s">
        <v>790</v>
      </c>
      <c r="C14" s="29" t="s">
        <v>513</v>
      </c>
      <c r="D14" s="632"/>
      <c r="E14" s="632"/>
      <c r="F14" s="632"/>
      <c r="G14" s="632"/>
      <c r="H14" s="632"/>
      <c r="J14" s="302"/>
    </row>
    <row r="15" spans="1:15">
      <c r="B15" s="525" t="s">
        <v>791</v>
      </c>
      <c r="C15" s="29" t="s">
        <v>513</v>
      </c>
      <c r="D15" s="632"/>
      <c r="E15" s="632"/>
      <c r="F15" s="632"/>
      <c r="G15" s="632"/>
      <c r="H15" s="632"/>
      <c r="J15" s="302"/>
      <c r="N15" s="648"/>
    </row>
    <row r="16" spans="1:15">
      <c r="B16" s="391" t="s">
        <v>810</v>
      </c>
      <c r="C16" s="29" t="s">
        <v>513</v>
      </c>
      <c r="D16" s="642">
        <f>D11-SUM(D13:D15)</f>
        <v>442.5</v>
      </c>
      <c r="E16" s="642">
        <f t="shared" ref="E16:H16" si="2">E11-SUM(E13:E15)</f>
        <v>0</v>
      </c>
      <c r="F16" s="642">
        <f t="shared" si="2"/>
        <v>0</v>
      </c>
      <c r="G16" s="642">
        <f t="shared" si="2"/>
        <v>0</v>
      </c>
      <c r="H16" s="642">
        <f t="shared" si="2"/>
        <v>0</v>
      </c>
      <c r="J16" s="302"/>
      <c r="O16" s="649"/>
    </row>
    <row r="17" spans="1:14">
      <c r="C17" s="391"/>
      <c r="J17" s="302"/>
      <c r="N17" s="648"/>
    </row>
    <row r="18" spans="1:14">
      <c r="B18" s="391" t="s">
        <v>811</v>
      </c>
      <c r="C18" s="29" t="s">
        <v>513</v>
      </c>
      <c r="D18" s="632"/>
      <c r="E18" s="632"/>
      <c r="F18" s="632"/>
      <c r="G18" s="632"/>
      <c r="H18" s="632"/>
      <c r="J18" s="302"/>
    </row>
    <row r="19" spans="1:14">
      <c r="J19" s="302"/>
    </row>
    <row r="22" spans="1:14">
      <c r="A22" s="646" t="s">
        <v>812</v>
      </c>
      <c r="B22" s="650"/>
      <c r="C22" s="307"/>
      <c r="D22" s="307"/>
      <c r="E22" s="307"/>
      <c r="F22" s="307"/>
      <c r="G22" s="307"/>
      <c r="H22" s="307"/>
    </row>
    <row r="23" spans="1:14">
      <c r="D23" s="856" t="str">
        <f>Reporting_Year&amp;" "&amp;"- Actuals"</f>
        <v>2024 - Actuals</v>
      </c>
      <c r="E23" s="857"/>
      <c r="F23" s="857"/>
      <c r="G23" s="857"/>
      <c r="H23" s="858"/>
    </row>
    <row r="24" spans="1:14">
      <c r="D24" s="651" t="s">
        <v>813</v>
      </c>
      <c r="E24" s="651" t="s">
        <v>814</v>
      </c>
      <c r="F24" s="651" t="s">
        <v>815</v>
      </c>
      <c r="G24" s="651" t="s">
        <v>816</v>
      </c>
      <c r="H24" s="651" t="s">
        <v>817</v>
      </c>
    </row>
    <row r="25" spans="1:14" ht="35.15" customHeight="1">
      <c r="C25" s="103" t="s">
        <v>818</v>
      </c>
      <c r="D25" s="782"/>
      <c r="E25" s="782"/>
      <c r="F25" s="782"/>
      <c r="G25" s="782"/>
      <c r="H25" s="652"/>
    </row>
    <row r="26" spans="1:14" ht="44.5" customHeight="1">
      <c r="B26" s="391" t="s">
        <v>819</v>
      </c>
    </row>
    <row r="27" spans="1:14">
      <c r="B27" s="103" t="s">
        <v>820</v>
      </c>
      <c r="C27" s="29" t="s">
        <v>513</v>
      </c>
      <c r="D27" s="653"/>
      <c r="E27" s="654"/>
      <c r="F27" s="654"/>
      <c r="G27" s="654"/>
      <c r="H27" s="654"/>
    </row>
    <row r="28" spans="1:14">
      <c r="B28" s="103" t="s">
        <v>821</v>
      </c>
      <c r="C28" s="29" t="s">
        <v>513</v>
      </c>
      <c r="D28" s="655"/>
      <c r="E28" s="656"/>
      <c r="F28" s="656"/>
      <c r="G28" s="656"/>
      <c r="H28" s="656"/>
    </row>
    <row r="29" spans="1:14">
      <c r="B29" s="525" t="s">
        <v>791</v>
      </c>
      <c r="C29" s="29" t="s">
        <v>513</v>
      </c>
      <c r="D29" s="655"/>
      <c r="E29" s="656"/>
      <c r="F29" s="656"/>
      <c r="G29" s="656"/>
      <c r="H29" s="656"/>
    </row>
    <row r="30" spans="1:14">
      <c r="B30" s="103" t="s">
        <v>822</v>
      </c>
      <c r="C30" s="29" t="s">
        <v>513</v>
      </c>
      <c r="D30" s="657"/>
      <c r="E30" s="658"/>
      <c r="F30" s="658"/>
      <c r="G30" s="658"/>
      <c r="H30" s="658"/>
    </row>
    <row r="31" spans="1:14">
      <c r="B31" s="525" t="s">
        <v>791</v>
      </c>
      <c r="C31" s="29" t="s">
        <v>513</v>
      </c>
      <c r="D31" s="659"/>
      <c r="E31" s="660"/>
      <c r="F31" s="660"/>
      <c r="G31" s="660"/>
      <c r="H31" s="660"/>
    </row>
    <row r="32" spans="1:14">
      <c r="B32" s="103" t="s">
        <v>823</v>
      </c>
      <c r="C32" s="29" t="s">
        <v>513</v>
      </c>
      <c r="D32" s="659"/>
      <c r="E32" s="660"/>
      <c r="F32" s="660"/>
      <c r="G32" s="660"/>
      <c r="H32" s="660"/>
    </row>
    <row r="33" spans="2:8">
      <c r="B33" s="79" t="s">
        <v>931</v>
      </c>
      <c r="C33" s="29" t="s">
        <v>513</v>
      </c>
      <c r="D33" s="659"/>
      <c r="E33" s="660"/>
      <c r="F33" s="660"/>
      <c r="G33" s="660"/>
      <c r="H33" s="660"/>
    </row>
    <row r="34" spans="2:8">
      <c r="B34" s="525" t="s">
        <v>932</v>
      </c>
      <c r="C34" s="29" t="s">
        <v>513</v>
      </c>
      <c r="D34" s="659"/>
      <c r="E34" s="660"/>
      <c r="F34" s="660"/>
      <c r="G34" s="660"/>
      <c r="H34" s="660"/>
    </row>
    <row r="35" spans="2:8">
      <c r="B35" s="391" t="s">
        <v>824</v>
      </c>
      <c r="C35" s="29" t="s">
        <v>513</v>
      </c>
      <c r="D35" s="668">
        <f>SUM(D27:D34)</f>
        <v>0</v>
      </c>
      <c r="E35" s="668">
        <f>SUM(E27:E34)</f>
        <v>0</v>
      </c>
      <c r="F35" s="668">
        <f>SUM(F27:F34)</f>
        <v>0</v>
      </c>
      <c r="G35" s="668">
        <f>SUM(G27:G34)</f>
        <v>0</v>
      </c>
      <c r="H35" s="668">
        <f>SUM(H27:H34)</f>
        <v>0</v>
      </c>
    </row>
    <row r="36" spans="2:8">
      <c r="B36" s="391" t="s">
        <v>825</v>
      </c>
      <c r="C36" s="29" t="s">
        <v>513</v>
      </c>
      <c r="D36" s="661"/>
      <c r="E36" s="661"/>
      <c r="F36" s="661"/>
      <c r="G36" s="661"/>
      <c r="H36" s="661"/>
    </row>
    <row r="37" spans="2:8">
      <c r="B37" s="525"/>
      <c r="D37" s="662"/>
      <c r="E37" s="662"/>
      <c r="F37" s="662"/>
      <c r="G37" s="662"/>
      <c r="H37" s="662"/>
    </row>
    <row r="38" spans="2:8">
      <c r="B38" s="391" t="s">
        <v>826</v>
      </c>
      <c r="D38" s="662"/>
      <c r="E38" s="662"/>
      <c r="F38" s="662"/>
      <c r="G38" s="662"/>
      <c r="H38" s="662"/>
    </row>
    <row r="39" spans="2:8">
      <c r="B39" s="103" t="s">
        <v>827</v>
      </c>
      <c r="C39" s="29" t="s">
        <v>513</v>
      </c>
      <c r="D39" s="653"/>
      <c r="E39" s="654"/>
      <c r="F39" s="654"/>
      <c r="G39" s="654"/>
      <c r="H39" s="654"/>
    </row>
    <row r="40" spans="2:8">
      <c r="B40" s="525" t="s">
        <v>791</v>
      </c>
      <c r="C40" s="29" t="s">
        <v>513</v>
      </c>
      <c r="D40" s="659"/>
      <c r="E40" s="660"/>
      <c r="F40" s="660"/>
      <c r="G40" s="660"/>
      <c r="H40" s="660"/>
    </row>
    <row r="41" spans="2:8">
      <c r="B41" s="103" t="s">
        <v>828</v>
      </c>
      <c r="C41" s="29" t="s">
        <v>513</v>
      </c>
      <c r="D41" s="657"/>
      <c r="E41" s="658"/>
      <c r="F41" s="658"/>
      <c r="G41" s="658"/>
      <c r="H41" s="658"/>
    </row>
    <row r="42" spans="2:8">
      <c r="B42" s="525" t="s">
        <v>821</v>
      </c>
      <c r="C42" s="29" t="s">
        <v>513</v>
      </c>
      <c r="D42" s="659"/>
      <c r="E42" s="660"/>
      <c r="F42" s="660"/>
      <c r="G42" s="660"/>
      <c r="H42" s="660"/>
    </row>
    <row r="43" spans="2:8">
      <c r="B43" s="525" t="s">
        <v>933</v>
      </c>
      <c r="C43" s="29" t="s">
        <v>513</v>
      </c>
      <c r="D43" s="659"/>
      <c r="E43" s="660"/>
      <c r="F43" s="660"/>
      <c r="G43" s="660"/>
      <c r="H43" s="660"/>
    </row>
    <row r="44" spans="2:8">
      <c r="B44" s="391" t="s">
        <v>829</v>
      </c>
      <c r="C44" s="29" t="s">
        <v>513</v>
      </c>
      <c r="D44" s="669">
        <f t="shared" ref="D44:H44" si="3">SUM(D39:D43)</f>
        <v>0</v>
      </c>
      <c r="E44" s="669">
        <f t="shared" si="3"/>
        <v>0</v>
      </c>
      <c r="F44" s="669">
        <f t="shared" si="3"/>
        <v>0</v>
      </c>
      <c r="G44" s="669">
        <f t="shared" si="3"/>
        <v>0</v>
      </c>
      <c r="H44" s="669">
        <f t="shared" si="3"/>
        <v>0</v>
      </c>
    </row>
    <row r="45" spans="2:8">
      <c r="B45" s="391" t="s">
        <v>825</v>
      </c>
      <c r="C45" s="29" t="s">
        <v>513</v>
      </c>
      <c r="D45" s="661"/>
      <c r="E45" s="661"/>
      <c r="F45" s="661"/>
      <c r="G45" s="661"/>
      <c r="H45" s="661"/>
    </row>
    <row r="46" spans="2:8">
      <c r="D46" s="662"/>
      <c r="E46" s="662"/>
      <c r="F46" s="662"/>
      <c r="G46" s="662"/>
      <c r="H46" s="662"/>
    </row>
    <row r="47" spans="2:8">
      <c r="B47" s="391" t="s">
        <v>830</v>
      </c>
      <c r="C47" s="29" t="s">
        <v>513</v>
      </c>
      <c r="D47" s="669">
        <f t="shared" ref="D47:H47" si="4">SUM(D35,D44)</f>
        <v>0</v>
      </c>
      <c r="E47" s="669">
        <f t="shared" si="4"/>
        <v>0</v>
      </c>
      <c r="F47" s="669">
        <f t="shared" si="4"/>
        <v>0</v>
      </c>
      <c r="G47" s="669">
        <f t="shared" si="4"/>
        <v>0</v>
      </c>
      <c r="H47" s="669">
        <f t="shared" si="4"/>
        <v>0</v>
      </c>
    </row>
    <row r="48" spans="2:8">
      <c r="B48" s="391" t="s">
        <v>831</v>
      </c>
      <c r="C48" s="29" t="s">
        <v>513</v>
      </c>
      <c r="D48" s="669">
        <f>D36+D45</f>
        <v>0</v>
      </c>
      <c r="E48" s="669">
        <f t="shared" ref="E48:H48" si="5">E36+E45</f>
        <v>0</v>
      </c>
      <c r="F48" s="669">
        <f t="shared" si="5"/>
        <v>0</v>
      </c>
      <c r="G48" s="669">
        <f t="shared" si="5"/>
        <v>0</v>
      </c>
      <c r="H48" s="669">
        <f t="shared" si="5"/>
        <v>0</v>
      </c>
    </row>
    <row r="49" spans="2:14">
      <c r="D49" s="662"/>
      <c r="E49" s="662"/>
      <c r="F49" s="662"/>
      <c r="G49" s="662"/>
      <c r="H49" s="662"/>
    </row>
    <row r="50" spans="2:14">
      <c r="B50" s="391" t="s">
        <v>832</v>
      </c>
      <c r="D50" s="662"/>
      <c r="E50" s="662"/>
      <c r="F50" s="662"/>
      <c r="G50" s="662"/>
      <c r="H50" s="662"/>
    </row>
    <row r="51" spans="2:14">
      <c r="B51" s="103" t="s">
        <v>833</v>
      </c>
      <c r="C51" s="29" t="s">
        <v>834</v>
      </c>
      <c r="D51" s="653"/>
      <c r="E51" s="654"/>
      <c r="F51" s="654"/>
      <c r="G51" s="654"/>
      <c r="H51" s="654"/>
    </row>
    <row r="52" spans="2:14">
      <c r="B52" s="525" t="s">
        <v>791</v>
      </c>
      <c r="C52" s="29"/>
      <c r="D52" s="653"/>
      <c r="E52" s="654"/>
      <c r="F52" s="654"/>
      <c r="G52" s="654"/>
      <c r="H52" s="654"/>
    </row>
    <row r="53" spans="2:14">
      <c r="B53" s="103" t="s">
        <v>835</v>
      </c>
      <c r="C53" s="29" t="s">
        <v>477</v>
      </c>
      <c r="D53" s="653"/>
      <c r="E53" s="654"/>
      <c r="F53" s="654"/>
      <c r="G53" s="654"/>
      <c r="H53" s="654"/>
    </row>
    <row r="54" spans="2:14">
      <c r="B54" s="189" t="s">
        <v>836</v>
      </c>
      <c r="C54" s="29" t="s">
        <v>477</v>
      </c>
      <c r="D54" s="653"/>
      <c r="E54" s="654"/>
      <c r="F54" s="654"/>
      <c r="G54" s="654"/>
      <c r="H54" s="654"/>
    </row>
    <row r="55" spans="2:14">
      <c r="B55" s="391" t="s">
        <v>837</v>
      </c>
      <c r="C55" s="29" t="s">
        <v>513</v>
      </c>
      <c r="D55" s="653"/>
      <c r="E55" s="654"/>
      <c r="F55" s="654"/>
      <c r="G55" s="654"/>
      <c r="H55" s="654"/>
    </row>
    <row r="56" spans="2:14">
      <c r="B56" s="189" t="s">
        <v>838</v>
      </c>
      <c r="C56" s="29" t="s">
        <v>839</v>
      </c>
      <c r="D56" s="653"/>
      <c r="E56" s="654"/>
      <c r="F56" s="654"/>
      <c r="G56" s="654"/>
      <c r="H56" s="654"/>
    </row>
    <row r="57" spans="2:14">
      <c r="B57" s="189" t="s">
        <v>840</v>
      </c>
      <c r="C57" s="29" t="s">
        <v>841</v>
      </c>
      <c r="D57" s="653"/>
      <c r="E57" s="654"/>
      <c r="F57" s="654"/>
      <c r="G57" s="654"/>
      <c r="H57" s="654"/>
    </row>
    <row r="58" spans="2:14">
      <c r="B58" s="189" t="s">
        <v>842</v>
      </c>
      <c r="C58" s="29" t="s">
        <v>839</v>
      </c>
      <c r="D58" s="653"/>
      <c r="E58" s="654"/>
      <c r="F58" s="654"/>
      <c r="G58" s="654"/>
      <c r="H58" s="654"/>
    </row>
    <row r="59" spans="2:14">
      <c r="B59" s="391" t="s">
        <v>843</v>
      </c>
      <c r="C59" s="29" t="s">
        <v>513</v>
      </c>
      <c r="D59" s="670">
        <f>D57*D58</f>
        <v>0</v>
      </c>
      <c r="E59" s="670">
        <f t="shared" ref="E59:H59" si="6">E57*E58</f>
        <v>0</v>
      </c>
      <c r="F59" s="670">
        <f t="shared" si="6"/>
        <v>0</v>
      </c>
      <c r="G59" s="670">
        <f t="shared" si="6"/>
        <v>0</v>
      </c>
      <c r="H59" s="670">
        <f t="shared" si="6"/>
        <v>0</v>
      </c>
    </row>
    <row r="60" spans="2:14">
      <c r="C60" s="29"/>
      <c r="D60" s="662"/>
      <c r="E60" s="662"/>
      <c r="F60" s="662"/>
      <c r="G60" s="662"/>
      <c r="H60" s="662"/>
    </row>
    <row r="61" spans="2:14">
      <c r="B61" s="391" t="s">
        <v>844</v>
      </c>
      <c r="C61" s="29" t="s">
        <v>513</v>
      </c>
      <c r="D61" s="653"/>
      <c r="E61" s="654"/>
      <c r="F61" s="654"/>
      <c r="G61" s="654"/>
      <c r="H61" s="654"/>
    </row>
    <row r="62" spans="2:14">
      <c r="B62" s="391"/>
      <c r="C62" s="391"/>
      <c r="D62" s="663"/>
      <c r="E62" s="663"/>
      <c r="F62" s="663"/>
      <c r="G62" s="663"/>
      <c r="H62" s="663"/>
      <c r="I62" s="391"/>
      <c r="J62" s="391"/>
      <c r="K62" s="391"/>
      <c r="L62" s="391"/>
      <c r="M62" s="391"/>
      <c r="N62" s="391"/>
    </row>
    <row r="63" spans="2:14">
      <c r="B63" s="391" t="s">
        <v>845</v>
      </c>
      <c r="C63" s="29"/>
      <c r="D63" s="670">
        <f>D55+D59+D61</f>
        <v>0</v>
      </c>
      <c r="E63" s="670">
        <f>E55+E59+E61</f>
        <v>0</v>
      </c>
      <c r="F63" s="670">
        <f>F55+F59+F61</f>
        <v>0</v>
      </c>
      <c r="G63" s="670">
        <f>G55+G59+G61</f>
        <v>0</v>
      </c>
      <c r="H63" s="670">
        <f>H55+H59+H61</f>
        <v>0</v>
      </c>
    </row>
    <row r="64" spans="2:14">
      <c r="B64" s="391" t="s">
        <v>825</v>
      </c>
      <c r="C64" s="29" t="s">
        <v>513</v>
      </c>
      <c r="D64" s="653"/>
      <c r="E64" s="654"/>
      <c r="F64" s="654"/>
      <c r="G64" s="654"/>
      <c r="H64" s="654"/>
    </row>
    <row r="65" spans="1:12">
      <c r="B65" s="391"/>
      <c r="C65" s="29"/>
      <c r="D65" s="663"/>
      <c r="E65" s="663"/>
      <c r="F65" s="663"/>
      <c r="G65" s="663"/>
      <c r="H65" s="663"/>
      <c r="J65" s="391"/>
      <c r="K65" s="391"/>
    </row>
    <row r="66" spans="1:12">
      <c r="B66" s="391" t="s">
        <v>846</v>
      </c>
      <c r="C66" s="29" t="s">
        <v>513</v>
      </c>
      <c r="D66" s="670">
        <f>D47+D63</f>
        <v>0</v>
      </c>
      <c r="E66" s="670">
        <f t="shared" ref="E66:H66" si="7">E47+E63</f>
        <v>0</v>
      </c>
      <c r="F66" s="670">
        <f t="shared" si="7"/>
        <v>0</v>
      </c>
      <c r="G66" s="670">
        <f t="shared" si="7"/>
        <v>0</v>
      </c>
      <c r="H66" s="670">
        <f t="shared" si="7"/>
        <v>0</v>
      </c>
    </row>
    <row r="67" spans="1:12">
      <c r="B67" s="391" t="s">
        <v>847</v>
      </c>
      <c r="C67" s="29" t="s">
        <v>513</v>
      </c>
      <c r="D67" s="670">
        <f>D48+D64</f>
        <v>0</v>
      </c>
      <c r="E67" s="670">
        <f t="shared" ref="E67:H67" si="8">E48+E64</f>
        <v>0</v>
      </c>
      <c r="F67" s="670">
        <f t="shared" si="8"/>
        <v>0</v>
      </c>
      <c r="G67" s="670">
        <f t="shared" si="8"/>
        <v>0</v>
      </c>
      <c r="H67" s="670">
        <f t="shared" si="8"/>
        <v>0</v>
      </c>
      <c r="J67" s="391"/>
    </row>
    <row r="68" spans="1:12">
      <c r="B68" s="391"/>
      <c r="C68" s="29"/>
      <c r="D68" s="505"/>
      <c r="E68" s="505"/>
      <c r="F68" s="505"/>
      <c r="G68" s="505"/>
      <c r="H68" s="505"/>
      <c r="J68" s="391"/>
    </row>
    <row r="69" spans="1:12">
      <c r="B69" s="391" t="s">
        <v>848</v>
      </c>
      <c r="C69" s="29"/>
      <c r="D69" s="505"/>
      <c r="E69" s="505"/>
      <c r="F69" s="505"/>
      <c r="G69" s="505"/>
      <c r="H69" s="505"/>
      <c r="I69" s="505"/>
      <c r="J69" s="505"/>
      <c r="K69" s="505"/>
    </row>
    <row r="70" spans="1:12">
      <c r="B70" s="103" t="s">
        <v>849</v>
      </c>
      <c r="C70" s="29"/>
      <c r="D70" s="456">
        <v>32.5</v>
      </c>
      <c r="E70" s="505"/>
      <c r="F70" s="505"/>
      <c r="G70" s="505"/>
      <c r="H70" s="505"/>
      <c r="I70" s="505"/>
      <c r="J70" s="505"/>
      <c r="K70" s="505"/>
    </row>
    <row r="71" spans="1:12">
      <c r="B71" s="103" t="s">
        <v>850</v>
      </c>
      <c r="C71" s="29"/>
      <c r="D71" s="456">
        <v>21.4</v>
      </c>
      <c r="E71" s="505"/>
      <c r="F71" s="505"/>
      <c r="G71" s="505"/>
      <c r="H71" s="505"/>
      <c r="I71" s="505"/>
      <c r="J71" s="505"/>
      <c r="K71" s="505"/>
    </row>
    <row r="72" spans="1:12">
      <c r="B72" s="103" t="s">
        <v>851</v>
      </c>
      <c r="C72" s="29"/>
      <c r="D72" s="456">
        <v>15.9</v>
      </c>
      <c r="E72" s="505"/>
      <c r="F72" s="505"/>
      <c r="G72" s="505"/>
      <c r="H72" s="505"/>
      <c r="I72" s="505"/>
      <c r="J72" s="505"/>
      <c r="K72" s="505"/>
    </row>
    <row r="73" spans="1:12">
      <c r="B73" s="391"/>
      <c r="C73" s="29"/>
      <c r="D73" s="505"/>
      <c r="E73" s="505"/>
      <c r="F73" s="505"/>
      <c r="G73" s="505"/>
      <c r="H73" s="505"/>
      <c r="I73" s="505"/>
      <c r="J73" s="505"/>
      <c r="K73" s="505"/>
    </row>
    <row r="74" spans="1:12">
      <c r="A74" s="390" t="s">
        <v>852</v>
      </c>
      <c r="B74" s="391"/>
      <c r="C74" s="29"/>
      <c r="D74" s="29"/>
      <c r="E74" s="505"/>
      <c r="F74" s="505"/>
      <c r="G74" s="505"/>
      <c r="H74" s="505"/>
      <c r="I74" s="505"/>
      <c r="J74" s="505"/>
      <c r="K74" s="505"/>
      <c r="L74" s="29"/>
    </row>
    <row r="75" spans="1:12">
      <c r="A75" s="390" t="s">
        <v>853</v>
      </c>
      <c r="B75" s="391"/>
      <c r="C75" s="391"/>
      <c r="D75" s="391"/>
      <c r="E75" s="505"/>
      <c r="F75" s="391"/>
      <c r="G75" s="391"/>
      <c r="H75" s="391"/>
      <c r="I75" s="391"/>
      <c r="J75" s="391"/>
    </row>
    <row r="76" spans="1:12">
      <c r="A76" s="390"/>
      <c r="B76" s="391"/>
      <c r="C76" s="391"/>
      <c r="D76" s="391"/>
      <c r="E76" s="391"/>
      <c r="F76" s="391"/>
      <c r="G76" s="391"/>
      <c r="H76" s="391"/>
      <c r="I76" s="391"/>
      <c r="J76" s="391"/>
    </row>
    <row r="77" spans="1:12">
      <c r="B77" s="391" t="s">
        <v>854</v>
      </c>
    </row>
    <row r="78" spans="1:12">
      <c r="B78" s="391"/>
    </row>
    <row r="79" spans="1:12" ht="31" customHeight="1">
      <c r="B79" s="851"/>
      <c r="C79" s="859"/>
      <c r="D79" s="859"/>
      <c r="E79" s="859"/>
      <c r="F79" s="859"/>
      <c r="G79" s="859"/>
      <c r="H79" s="860"/>
    </row>
    <row r="80" spans="1:12" ht="30.5" customHeight="1">
      <c r="B80" s="861"/>
      <c r="C80" s="862"/>
      <c r="D80" s="862"/>
      <c r="E80" s="862"/>
      <c r="F80" s="862"/>
      <c r="G80" s="862"/>
      <c r="H80" s="863"/>
    </row>
    <row r="81" spans="2:8" ht="30" customHeight="1">
      <c r="B81" s="861"/>
      <c r="C81" s="862"/>
      <c r="D81" s="862"/>
      <c r="E81" s="862"/>
      <c r="F81" s="862"/>
      <c r="G81" s="862"/>
      <c r="H81" s="863"/>
    </row>
    <row r="82" spans="2:8">
      <c r="B82" s="664"/>
      <c r="C82" s="665"/>
      <c r="D82" s="394"/>
      <c r="E82" s="395"/>
      <c r="F82" s="395"/>
      <c r="G82" s="395"/>
      <c r="H82" s="396"/>
    </row>
    <row r="83" spans="2:8">
      <c r="B83" s="664"/>
      <c r="C83" s="665"/>
      <c r="D83" s="394"/>
      <c r="E83" s="395"/>
      <c r="F83" s="395"/>
      <c r="G83" s="395"/>
      <c r="H83" s="396"/>
    </row>
    <row r="84" spans="2:8">
      <c r="B84" s="666"/>
      <c r="C84" s="667"/>
      <c r="D84" s="399"/>
      <c r="E84" s="400"/>
      <c r="F84" s="400"/>
      <c r="G84" s="400"/>
      <c r="H84" s="401"/>
    </row>
  </sheetData>
  <sheetProtection algorithmName="SHA-512" hashValue="4/xUn2TsxkDKwLDlQHo1zOxPJTesRg3MVG55t7diUaFNS4nIQtld1mQZnZYSFbKQdYD+oGOfg6b+RhCYkYO/Zg==" saltValue="hNvd4fxr8AR52rq/pNWGvQ==" spinCount="100000" sheet="1" objects="1" scenarios="1"/>
  <mergeCells count="4">
    <mergeCell ref="D23:H23"/>
    <mergeCell ref="B79:H79"/>
    <mergeCell ref="B80:H80"/>
    <mergeCell ref="B81:H81"/>
  </mergeCells>
  <phoneticPr fontId="248" type="noConversion"/>
  <conditionalFormatting sqref="D5:G6">
    <cfRule type="expression" dxfId="18" priority="37">
      <formula>AND(D$5="Actuals",E$5="N/A")</formula>
    </cfRule>
  </conditionalFormatting>
  <conditionalFormatting sqref="D5:H6 D45:H45 D51:H59 D66:H68 D69:K69 D70:D73 F70:K74 E70:E75">
    <cfRule type="expression" dxfId="17" priority="29">
      <formula>D$5="N/A"</formula>
    </cfRule>
  </conditionalFormatting>
  <conditionalFormatting sqref="D7:H7">
    <cfRule type="expression" dxfId="16" priority="12">
      <formula>AND(D$5="Actuals",E$5="Forecast")</formula>
    </cfRule>
  </conditionalFormatting>
  <conditionalFormatting sqref="D11:H11">
    <cfRule type="expression" dxfId="15" priority="7">
      <formula>D$5="Forecast"</formula>
    </cfRule>
  </conditionalFormatting>
  <conditionalFormatting sqref="D13:H16">
    <cfRule type="expression" dxfId="14" priority="3">
      <formula>D$5="Forecast"</formula>
    </cfRule>
  </conditionalFormatting>
  <conditionalFormatting sqref="D18:H18">
    <cfRule type="expression" dxfId="13" priority="4">
      <formula>D$5="Forecast"</formula>
    </cfRule>
  </conditionalFormatting>
  <conditionalFormatting sqref="D20:H20">
    <cfRule type="expression" priority="23">
      <formula>D$5="N/A"</formula>
    </cfRule>
  </conditionalFormatting>
  <conditionalFormatting sqref="D27:H36">
    <cfRule type="expression" dxfId="12" priority="1">
      <formula>D$5="N/A"</formula>
    </cfRule>
  </conditionalFormatting>
  <conditionalFormatting sqref="D39:H43">
    <cfRule type="expression" dxfId="11" priority="13">
      <formula>D$5="N/A"</formula>
    </cfRule>
  </conditionalFormatting>
  <conditionalFormatting sqref="D61:H61 D63:H64">
    <cfRule type="expression" dxfId="10" priority="15">
      <formula>D$5="N/A"</formula>
    </cfRule>
  </conditionalFormatting>
  <conditionalFormatting sqref="H5:H6">
    <cfRule type="expression" dxfId="9" priority="276">
      <formula>AND(H$5="Actuals",#REF!="N/A")</formula>
    </cfRule>
  </conditionalFormatting>
  <pageMargins left="0.70866141732283472" right="0.70866141732283472" top="0.74803149606299213" bottom="0.74803149606299213" header="0.31496062992125984" footer="0.31496062992125984"/>
  <pageSetup paperSize="8"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heetViews>
  <sheetFormatPr defaultColWidth="9" defaultRowHeight="13.5"/>
  <cols>
    <col min="1" max="1" width="8.3828125" style="103" customWidth="1"/>
    <col min="2" max="2" width="77.23046875" style="103" bestFit="1" customWidth="1"/>
    <col min="3" max="3" width="14.15234375" style="103" customWidth="1"/>
    <col min="4" max="8" width="11.15234375" style="103" customWidth="1"/>
    <col min="9" max="9" width="6.61328125" style="103" bestFit="1" customWidth="1"/>
    <col min="10" max="16384" width="9" style="103"/>
  </cols>
  <sheetData>
    <row r="1" spans="1:10" ht="20">
      <c r="A1" s="287" t="s">
        <v>855</v>
      </c>
      <c r="B1" s="289"/>
      <c r="C1" s="290"/>
      <c r="D1" s="290"/>
      <c r="E1" s="290"/>
      <c r="F1" s="290"/>
      <c r="G1" s="290"/>
      <c r="H1" s="290"/>
      <c r="I1" s="416"/>
    </row>
    <row r="2" spans="1:10" ht="20">
      <c r="A2" s="292" t="str">
        <f>Licensee</f>
        <v>NPgY</v>
      </c>
      <c r="B2" s="294"/>
      <c r="C2" s="295"/>
      <c r="D2" s="295"/>
      <c r="E2" s="295"/>
      <c r="F2" s="295"/>
      <c r="G2" s="295"/>
      <c r="H2" s="295"/>
      <c r="I2" s="297"/>
    </row>
    <row r="3" spans="1:10" ht="20">
      <c r="A3" s="294">
        <f>Reporting_Year</f>
        <v>2024</v>
      </c>
      <c r="B3" s="514"/>
      <c r="C3" s="298"/>
      <c r="D3" s="298"/>
      <c r="E3" s="298"/>
      <c r="F3" s="298"/>
      <c r="G3" s="298"/>
      <c r="H3" s="298"/>
      <c r="I3" s="300"/>
    </row>
    <row r="4" spans="1:10" s="302" customFormat="1" ht="12.75" customHeight="1">
      <c r="B4" s="440"/>
      <c r="C4" s="103"/>
      <c r="D4" s="559"/>
      <c r="E4" s="559"/>
    </row>
    <row r="5" spans="1:10" s="302" customFormat="1" ht="12.75" customHeight="1">
      <c r="B5" s="440"/>
      <c r="C5" s="103"/>
      <c r="D5" s="671" t="str">
        <f t="shared" ref="D5:H5" si="0">IF(D6&lt;=Reporting_Year,"Actuals","Forecast")</f>
        <v>Actuals</v>
      </c>
      <c r="E5" s="671" t="str">
        <f t="shared" si="0"/>
        <v>Forecast</v>
      </c>
      <c r="F5" s="671" t="str">
        <f t="shared" si="0"/>
        <v>Forecast</v>
      </c>
      <c r="G5" s="671" t="str">
        <f t="shared" si="0"/>
        <v>Forecast</v>
      </c>
      <c r="H5" s="671" t="str">
        <f t="shared" si="0"/>
        <v>Forecast</v>
      </c>
      <c r="I5" s="427"/>
    </row>
    <row r="6" spans="1:10" s="302" customFormat="1">
      <c r="C6" s="103"/>
      <c r="D6" s="521">
        <f>'RFPR cover'!$C$6</f>
        <v>2024</v>
      </c>
      <c r="E6" s="521">
        <f>D6+1</f>
        <v>2025</v>
      </c>
      <c r="F6" s="521">
        <f t="shared" ref="F6:H6" si="1">E6+1</f>
        <v>2026</v>
      </c>
      <c r="G6" s="521">
        <f t="shared" si="1"/>
        <v>2027</v>
      </c>
      <c r="H6" s="521">
        <f t="shared" si="1"/>
        <v>2028</v>
      </c>
      <c r="I6" s="427"/>
    </row>
    <row r="7" spans="1:10" s="302" customFormat="1">
      <c r="D7" s="417" t="str">
        <f>RIIO_2_start_date-1&amp;"/"&amp;RIGHT(RIIO_2_start_date,2)</f>
        <v>2023/24</v>
      </c>
      <c r="E7" s="417" t="str">
        <f>RIIO_2_start_date&amp;"/"&amp;RIGHT(RIIO_2_start_date+1,2)</f>
        <v>2024/25</v>
      </c>
      <c r="F7" s="417" t="str">
        <f>RIIO_2_start_date+1&amp;"/"&amp;RIGHT(RIIO_2_start_date+2,2)</f>
        <v>2025/26</v>
      </c>
      <c r="G7" s="417" t="str">
        <f>RIIO_2_start_date+2&amp;"/"&amp;RIGHT(RIIO_2_start_date+3,2)</f>
        <v>2026/27</v>
      </c>
      <c r="H7" s="521" t="str">
        <f>RIIO_2_start_date+3&amp;"/"&amp;RIGHT(RIIO_2_start_date+4,2)</f>
        <v>2027/28</v>
      </c>
      <c r="I7" s="427"/>
    </row>
    <row r="8" spans="1:10" s="302" customFormat="1">
      <c r="I8" s="427"/>
    </row>
    <row r="9" spans="1:10" s="302" customFormat="1">
      <c r="B9" s="672" t="s">
        <v>856</v>
      </c>
      <c r="C9" s="355"/>
      <c r="D9" s="356"/>
      <c r="E9" s="356"/>
      <c r="F9" s="356"/>
      <c r="G9" s="356"/>
      <c r="H9" s="356"/>
      <c r="I9" s="427"/>
    </row>
    <row r="10" spans="1:10" s="302" customFormat="1">
      <c r="B10" s="442"/>
      <c r="C10" s="29"/>
      <c r="I10" s="427"/>
    </row>
    <row r="11" spans="1:10" s="302" customFormat="1">
      <c r="B11" s="442"/>
      <c r="C11" s="29"/>
      <c r="I11" s="427"/>
    </row>
    <row r="12" spans="1:10">
      <c r="B12" s="391" t="s">
        <v>857</v>
      </c>
      <c r="C12" s="29" t="s">
        <v>513</v>
      </c>
      <c r="D12" s="673">
        <v>0</v>
      </c>
      <c r="E12" s="673"/>
      <c r="F12" s="673"/>
      <c r="G12" s="673"/>
      <c r="H12" s="673"/>
      <c r="I12" s="427"/>
      <c r="J12" s="302"/>
    </row>
    <row r="13" spans="1:10">
      <c r="B13" s="523" t="s">
        <v>858</v>
      </c>
      <c r="D13" s="610"/>
      <c r="E13" s="610"/>
      <c r="F13" s="610"/>
      <c r="G13" s="610"/>
      <c r="H13" s="610"/>
      <c r="J13" s="302"/>
    </row>
    <row r="14" spans="1:10">
      <c r="B14" s="103" t="s">
        <v>859</v>
      </c>
      <c r="C14" s="29" t="s">
        <v>513</v>
      </c>
      <c r="D14" s="673">
        <v>0</v>
      </c>
      <c r="E14" s="673"/>
      <c r="F14" s="673"/>
      <c r="G14" s="673"/>
      <c r="H14" s="673"/>
      <c r="I14" s="427"/>
      <c r="J14" s="302"/>
    </row>
    <row r="15" spans="1:10">
      <c r="B15" s="103" t="s">
        <v>860</v>
      </c>
      <c r="C15" s="29" t="s">
        <v>513</v>
      </c>
      <c r="D15" s="673">
        <v>0</v>
      </c>
      <c r="E15" s="673"/>
      <c r="F15" s="673"/>
      <c r="G15" s="673"/>
      <c r="H15" s="673"/>
      <c r="I15" s="427"/>
      <c r="J15" s="302"/>
    </row>
    <row r="16" spans="1:10">
      <c r="D16" s="610"/>
      <c r="E16" s="610"/>
      <c r="F16" s="610"/>
      <c r="G16" s="610"/>
      <c r="H16" s="610"/>
      <c r="I16" s="427"/>
      <c r="J16" s="302"/>
    </row>
    <row r="17" spans="2:10">
      <c r="D17" s="610"/>
      <c r="E17" s="610"/>
      <c r="F17" s="610"/>
      <c r="G17" s="610"/>
      <c r="H17" s="610"/>
      <c r="I17" s="427"/>
      <c r="J17" s="302"/>
    </row>
    <row r="18" spans="2:10">
      <c r="B18" s="103" t="s">
        <v>859</v>
      </c>
      <c r="C18" s="594" t="str">
        <f>Data!$C$9</f>
        <v>£m 20/21</v>
      </c>
      <c r="D18" s="224">
        <f t="shared" ref="D18:H18" si="2">D$14/INDEX(real_to_nominal_CF,MATCH(D6,calendar_year,0))</f>
        <v>0</v>
      </c>
      <c r="E18" s="224">
        <f t="shared" si="2"/>
        <v>0</v>
      </c>
      <c r="F18" s="224">
        <f t="shared" si="2"/>
        <v>0</v>
      </c>
      <c r="G18" s="224">
        <f t="shared" si="2"/>
        <v>0</v>
      </c>
      <c r="H18" s="224">
        <f t="shared" si="2"/>
        <v>0</v>
      </c>
      <c r="I18" s="427"/>
      <c r="J18" s="302"/>
    </row>
    <row r="19" spans="2:10">
      <c r="D19" s="610"/>
      <c r="E19" s="610"/>
      <c r="F19" s="610"/>
      <c r="G19" s="610"/>
      <c r="H19" s="610"/>
      <c r="I19" s="427"/>
      <c r="J19" s="302"/>
    </row>
    <row r="20" spans="2:10">
      <c r="D20" s="610"/>
      <c r="E20" s="610"/>
      <c r="F20" s="610"/>
      <c r="G20" s="610"/>
      <c r="H20" s="610"/>
      <c r="I20" s="427"/>
      <c r="J20" s="302"/>
    </row>
    <row r="21" spans="2:10" s="302" customFormat="1">
      <c r="B21" s="391" t="s">
        <v>861</v>
      </c>
      <c r="C21" s="594" t="str">
        <f>Data!$C$9</f>
        <v>£m 20/21</v>
      </c>
      <c r="D21" s="602">
        <v>2.5796409151576278</v>
      </c>
      <c r="E21" s="602">
        <v>-15.431010800127561</v>
      </c>
      <c r="F21" s="602">
        <v>0</v>
      </c>
      <c r="G21" s="602">
        <v>0</v>
      </c>
      <c r="H21" s="602">
        <v>0</v>
      </c>
      <c r="I21" s="427"/>
    </row>
    <row r="22" spans="2:10" s="302" customFormat="1">
      <c r="B22" s="103" t="s">
        <v>862</v>
      </c>
      <c r="C22" s="594" t="str">
        <f>Data!$C$9</f>
        <v>£m 20/21</v>
      </c>
      <c r="D22" s="558">
        <v>-0.72452146977063769</v>
      </c>
      <c r="E22" s="558">
        <v>-15.431010800127561</v>
      </c>
      <c r="F22" s="558">
        <v>0</v>
      </c>
      <c r="G22" s="558">
        <v>0</v>
      </c>
      <c r="H22" s="558">
        <v>0</v>
      </c>
      <c r="I22" s="427"/>
    </row>
    <row r="23" spans="2:10" s="302" customFormat="1">
      <c r="B23" s="391" t="s">
        <v>863</v>
      </c>
      <c r="C23" s="594" t="str">
        <f>Data!$C$9</f>
        <v>£m 20/21</v>
      </c>
      <c r="D23" s="224">
        <f>D21-D22</f>
        <v>3.3041623849282655</v>
      </c>
      <c r="E23" s="224">
        <f t="shared" ref="E23:H23" si="3">E21-E22</f>
        <v>0</v>
      </c>
      <c r="F23" s="224">
        <f t="shared" si="3"/>
        <v>0</v>
      </c>
      <c r="G23" s="224">
        <f t="shared" si="3"/>
        <v>0</v>
      </c>
      <c r="H23" s="224">
        <f t="shared" si="3"/>
        <v>0</v>
      </c>
      <c r="I23" s="427"/>
    </row>
    <row r="24" spans="2:10" s="302" customFormat="1">
      <c r="B24" s="391"/>
      <c r="C24" s="391"/>
      <c r="D24" s="391"/>
      <c r="E24" s="391"/>
      <c r="F24" s="391"/>
      <c r="G24" s="391"/>
      <c r="H24" s="391"/>
      <c r="I24" s="427"/>
    </row>
    <row r="25" spans="2:10" s="302" customFormat="1">
      <c r="B25" s="391"/>
      <c r="C25" s="391"/>
      <c r="D25" s="864" t="s">
        <v>864</v>
      </c>
      <c r="E25" s="391"/>
      <c r="F25" s="391"/>
      <c r="G25" s="391"/>
      <c r="H25" s="391"/>
      <c r="I25" s="427"/>
    </row>
    <row r="26" spans="2:10" s="302" customFormat="1" ht="12.75" customHeight="1">
      <c r="B26" s="391"/>
      <c r="C26" s="391"/>
      <c r="D26" s="865"/>
      <c r="E26" s="391"/>
      <c r="F26" s="391"/>
      <c r="G26" s="391"/>
      <c r="H26" s="391"/>
      <c r="I26" s="427"/>
    </row>
    <row r="27" spans="2:10">
      <c r="C27" s="391"/>
      <c r="D27" s="866"/>
      <c r="E27" s="391"/>
      <c r="F27" s="391"/>
      <c r="I27" s="427"/>
    </row>
    <row r="28" spans="2:10">
      <c r="B28" s="391" t="s">
        <v>865</v>
      </c>
      <c r="C28" s="391"/>
      <c r="D28" s="776" t="s">
        <v>935</v>
      </c>
      <c r="E28" s="391"/>
      <c r="F28" s="391"/>
      <c r="I28" s="427"/>
    </row>
    <row r="29" spans="2:10">
      <c r="B29" s="391"/>
      <c r="C29" s="391"/>
      <c r="D29" s="674"/>
      <c r="E29" s="391"/>
      <c r="F29" s="391"/>
      <c r="I29" s="427"/>
    </row>
    <row r="30" spans="2:10">
      <c r="B30" s="103" t="s">
        <v>806</v>
      </c>
      <c r="C30" s="391"/>
      <c r="D30" s="777" t="s">
        <v>935</v>
      </c>
      <c r="E30" s="391"/>
      <c r="F30" s="391"/>
      <c r="I30" s="427"/>
    </row>
    <row r="31" spans="2:10">
      <c r="C31" s="391"/>
      <c r="D31" s="391"/>
      <c r="E31" s="391"/>
      <c r="F31" s="391"/>
      <c r="H31"/>
      <c r="I31" s="427"/>
    </row>
    <row r="32" spans="2:10">
      <c r="B32" s="391"/>
      <c r="F32" s="391"/>
      <c r="I32" s="427"/>
    </row>
    <row r="33" spans="2:9">
      <c r="B33" s="103" t="s">
        <v>866</v>
      </c>
      <c r="C33" s="675" t="str">
        <f>"£m "&amp;$D$30</f>
        <v>£m 31/03/2022</v>
      </c>
      <c r="D33" s="558">
        <v>246.64382797272594</v>
      </c>
      <c r="E33" s="391"/>
      <c r="F33" s="391"/>
      <c r="I33" s="427"/>
    </row>
    <row r="34" spans="2:9">
      <c r="B34" s="103" t="s">
        <v>867</v>
      </c>
      <c r="C34" s="675" t="str">
        <f>"£m "&amp;$D$30</f>
        <v>£m 31/03/2022</v>
      </c>
      <c r="D34" s="558">
        <v>1399.8359720272742</v>
      </c>
      <c r="E34" s="391"/>
      <c r="F34" s="391"/>
      <c r="I34" s="427"/>
    </row>
    <row r="35" spans="2:9">
      <c r="C35" s="676"/>
      <c r="D35" s="610"/>
      <c r="E35" s="391"/>
      <c r="F35" s="391"/>
      <c r="I35" s="427"/>
    </row>
    <row r="36" spans="2:9">
      <c r="B36" s="103" t="s">
        <v>868</v>
      </c>
      <c r="C36" s="675" t="str">
        <f>"£m "&amp;$D$30</f>
        <v>£m 31/03/2022</v>
      </c>
      <c r="D36" s="558">
        <v>230.56886577835559</v>
      </c>
      <c r="I36" s="427"/>
    </row>
    <row r="37" spans="2:9">
      <c r="B37" s="103" t="s">
        <v>869</v>
      </c>
      <c r="C37" s="675" t="str">
        <f>"£m "&amp;$D$30</f>
        <v>£m 31/03/2022</v>
      </c>
      <c r="D37" s="558">
        <v>1418.8311342216446</v>
      </c>
      <c r="I37" s="427"/>
    </row>
    <row r="38" spans="2:9">
      <c r="C38" s="676"/>
      <c r="D38" s="610"/>
      <c r="I38" s="427"/>
    </row>
    <row r="39" spans="2:9">
      <c r="B39" s="534" t="s">
        <v>870</v>
      </c>
      <c r="C39" s="675" t="str">
        <f>"£m "&amp;$D$30</f>
        <v>£m 31/03/2022</v>
      </c>
      <c r="D39" s="224">
        <f>D33-D36</f>
        <v>16.074962194370357</v>
      </c>
      <c r="I39" s="427"/>
    </row>
    <row r="40" spans="2:9">
      <c r="B40" s="534" t="s">
        <v>871</v>
      </c>
      <c r="C40" s="675" t="str">
        <f>"£m "&amp;$D$30</f>
        <v>£m 31/03/2022</v>
      </c>
      <c r="D40" s="224">
        <f>D34-D37</f>
        <v>-18.995162194370323</v>
      </c>
      <c r="I40" s="427"/>
    </row>
    <row r="41" spans="2:9">
      <c r="C41" s="676"/>
      <c r="D41" s="610"/>
      <c r="I41" s="427"/>
    </row>
    <row r="42" spans="2:9">
      <c r="B42" s="103" t="s">
        <v>872</v>
      </c>
      <c r="C42" s="675" t="str">
        <f>"£m "&amp;$D$30</f>
        <v>£m 31/03/2022</v>
      </c>
      <c r="D42" s="558">
        <v>-5.5960576431035456</v>
      </c>
      <c r="I42" s="427"/>
    </row>
    <row r="43" spans="2:9">
      <c r="B43" s="103" t="s">
        <v>873</v>
      </c>
      <c r="C43" s="675" t="str">
        <f>"£m "&amp;$D$30</f>
        <v>£m 31/03/2022</v>
      </c>
      <c r="D43" s="558">
        <v>8.2144548072594272</v>
      </c>
      <c r="I43" s="427"/>
    </row>
    <row r="44" spans="2:9">
      <c r="I44" s="427"/>
    </row>
    <row r="45" spans="2:9">
      <c r="I45" s="427"/>
    </row>
    <row r="46" spans="2:9">
      <c r="I46" s="427"/>
    </row>
    <row r="47" spans="2:9">
      <c r="B47" s="672" t="s">
        <v>874</v>
      </c>
      <c r="C47" s="355"/>
      <c r="D47" s="356"/>
      <c r="E47" s="356"/>
      <c r="F47" s="356"/>
      <c r="G47" s="356"/>
      <c r="H47" s="356"/>
      <c r="I47" s="427"/>
    </row>
    <row r="48" spans="2:9">
      <c r="I48" s="427"/>
    </row>
    <row r="49" spans="1:9">
      <c r="I49" s="427"/>
    </row>
    <row r="50" spans="1:9">
      <c r="I50" s="427"/>
    </row>
    <row r="51" spans="1:9">
      <c r="A51" s="302"/>
      <c r="B51" s="440"/>
      <c r="C51" s="440"/>
      <c r="D51" s="671" t="str">
        <f t="shared" ref="D51:H51" si="4">IF(D52&lt;=Reporting_Year,"Actuals","Forecast")</f>
        <v>Actuals</v>
      </c>
      <c r="E51" s="671" t="str">
        <f t="shared" si="4"/>
        <v>Forecast</v>
      </c>
      <c r="F51" s="671" t="str">
        <f t="shared" si="4"/>
        <v>Forecast</v>
      </c>
      <c r="G51" s="671" t="str">
        <f t="shared" si="4"/>
        <v>Forecast</v>
      </c>
      <c r="H51" s="671" t="str">
        <f t="shared" si="4"/>
        <v>Forecast</v>
      </c>
      <c r="I51" s="427"/>
    </row>
    <row r="52" spans="1:9">
      <c r="A52" s="302"/>
      <c r="B52" s="302"/>
      <c r="C52" s="391"/>
      <c r="D52" s="521">
        <f>'RFPR cover'!$C$6</f>
        <v>2024</v>
      </c>
      <c r="E52" s="521">
        <f t="shared" ref="E52:H52" si="5">D52+1</f>
        <v>2025</v>
      </c>
      <c r="F52" s="521">
        <f t="shared" si="5"/>
        <v>2026</v>
      </c>
      <c r="G52" s="521">
        <f t="shared" si="5"/>
        <v>2027</v>
      </c>
      <c r="H52" s="521">
        <f t="shared" si="5"/>
        <v>2028</v>
      </c>
      <c r="I52" s="427"/>
    </row>
    <row r="53" spans="1:9">
      <c r="D53" s="677"/>
      <c r="E53" s="677"/>
      <c r="F53" s="677"/>
      <c r="G53" s="677"/>
      <c r="H53" s="677"/>
      <c r="I53" s="427"/>
    </row>
    <row r="54" spans="1:9">
      <c r="B54" s="442" t="s">
        <v>875</v>
      </c>
      <c r="C54" s="594" t="str">
        <f>Data!$C$9</f>
        <v>£m 20/21</v>
      </c>
      <c r="D54" s="225">
        <f>(D$62+D$67)/INDEX(real_to_nominal_CF,MATCH('R10 - Pensions &amp; Oth Activities'!D52,calendar_year,0))</f>
        <v>0.78611112254013804</v>
      </c>
      <c r="E54" s="225">
        <f>(E$62+E$67)/INDEX(real_to_nominal_CF,MATCH('R10 - Pensions &amp; Oth Activities'!E52,calendar_year,0))</f>
        <v>0.47992724606254422</v>
      </c>
      <c r="F54" s="225">
        <f>(F$62+F$67)/INDEX(real_to_nominal_CF,MATCH('R10 - Pensions &amp; Oth Activities'!F52,calendar_year,0))</f>
        <v>0.47254757139243642</v>
      </c>
      <c r="G54" s="225">
        <f>(G$62+G$67)/INDEX(real_to_nominal_CF,MATCH('R10 - Pensions &amp; Oth Activities'!G52,calendar_year,0))</f>
        <v>0.28433592733921798</v>
      </c>
      <c r="H54" s="225">
        <f>(H$62+H$67)/INDEX(real_to_nominal_CF,MATCH('R10 - Pensions &amp; Oth Activities'!H52,calendar_year,0))</f>
        <v>0.28311388130775827</v>
      </c>
      <c r="I54" s="427"/>
    </row>
    <row r="55" spans="1:9">
      <c r="D55" s="677"/>
      <c r="E55" s="677"/>
      <c r="F55" s="677"/>
      <c r="G55" s="677"/>
      <c r="H55" s="677"/>
    </row>
    <row r="56" spans="1:9">
      <c r="B56" s="391" t="s">
        <v>876</v>
      </c>
      <c r="D56" s="677"/>
      <c r="E56" s="677"/>
      <c r="F56" s="677"/>
      <c r="G56" s="677"/>
      <c r="H56" s="677"/>
    </row>
    <row r="57" spans="1:9">
      <c r="B57" s="678" t="s">
        <v>877</v>
      </c>
      <c r="C57" s="29" t="s">
        <v>513</v>
      </c>
      <c r="D57" s="456"/>
      <c r="E57" s="456"/>
      <c r="F57" s="456"/>
      <c r="G57" s="456"/>
      <c r="H57" s="456"/>
    </row>
    <row r="58" spans="1:9">
      <c r="B58" s="678" t="s">
        <v>877</v>
      </c>
      <c r="C58" s="29" t="s">
        <v>513</v>
      </c>
      <c r="D58" s="456"/>
      <c r="E58" s="456"/>
      <c r="F58" s="456"/>
      <c r="G58" s="456"/>
      <c r="H58" s="456"/>
    </row>
    <row r="59" spans="1:9">
      <c r="B59" s="678" t="s">
        <v>791</v>
      </c>
      <c r="C59" s="29" t="s">
        <v>513</v>
      </c>
      <c r="D59" s="456"/>
      <c r="E59" s="456"/>
      <c r="F59" s="456"/>
      <c r="G59" s="456"/>
      <c r="H59" s="456"/>
    </row>
    <row r="60" spans="1:9">
      <c r="B60" s="391" t="s">
        <v>878</v>
      </c>
      <c r="C60" s="29" t="s">
        <v>513</v>
      </c>
      <c r="D60" s="225">
        <f t="shared" ref="D60:H60" si="6">SUM(D57:D59)</f>
        <v>0</v>
      </c>
      <c r="E60" s="225">
        <f t="shared" si="6"/>
        <v>0</v>
      </c>
      <c r="F60" s="225">
        <f t="shared" si="6"/>
        <v>0</v>
      </c>
      <c r="G60" s="225">
        <f t="shared" si="6"/>
        <v>0</v>
      </c>
      <c r="H60" s="225">
        <f t="shared" si="6"/>
        <v>0</v>
      </c>
    </row>
    <row r="61" spans="1:9">
      <c r="B61" s="302" t="s">
        <v>879</v>
      </c>
      <c r="C61" s="29" t="s">
        <v>513</v>
      </c>
      <c r="D61" s="456"/>
      <c r="E61" s="456"/>
      <c r="F61" s="456"/>
      <c r="G61" s="456"/>
      <c r="H61" s="456"/>
    </row>
    <row r="62" spans="1:9">
      <c r="B62" s="442" t="s">
        <v>880</v>
      </c>
      <c r="C62" s="29" t="s">
        <v>513</v>
      </c>
      <c r="D62" s="225">
        <f t="shared" ref="D62:H62" si="7">D60-D61</f>
        <v>0</v>
      </c>
      <c r="E62" s="225">
        <f t="shared" si="7"/>
        <v>0</v>
      </c>
      <c r="F62" s="225">
        <f t="shared" si="7"/>
        <v>0</v>
      </c>
      <c r="G62" s="225">
        <f t="shared" si="7"/>
        <v>0</v>
      </c>
      <c r="H62" s="225">
        <f t="shared" si="7"/>
        <v>0</v>
      </c>
    </row>
    <row r="64" spans="1:9">
      <c r="B64" s="391" t="s">
        <v>881</v>
      </c>
      <c r="D64" s="677"/>
      <c r="E64" s="677"/>
      <c r="F64" s="677"/>
      <c r="G64" s="677"/>
      <c r="H64" s="677"/>
    </row>
    <row r="65" spans="2:8">
      <c r="B65" s="678" t="s">
        <v>882</v>
      </c>
      <c r="C65" s="29" t="s">
        <v>513</v>
      </c>
      <c r="D65" s="558">
        <v>1.3422822999999999</v>
      </c>
      <c r="E65" s="558">
        <v>0.84252363985139367</v>
      </c>
      <c r="F65" s="558">
        <v>0.84252363985139367</v>
      </c>
      <c r="G65" s="558">
        <v>0.51564796408679303</v>
      </c>
      <c r="H65" s="558">
        <v>0.52338268354809492</v>
      </c>
    </row>
    <row r="66" spans="2:8">
      <c r="B66" s="302" t="s">
        <v>879</v>
      </c>
      <c r="C66" s="29" t="s">
        <v>513</v>
      </c>
      <c r="D66" s="558">
        <v>0.33557057499999998</v>
      </c>
      <c r="E66" s="558">
        <v>0.21063090996284842</v>
      </c>
      <c r="F66" s="558">
        <v>0.21063090996284842</v>
      </c>
      <c r="G66" s="558">
        <v>0.12891199102169826</v>
      </c>
      <c r="H66" s="558">
        <v>0.13084567088702373</v>
      </c>
    </row>
    <row r="67" spans="2:8">
      <c r="B67" s="442" t="s">
        <v>883</v>
      </c>
      <c r="C67" s="29" t="s">
        <v>513</v>
      </c>
      <c r="D67" s="225">
        <f t="shared" ref="D67:H67" si="8">D65-D66</f>
        <v>1.0067117249999999</v>
      </c>
      <c r="E67" s="225">
        <f t="shared" si="8"/>
        <v>0.63189272988854528</v>
      </c>
      <c r="F67" s="225">
        <f t="shared" si="8"/>
        <v>0.63189272988854528</v>
      </c>
      <c r="G67" s="225">
        <f t="shared" si="8"/>
        <v>0.38673597306509477</v>
      </c>
      <c r="H67" s="225">
        <f t="shared" si="8"/>
        <v>0.39253701266107122</v>
      </c>
    </row>
  </sheetData>
  <sheetProtection algorithmName="SHA-512" hashValue="mn7KbK8PLox4d3EBI8B+F90SJ1jOYTtdopokthixBfE0dmcPd3OQOvicXanDYf9lJtykquh11lVRgxSnOCrqZQ==" saltValue="K0NWK3B/W0bjORUGBpGZ4A==" spinCount="100000" sheet="1" objects="1" scenarios="1"/>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scale="8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 
</file>

<file path=customXml/itemProps1.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'R2 - Rec to Revenue and Profit'!Print_Area</vt:lpstr>
      <vt:lpstr>'R3 - Totex - Reconciliation'!Print_Area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2024-09-30T10:47:08Z</dcterms:created>
  <dcterms:modified xsi:type="dcterms:W3CDTF">2024-09-30T14:56:38Z</dcterms:modified>
  <cp:category/>
  <cp:contentStatus/>
</cp:coreProperties>
</file>