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T:\Pubsfn\Regulatory Accounting\Regulatory Accounting 2021-22\RFPR\06 versions for publication\"/>
    </mc:Choice>
  </mc:AlternateContent>
  <xr:revisionPtr revIDLastSave="0" documentId="14_{50ECB6EE-0D89-4AE0-B2F1-4343668CF41B}" xr6:coauthVersionLast="47" xr6:coauthVersionMax="47" xr10:uidLastSave="{00000000-0000-0000-0000-000000000000}"/>
  <bookViews>
    <workbookView xWindow="-120" yWindow="-120" windowWidth="29040" windowHeight="15840" tabRatio="847" xr2:uid="{00000000-000D-0000-FFFF-FFFF00000000}"/>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6">'R4 - Totex'!$A$1:$N$165</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F26" i="28" l="1"/>
  <c r="H86" i="29"/>
  <c r="G86" i="29"/>
  <c r="E86" i="29"/>
  <c r="D86" i="29"/>
  <c r="K86" i="29"/>
  <c r="J86" i="29"/>
  <c r="I86" i="29"/>
  <c r="F86" i="29"/>
  <c r="K25" i="2" l="1"/>
  <c r="B21" i="1" l="1"/>
  <c r="B3" i="1" l="1"/>
  <c r="M47" i="17" l="1"/>
  <c r="K21" i="20" l="1"/>
  <c r="J21" i="20"/>
  <c r="I21" i="20"/>
  <c r="H21" i="20"/>
  <c r="G21" i="20"/>
  <c r="F21" i="20"/>
  <c r="E21" i="20"/>
  <c r="D21" i="20"/>
  <c r="D16" i="20"/>
  <c r="K14" i="20"/>
  <c r="K16" i="20" s="1"/>
  <c r="J14" i="20"/>
  <c r="J16" i="20" s="1"/>
  <c r="I14" i="20"/>
  <c r="I16" i="20" s="1"/>
  <c r="H14" i="20"/>
  <c r="H16" i="20" s="1"/>
  <c r="G14" i="20"/>
  <c r="G16" i="20" s="1"/>
  <c r="F14" i="20"/>
  <c r="F16" i="20" s="1"/>
  <c r="E14" i="20"/>
  <c r="E16" i="20" s="1"/>
  <c r="D14" i="20"/>
  <c r="A3" i="20"/>
  <c r="A2" i="20"/>
  <c r="K19" i="19"/>
  <c r="J19" i="19"/>
  <c r="I19" i="19"/>
  <c r="H19" i="19"/>
  <c r="G19" i="19"/>
  <c r="F19" i="19"/>
  <c r="E19" i="19"/>
  <c r="D19" i="19"/>
  <c r="A3" i="19"/>
  <c r="A2" i="19"/>
  <c r="K13" i="11"/>
  <c r="J13" i="11"/>
  <c r="I13" i="11"/>
  <c r="H13" i="11"/>
  <c r="G13" i="11"/>
  <c r="F13" i="11"/>
  <c r="E13" i="11"/>
  <c r="D13" i="11"/>
  <c r="B3" i="11"/>
  <c r="A3" i="11"/>
  <c r="A2" i="11"/>
  <c r="K81" i="29"/>
  <c r="J81" i="29"/>
  <c r="I81" i="29"/>
  <c r="H81" i="29"/>
  <c r="G81" i="29"/>
  <c r="F81" i="29"/>
  <c r="E81" i="29"/>
  <c r="D81" i="29"/>
  <c r="K75" i="29"/>
  <c r="J75" i="29"/>
  <c r="I75" i="29"/>
  <c r="H75" i="29"/>
  <c r="G75" i="29"/>
  <c r="F75" i="29"/>
  <c r="E75" i="29"/>
  <c r="D75" i="29"/>
  <c r="K19" i="29"/>
  <c r="J19" i="29"/>
  <c r="I19" i="29"/>
  <c r="H19" i="29"/>
  <c r="G19" i="29"/>
  <c r="F19" i="29"/>
  <c r="E19" i="29"/>
  <c r="D19" i="29"/>
  <c r="A3" i="29"/>
  <c r="A2" i="29"/>
  <c r="K28" i="10"/>
  <c r="J28" i="10"/>
  <c r="I28" i="10"/>
  <c r="H28" i="10"/>
  <c r="G28" i="10"/>
  <c r="F28" i="10"/>
  <c r="E28" i="10"/>
  <c r="D28" i="10"/>
  <c r="K24" i="10"/>
  <c r="J24" i="10"/>
  <c r="I24" i="10"/>
  <c r="H24" i="10"/>
  <c r="G24" i="10"/>
  <c r="F24" i="10"/>
  <c r="E24" i="10"/>
  <c r="D24" i="10"/>
  <c r="D18" i="10"/>
  <c r="A3" i="10"/>
  <c r="A2" i="10"/>
  <c r="I8" i="27"/>
  <c r="K52" i="27"/>
  <c r="J52" i="27"/>
  <c r="I52" i="27"/>
  <c r="H52" i="27"/>
  <c r="G52" i="27"/>
  <c r="F52" i="27"/>
  <c r="E52" i="27"/>
  <c r="D52" i="27"/>
  <c r="B3" i="27"/>
  <c r="A3" i="27"/>
  <c r="A2" i="27"/>
  <c r="L6" i="17"/>
  <c r="B3" i="17"/>
  <c r="A3" i="17"/>
  <c r="A2" i="17"/>
  <c r="K17" i="3"/>
  <c r="J17" i="3"/>
  <c r="J18" i="4" s="1"/>
  <c r="I17" i="3"/>
  <c r="I18" i="4" s="1"/>
  <c r="G17" i="3"/>
  <c r="G18" i="4" s="1"/>
  <c r="F17" i="3"/>
  <c r="F18" i="4" s="1"/>
  <c r="E17" i="3"/>
  <c r="D17" i="3"/>
  <c r="K12" i="3"/>
  <c r="K17" i="4" s="1"/>
  <c r="J12" i="3"/>
  <c r="I12" i="3"/>
  <c r="I17" i="4" s="1"/>
  <c r="G12" i="3"/>
  <c r="G17" i="4" s="1"/>
  <c r="F12" i="3"/>
  <c r="F17" i="4" s="1"/>
  <c r="E12" i="3"/>
  <c r="D12" i="3"/>
  <c r="B3" i="3"/>
  <c r="A3" i="3"/>
  <c r="A2" i="3"/>
  <c r="A109" i="5"/>
  <c r="A108" i="5"/>
  <c r="I102" i="5"/>
  <c r="I15" i="4" s="1"/>
  <c r="H102" i="5"/>
  <c r="H15" i="4" s="1"/>
  <c r="G102" i="5"/>
  <c r="F102" i="5"/>
  <c r="F15" i="4" s="1"/>
  <c r="E102" i="5"/>
  <c r="D102" i="5"/>
  <c r="D15" i="4" s="1"/>
  <c r="A100" i="5"/>
  <c r="A111" i="5" s="1"/>
  <c r="A97" i="5"/>
  <c r="A110" i="5" s="1"/>
  <c r="A94" i="5"/>
  <c r="A91" i="5"/>
  <c r="A88" i="5"/>
  <c r="A107" i="5" s="1"/>
  <c r="A85" i="5"/>
  <c r="A106" i="5" s="1"/>
  <c r="A82" i="5"/>
  <c r="A105" i="5" s="1"/>
  <c r="K73" i="5"/>
  <c r="J73" i="5"/>
  <c r="I73" i="5"/>
  <c r="H73" i="5"/>
  <c r="G73" i="5"/>
  <c r="F73" i="5"/>
  <c r="E73" i="5"/>
  <c r="D73" i="5"/>
  <c r="E69" i="5"/>
  <c r="A69" i="5"/>
  <c r="D69" i="5" s="1"/>
  <c r="F65" i="5"/>
  <c r="A65" i="5"/>
  <c r="E65" i="5" s="1"/>
  <c r="F61" i="5"/>
  <c r="A61" i="5"/>
  <c r="E61" i="5" s="1"/>
  <c r="F57" i="5"/>
  <c r="A57" i="5"/>
  <c r="E57" i="5" s="1"/>
  <c r="F53" i="5"/>
  <c r="A53" i="5"/>
  <c r="E53" i="5" s="1"/>
  <c r="F49" i="5"/>
  <c r="A49" i="5"/>
  <c r="E49" i="5" s="1"/>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6" i="2" s="1"/>
  <c r="M55" i="2"/>
  <c r="M54" i="2"/>
  <c r="M53" i="2"/>
  <c r="M52" i="2"/>
  <c r="M51" i="2"/>
  <c r="M50" i="2"/>
  <c r="K44" i="2"/>
  <c r="J44" i="2"/>
  <c r="I44" i="2"/>
  <c r="I58" i="2" s="1"/>
  <c r="H44" i="2"/>
  <c r="H58" i="2" s="1"/>
  <c r="G44" i="2"/>
  <c r="F44" i="2"/>
  <c r="E44" i="2"/>
  <c r="E58" i="2" s="1"/>
  <c r="D44" i="2"/>
  <c r="K42" i="2"/>
  <c r="J42" i="2"/>
  <c r="I42" i="2"/>
  <c r="H42" i="2"/>
  <c r="G42" i="2"/>
  <c r="F42" i="2"/>
  <c r="E42" i="2"/>
  <c r="D42" i="2"/>
  <c r="M41" i="2"/>
  <c r="M42" i="2" s="1"/>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H64" i="4"/>
  <c r="G64" i="4"/>
  <c r="F64" i="4"/>
  <c r="E64" i="4"/>
  <c r="D64" i="4"/>
  <c r="K45" i="4"/>
  <c r="K66" i="4" s="1"/>
  <c r="K68" i="4" s="1"/>
  <c r="J45" i="4"/>
  <c r="H45" i="4"/>
  <c r="G45" i="4"/>
  <c r="G66" i="4" s="1"/>
  <c r="G68" i="4" s="1"/>
  <c r="F45" i="4"/>
  <c r="F66" i="4" s="1"/>
  <c r="F68" i="4" s="1"/>
  <c r="E45" i="4"/>
  <c r="E66" i="4" s="1"/>
  <c r="E68" i="4" s="1"/>
  <c r="D45" i="4"/>
  <c r="K28" i="4"/>
  <c r="K18" i="4"/>
  <c r="E18" i="4"/>
  <c r="D18" i="4"/>
  <c r="J17" i="4"/>
  <c r="E17" i="4"/>
  <c r="D17" i="4"/>
  <c r="G15" i="4"/>
  <c r="E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B192" i="28"/>
  <c r="F156" i="28" s="1"/>
  <c r="E182" i="28"/>
  <c r="F155" i="28" s="1"/>
  <c r="B182" i="28"/>
  <c r="F159" i="28"/>
  <c r="F158"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C14" i="13" s="1"/>
  <c r="C42" i="2" s="1"/>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F38" i="28"/>
  <c r="G38" i="28" s="1"/>
  <c r="H38" i="28" s="1"/>
  <c r="I38" i="28" s="1"/>
  <c r="J38" i="28" s="1"/>
  <c r="E38" i="28"/>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E55" i="17" l="1"/>
  <c r="J66" i="4"/>
  <c r="J68" i="4" s="1"/>
  <c r="K48" i="15"/>
  <c r="K80" i="15" s="1"/>
  <c r="J48" i="15"/>
  <c r="G49" i="5"/>
  <c r="G53" i="5"/>
  <c r="G57" i="5"/>
  <c r="G61" i="5"/>
  <c r="G65" i="5"/>
  <c r="F69" i="5"/>
  <c r="M48" i="17"/>
  <c r="F46" i="2"/>
  <c r="I49" i="5"/>
  <c r="I53" i="5"/>
  <c r="I57" i="5"/>
  <c r="I61" i="5"/>
  <c r="H65" i="5"/>
  <c r="G69" i="5"/>
  <c r="M49" i="17"/>
  <c r="M50" i="17"/>
  <c r="J49" i="5"/>
  <c r="J53" i="5"/>
  <c r="J57" i="5"/>
  <c r="J61" i="5"/>
  <c r="I65" i="5"/>
  <c r="H69" i="5"/>
  <c r="M51" i="17"/>
  <c r="K49" i="5"/>
  <c r="K53" i="5"/>
  <c r="K57" i="5"/>
  <c r="K61" i="5"/>
  <c r="J65" i="5"/>
  <c r="I69" i="5"/>
  <c r="M52" i="17"/>
  <c r="K65" i="5"/>
  <c r="J69" i="5"/>
  <c r="F55" i="17"/>
  <c r="D49" i="5"/>
  <c r="D53" i="5"/>
  <c r="D57" i="5"/>
  <c r="D61" i="5"/>
  <c r="D65" i="5"/>
  <c r="K69" i="5"/>
  <c r="G55" i="17"/>
  <c r="M53" i="17"/>
  <c r="J55" i="17"/>
  <c r="K47" i="2"/>
  <c r="I55" i="17"/>
  <c r="I48" i="15"/>
  <c r="E31" i="2"/>
  <c r="K55" i="17"/>
  <c r="F48" i="15"/>
  <c r="F80" i="15" s="1"/>
  <c r="E48" i="15"/>
  <c r="E80" i="15" s="1"/>
  <c r="D48" i="15"/>
  <c r="D80" i="15" s="1"/>
  <c r="G48" i="15"/>
  <c r="G80" i="15" s="1"/>
  <c r="H48" i="15"/>
  <c r="I26" i="4"/>
  <c r="I28" i="4" s="1"/>
  <c r="M14" i="2"/>
  <c r="F31" i="2"/>
  <c r="G42" i="28"/>
  <c r="H42" i="28" s="1"/>
  <c r="I42" i="28" s="1"/>
  <c r="J42" i="28" s="1"/>
  <c r="E156" i="28"/>
  <c r="M73" i="5"/>
  <c r="J18" i="2"/>
  <c r="H55" i="17"/>
  <c r="I28" i="17"/>
  <c r="I30" i="17" s="1"/>
  <c r="I33" i="17" s="1"/>
  <c r="J28" i="17"/>
  <c r="J30" i="17" s="1"/>
  <c r="K8" i="27"/>
  <c r="F28" i="17"/>
  <c r="F30" i="17" s="1"/>
  <c r="F33" i="17" s="1"/>
  <c r="E28" i="17"/>
  <c r="E30" i="17" s="1"/>
  <c r="E33" i="17" s="1"/>
  <c r="G28" i="17"/>
  <c r="G30" i="17" s="1"/>
  <c r="G33" i="17" s="1"/>
  <c r="D23" i="27"/>
  <c r="D42" i="27" s="1"/>
  <c r="H8" i="27"/>
  <c r="F26" i="4"/>
  <c r="F28" i="4" s="1"/>
  <c r="E26" i="4"/>
  <c r="E28" i="4" s="1"/>
  <c r="G26" i="4"/>
  <c r="G28" i="4" s="1"/>
  <c r="D26" i="4"/>
  <c r="D28" i="4" s="1"/>
  <c r="D19" i="2"/>
  <c r="G19" i="2"/>
  <c r="D66" i="4"/>
  <c r="D68" i="4" s="1"/>
  <c r="I83" i="29"/>
  <c r="I87" i="29" s="1"/>
  <c r="F83" i="29"/>
  <c r="F87" i="29" s="1"/>
  <c r="J83" i="29"/>
  <c r="J87" i="29" s="1"/>
  <c r="E83" i="29"/>
  <c r="E87" i="29" s="1"/>
  <c r="G83" i="29"/>
  <c r="G87" i="29" s="1"/>
  <c r="K83" i="29"/>
  <c r="K87" i="29" s="1"/>
  <c r="D83" i="29"/>
  <c r="D87" i="29" s="1"/>
  <c r="H83" i="29"/>
  <c r="H87" i="29"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59" i="2"/>
  <c r="K63" i="2" s="1"/>
  <c r="G46" i="2"/>
  <c r="G62" i="2" s="1"/>
  <c r="G47" i="2"/>
  <c r="E18" i="2"/>
  <c r="I18" i="2"/>
  <c r="F19" i="2"/>
  <c r="J19" i="2"/>
  <c r="E30" i="2"/>
  <c r="D59" i="2"/>
  <c r="D46" i="2"/>
  <c r="H59" i="2"/>
  <c r="H46" i="2"/>
  <c r="H62" i="2" s="1"/>
  <c r="H47" i="2"/>
  <c r="F18" i="2"/>
  <c r="K19" i="2"/>
  <c r="F30" i="2"/>
  <c r="D47" i="2"/>
  <c r="D58" i="2"/>
  <c r="E47" i="2"/>
  <c r="I47" i="2"/>
  <c r="E23" i="27"/>
  <c r="E42" i="27" s="1"/>
  <c r="E44" i="27" s="1"/>
  <c r="E48" i="27" s="1"/>
  <c r="F47" i="27" s="1"/>
  <c r="F23" i="27"/>
  <c r="F42" i="27" s="1"/>
  <c r="E8" i="27"/>
  <c r="F8" i="27"/>
  <c r="K23" i="27"/>
  <c r="K42" i="27" s="1"/>
  <c r="H23" i="27"/>
  <c r="H42" i="27" s="1"/>
  <c r="G8" i="27"/>
  <c r="D55" i="17"/>
  <c r="J33" i="17" l="1"/>
  <c r="J80" i="15"/>
  <c r="M65" i="5"/>
  <c r="M69" i="5"/>
  <c r="H31" i="10"/>
  <c r="H21" i="10"/>
  <c r="I31" i="10"/>
  <c r="I21" i="10"/>
  <c r="D31" i="10"/>
  <c r="D21" i="10"/>
  <c r="D29" i="10" s="1"/>
  <c r="E16" i="10" s="1"/>
  <c r="E18" i="10" s="1"/>
  <c r="E21" i="10"/>
  <c r="E31" i="10"/>
  <c r="F31" i="10"/>
  <c r="F21" i="10"/>
  <c r="G63" i="2"/>
  <c r="G31" i="10"/>
  <c r="G21" i="10"/>
  <c r="G23" i="27"/>
  <c r="G42" i="27" s="1"/>
  <c r="J31" i="10"/>
  <c r="J21" i="10"/>
  <c r="K31" i="10"/>
  <c r="K21" i="10"/>
  <c r="E35" i="2"/>
  <c r="J23" i="27"/>
  <c r="J42" i="27" s="1"/>
  <c r="J44" i="27" s="1"/>
  <c r="I80" i="15"/>
  <c r="F35" i="2"/>
  <c r="M46" i="17"/>
  <c r="H28" i="17"/>
  <c r="H30" i="17" s="1"/>
  <c r="H33" i="17" s="1"/>
  <c r="H80" i="15"/>
  <c r="D50" i="15"/>
  <c r="I63" i="2"/>
  <c r="D28" i="17"/>
  <c r="D30" i="17" s="1"/>
  <c r="D33" i="17" s="1"/>
  <c r="D44" i="27"/>
  <c r="D48" i="27" s="1"/>
  <c r="E47" i="27" s="1"/>
  <c r="E54" i="27" s="1"/>
  <c r="F44" i="27"/>
  <c r="F48" i="27" s="1"/>
  <c r="G47" i="27" s="1"/>
  <c r="G35" i="2"/>
  <c r="G70" i="2" s="1"/>
  <c r="K62" i="2"/>
  <c r="K64" i="2" s="1"/>
  <c r="G34" i="2"/>
  <c r="G69" i="2" s="1"/>
  <c r="I64" i="2"/>
  <c r="F63" i="2"/>
  <c r="M58" i="2"/>
  <c r="M59" i="2"/>
  <c r="E63" i="2"/>
  <c r="E64" i="2" s="1"/>
  <c r="D78" i="2"/>
  <c r="E6" i="2"/>
  <c r="D5" i="2"/>
  <c r="D77" i="2"/>
  <c r="E6" i="27"/>
  <c r="D5" i="27"/>
  <c r="D5" i="20"/>
  <c r="E6" i="20"/>
  <c r="F6" i="15"/>
  <c r="E5" i="15"/>
  <c r="E50" i="15" s="1"/>
  <c r="F34" i="2"/>
  <c r="D5" i="1"/>
  <c r="E6" i="1"/>
  <c r="E6" i="29"/>
  <c r="E5" i="29" s="1"/>
  <c r="D22" i="29"/>
  <c r="E6" i="10"/>
  <c r="E5" i="10" s="1"/>
  <c r="D40" i="10"/>
  <c r="D43" i="10" s="1"/>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K44" i="27"/>
  <c r="J8" i="27"/>
  <c r="I23" i="27"/>
  <c r="I42" i="27" s="1"/>
  <c r="H44" i="27"/>
  <c r="F27" i="28"/>
  <c r="M55" i="17"/>
  <c r="E5" i="17"/>
  <c r="F6" i="17"/>
  <c r="G44" i="27" l="1"/>
  <c r="G48" i="27" s="1"/>
  <c r="H47" i="27" s="1"/>
  <c r="K28" i="17"/>
  <c r="K30" i="17" s="1"/>
  <c r="D32" i="10"/>
  <c r="D38" i="10"/>
  <c r="D56" i="27" s="1"/>
  <c r="D47" i="10"/>
  <c r="D63" i="27" s="1"/>
  <c r="F70" i="2"/>
  <c r="E29" i="10"/>
  <c r="F16" i="10"/>
  <c r="F18" i="10" s="1"/>
  <c r="F29" i="10" s="1"/>
  <c r="H48" i="27"/>
  <c r="I47" i="27" s="1"/>
  <c r="J48" i="27"/>
  <c r="K48" i="27"/>
  <c r="D54" i="27"/>
  <c r="D39" i="17" s="1"/>
  <c r="D65" i="17" s="1"/>
  <c r="F54" i="27"/>
  <c r="G36" i="2"/>
  <c r="G49" i="1"/>
  <c r="F64" i="2"/>
  <c r="F49" i="1"/>
  <c r="E49" i="1"/>
  <c r="J64" i="2"/>
  <c r="E70" i="2"/>
  <c r="G71" i="2"/>
  <c r="D79" i="2"/>
  <c r="D50" i="1" s="1"/>
  <c r="D70" i="2"/>
  <c r="D49" i="1"/>
  <c r="D42" i="5"/>
  <c r="D41" i="5"/>
  <c r="B49" i="5"/>
  <c r="B82" i="5"/>
  <c r="B39" i="5"/>
  <c r="B51" i="1" s="1"/>
  <c r="B94" i="5"/>
  <c r="B65" i="5"/>
  <c r="B43" i="5"/>
  <c r="B55" i="1" s="1"/>
  <c r="M63" i="2"/>
  <c r="E78" i="2"/>
  <c r="E77" i="2"/>
  <c r="E5" i="2"/>
  <c r="F6" i="2"/>
  <c r="E33" i="28"/>
  <c r="D36" i="28"/>
  <c r="E39" i="17" s="1"/>
  <c r="D35" i="28"/>
  <c r="E34" i="10" s="1"/>
  <c r="E38" i="10"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F69" i="2"/>
  <c r="F71" i="2" s="1"/>
  <c r="F36" i="2"/>
  <c r="F6" i="20"/>
  <c r="E5" i="20"/>
  <c r="I44" i="27"/>
  <c r="G54" i="27"/>
  <c r="E27" i="28"/>
  <c r="G6" i="17"/>
  <c r="F5" i="17"/>
  <c r="K47" i="27" l="1"/>
  <c r="K54" i="27" s="1"/>
  <c r="K33" i="17"/>
  <c r="E56" i="27"/>
  <c r="E55" i="27" s="1"/>
  <c r="D46" i="10"/>
  <c r="D65" i="1" s="1"/>
  <c r="D18" i="1" s="1"/>
  <c r="D45" i="10"/>
  <c r="D49" i="10" s="1"/>
  <c r="G16" i="10"/>
  <c r="H54" i="27"/>
  <c r="I48" i="27"/>
  <c r="J47" i="27" s="1"/>
  <c r="J54" i="27" s="1"/>
  <c r="E71" i="2"/>
  <c r="D43" i="17"/>
  <c r="B33" i="1"/>
  <c r="B14" i="1"/>
  <c r="D46" i="5"/>
  <c r="D51" i="1"/>
  <c r="G6" i="19"/>
  <c r="F5" i="19"/>
  <c r="G6" i="4"/>
  <c r="F5" i="4"/>
  <c r="E41" i="17"/>
  <c r="E56" i="17" s="1"/>
  <c r="E8" i="20"/>
  <c r="E57" i="1" s="1"/>
  <c r="E35" i="10"/>
  <c r="E14" i="19"/>
  <c r="E52" i="29"/>
  <c r="E86" i="2"/>
  <c r="E28" i="3"/>
  <c r="E56" i="1" s="1"/>
  <c r="E79" i="2"/>
  <c r="B36" i="1"/>
  <c r="B17" i="1"/>
  <c r="D53" i="1"/>
  <c r="E45" i="10"/>
  <c r="E49" i="10" s="1"/>
  <c r="E80" i="17" s="1"/>
  <c r="E46" i="10"/>
  <c r="E63" i="27"/>
  <c r="D55" i="1"/>
  <c r="D52" i="1"/>
  <c r="B35" i="1"/>
  <c r="B16" i="1"/>
  <c r="F77" i="2"/>
  <c r="G6" i="2"/>
  <c r="F78" i="2"/>
  <c r="F5" i="2"/>
  <c r="D55" i="27"/>
  <c r="D57" i="27"/>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80" i="17"/>
  <c r="D57" i="10"/>
  <c r="G5" i="17"/>
  <c r="H6" i="17"/>
  <c r="H5" i="17" s="1"/>
  <c r="E57" i="27" l="1"/>
  <c r="D12" i="1"/>
  <c r="D11" i="1"/>
  <c r="D19" i="1"/>
  <c r="D54" i="10"/>
  <c r="D53" i="10"/>
  <c r="D14" i="1"/>
  <c r="D17" i="1"/>
  <c r="D16" i="1"/>
  <c r="D13" i="1"/>
  <c r="D15" i="1"/>
  <c r="D50" i="10"/>
  <c r="D58" i="10" s="1"/>
  <c r="D59" i="10" s="1"/>
  <c r="G18" i="10"/>
  <c r="G29" i="10" s="1"/>
  <c r="I54" i="27"/>
  <c r="D55" i="10"/>
  <c r="E23" i="29"/>
  <c r="E47"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F34" i="28"/>
  <c r="F32" i="28"/>
  <c r="F65" i="17"/>
  <c r="G22" i="29"/>
  <c r="H6" i="29"/>
  <c r="H5" i="29" s="1"/>
  <c r="H6" i="27"/>
  <c r="G5" i="27"/>
  <c r="H6" i="11"/>
  <c r="G5" i="11"/>
  <c r="D54" i="29"/>
  <c r="D92" i="29" s="1"/>
  <c r="D62"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G40" i="10"/>
  <c r="G43" i="10" s="1"/>
  <c r="D81" i="15"/>
  <c r="D82" i="15"/>
  <c r="F39" i="5"/>
  <c r="F44" i="5"/>
  <c r="H6" i="1"/>
  <c r="G5" i="1"/>
  <c r="E60" i="29"/>
  <c r="E59" i="27"/>
  <c r="D61" i="27"/>
  <c r="D59" i="27"/>
  <c r="D62" i="27"/>
  <c r="D66" i="1" s="1"/>
  <c r="D60" i="29"/>
  <c r="E61" i="27"/>
  <c r="E62" i="27"/>
  <c r="E66" i="1" s="1"/>
  <c r="E50" i="1"/>
  <c r="D86" i="17"/>
  <c r="I6" i="17"/>
  <c r="D51" i="10" l="1"/>
  <c r="D48" i="1"/>
  <c r="D10" i="1" s="1"/>
  <c r="D20" i="1" s="1"/>
  <c r="E50" i="29"/>
  <c r="E62" i="29" s="1"/>
  <c r="G32" i="10"/>
  <c r="G47" i="10"/>
  <c r="G46" i="10" s="1"/>
  <c r="G38" i="10"/>
  <c r="G56" i="27" s="1"/>
  <c r="G55" i="27" s="1"/>
  <c r="H16" i="10"/>
  <c r="H18" i="10" s="1"/>
  <c r="H29" i="10" s="1"/>
  <c r="E32" i="1"/>
  <c r="E64" i="27"/>
  <c r="D64" i="27"/>
  <c r="F43" i="17"/>
  <c r="E55" i="10"/>
  <c r="E120" i="2"/>
  <c r="E125" i="2" s="1"/>
  <c r="G79" i="2"/>
  <c r="G50" i="1" s="1"/>
  <c r="F46" i="5"/>
  <c r="F51" i="1"/>
  <c r="H5" i="1"/>
  <c r="I6" i="1"/>
  <c r="I6" i="10"/>
  <c r="I5" i="10" s="1"/>
  <c r="H40" i="10"/>
  <c r="H43" i="10" s="1"/>
  <c r="E97" i="2"/>
  <c r="E96" i="2"/>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F47" i="29" s="1"/>
  <c r="F50" i="29" s="1"/>
  <c r="E38" i="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J6" i="17"/>
  <c r="L50" i="17" s="1"/>
  <c r="I5" i="17"/>
  <c r="D63" i="17" l="1"/>
  <c r="E63" i="17"/>
  <c r="D58" i="1"/>
  <c r="G45" i="10"/>
  <c r="G49" i="10" s="1"/>
  <c r="G80" i="17" s="1"/>
  <c r="E54" i="29"/>
  <c r="E92" i="29" s="1"/>
  <c r="G63" i="27"/>
  <c r="H32" i="10"/>
  <c r="H38" i="10"/>
  <c r="H56" i="27" s="1"/>
  <c r="H57" i="27" s="1"/>
  <c r="G57" i="27"/>
  <c r="H47" i="10"/>
  <c r="H46" i="10" s="1"/>
  <c r="F31" i="1"/>
  <c r="I16" i="10"/>
  <c r="I18" i="10" s="1"/>
  <c r="I29" i="10" s="1"/>
  <c r="I32" i="10" s="1"/>
  <c r="F12" i="1"/>
  <c r="D66" i="27"/>
  <c r="F64" i="27"/>
  <c r="E66" i="27"/>
  <c r="D39" i="1"/>
  <c r="E124" i="2"/>
  <c r="G23" i="29"/>
  <c r="G47" i="29" s="1"/>
  <c r="G50" i="29" s="1"/>
  <c r="D140" i="2"/>
  <c r="D141" i="2"/>
  <c r="F92" i="2"/>
  <c r="F97" i="2" s="1"/>
  <c r="F37" i="1"/>
  <c r="D112" i="2"/>
  <c r="F38" i="1"/>
  <c r="F106" i="2"/>
  <c r="F109" i="2" s="1"/>
  <c r="D113" i="2"/>
  <c r="H65" i="17"/>
  <c r="I33" i="28"/>
  <c r="H32" i="28"/>
  <c r="H35" i="28"/>
  <c r="I34" i="10" s="1"/>
  <c r="H36" i="28"/>
  <c r="I39" i="17" s="1"/>
  <c r="H34" i="28"/>
  <c r="H79" i="2"/>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112" i="2" s="1"/>
  <c r="E70" i="17"/>
  <c r="E66" i="17"/>
  <c r="F17" i="1"/>
  <c r="F15" i="1"/>
  <c r="F11" i="1"/>
  <c r="F14" i="1"/>
  <c r="F16" i="1"/>
  <c r="H44" i="5"/>
  <c r="L49" i="17"/>
  <c r="L53" i="17"/>
  <c r="L52" i="17"/>
  <c r="H8" i="20"/>
  <c r="H57" i="1" s="1"/>
  <c r="H14" i="19"/>
  <c r="H41" i="17"/>
  <c r="H56" i="17" s="1"/>
  <c r="H35" i="10"/>
  <c r="H52" i="29"/>
  <c r="H23" i="29" s="1"/>
  <c r="H47" i="29" s="1"/>
  <c r="H50" i="29" s="1"/>
  <c r="H86" i="2"/>
  <c r="J6" i="20"/>
  <c r="I5" i="20"/>
  <c r="L55" i="17"/>
  <c r="F18" i="1"/>
  <c r="F30" i="1"/>
  <c r="F34" i="1"/>
  <c r="F35" i="1"/>
  <c r="F36" i="1"/>
  <c r="F33" i="1"/>
  <c r="F86" i="17"/>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66" i="17"/>
  <c r="D70" i="17"/>
  <c r="J6" i="11"/>
  <c r="I5" i="11"/>
  <c r="E58" i="1"/>
  <c r="E29" i="1"/>
  <c r="E39" i="1" s="1"/>
  <c r="E10" i="1"/>
  <c r="E20" i="1" s="1"/>
  <c r="I5" i="27"/>
  <c r="J6" i="27"/>
  <c r="F58" i="10"/>
  <c r="F59" i="10" s="1"/>
  <c r="I50" i="15"/>
  <c r="F32" i="1"/>
  <c r="F13" i="1"/>
  <c r="L48" i="17"/>
  <c r="F29" i="1"/>
  <c r="F10" i="1"/>
  <c r="F58" i="1"/>
  <c r="I78" i="2"/>
  <c r="I77" i="2"/>
  <c r="I5" i="2"/>
  <c r="J6" i="2"/>
  <c r="L24" i="2" s="1"/>
  <c r="F54" i="29"/>
  <c r="F92" i="29" s="1"/>
  <c r="F62" i="29"/>
  <c r="J6" i="29"/>
  <c r="J5" i="29" s="1"/>
  <c r="I22" i="29"/>
  <c r="E137" i="2"/>
  <c r="E141" i="2" s="1"/>
  <c r="E136" i="2"/>
  <c r="E140" i="2" s="1"/>
  <c r="J6" i="3"/>
  <c r="I5" i="3"/>
  <c r="L46" i="17"/>
  <c r="F55" i="10"/>
  <c r="K6" i="15"/>
  <c r="K5" i="15" s="1"/>
  <c r="J5" i="15"/>
  <c r="J6" i="4"/>
  <c r="I5" i="4"/>
  <c r="G54" i="10"/>
  <c r="G53" i="10"/>
  <c r="G57" i="10"/>
  <c r="G56" i="17"/>
  <c r="G43" i="17"/>
  <c r="K6" i="17"/>
  <c r="J5" i="17"/>
  <c r="G59" i="27" l="1"/>
  <c r="F63" i="17"/>
  <c r="D147" i="2"/>
  <c r="H55" i="27"/>
  <c r="G61" i="27"/>
  <c r="G64" i="27" s="1"/>
  <c r="G60" i="29"/>
  <c r="H63" i="27"/>
  <c r="H62" i="27" s="1"/>
  <c r="H66" i="1" s="1"/>
  <c r="G62" i="27"/>
  <c r="G66" i="1" s="1"/>
  <c r="G35" i="1" s="1"/>
  <c r="I47" i="10"/>
  <c r="I46" i="10" s="1"/>
  <c r="H45" i="10"/>
  <c r="H49" i="10" s="1"/>
  <c r="H80" i="17" s="1"/>
  <c r="F66" i="27"/>
  <c r="I38" i="10"/>
  <c r="I56" i="27" s="1"/>
  <c r="I57" i="27" s="1"/>
  <c r="G13" i="1"/>
  <c r="J16" i="10"/>
  <c r="J18" i="10" s="1"/>
  <c r="J29" i="10" s="1"/>
  <c r="D67" i="17"/>
  <c r="D69" i="17" s="1"/>
  <c r="F39" i="1"/>
  <c r="F20" i="1"/>
  <c r="G58" i="10"/>
  <c r="G59" i="10" s="1"/>
  <c r="G62" i="29"/>
  <c r="D142" i="2"/>
  <c r="F96" i="2"/>
  <c r="D148" i="2"/>
  <c r="L56" i="2"/>
  <c r="L59" i="2"/>
  <c r="L55" i="2"/>
  <c r="L65" i="5"/>
  <c r="E142" i="2"/>
  <c r="G92" i="2"/>
  <c r="G97" i="2" s="1"/>
  <c r="F113" i="2"/>
  <c r="L52" i="2"/>
  <c r="L40" i="2"/>
  <c r="F108" i="2"/>
  <c r="L17" i="5"/>
  <c r="L15" i="5"/>
  <c r="D114" i="2"/>
  <c r="L62" i="2"/>
  <c r="L54" i="2"/>
  <c r="L69" i="5"/>
  <c r="G55" i="10"/>
  <c r="J50" i="15"/>
  <c r="K6" i="3"/>
  <c r="K5" i="3" s="1"/>
  <c r="J5" i="3"/>
  <c r="I51" i="1"/>
  <c r="I46" i="5"/>
  <c r="G18" i="1"/>
  <c r="L64" i="2"/>
  <c r="E148" i="2"/>
  <c r="G81" i="15"/>
  <c r="G82" i="15"/>
  <c r="G14" i="1"/>
  <c r="K6" i="19"/>
  <c r="K5" i="19" s="1"/>
  <c r="J5" i="19"/>
  <c r="H50" i="1"/>
  <c r="I14" i="19"/>
  <c r="I28" i="3"/>
  <c r="I56" i="1" s="1"/>
  <c r="I52" i="29"/>
  <c r="I86" i="2"/>
  <c r="I35" i="10"/>
  <c r="I8" i="20"/>
  <c r="I57" i="1" s="1"/>
  <c r="I41" i="17"/>
  <c r="I56" i="17" s="1"/>
  <c r="I32" i="28"/>
  <c r="J33" i="28"/>
  <c r="I35" i="28"/>
  <c r="J34" i="10" s="1"/>
  <c r="I36" i="28"/>
  <c r="J39" i="17" s="1"/>
  <c r="I34" i="28"/>
  <c r="H54" i="29"/>
  <c r="H92" i="29" s="1"/>
  <c r="H62" i="29"/>
  <c r="J40" i="10"/>
  <c r="J43" i="10" s="1"/>
  <c r="K6" i="10"/>
  <c r="K5" i="10" s="1"/>
  <c r="J32" i="10"/>
  <c r="K6" i="20"/>
  <c r="K5" i="20" s="1"/>
  <c r="J5" i="20"/>
  <c r="H54" i="10"/>
  <c r="H50" i="10"/>
  <c r="H65" i="1"/>
  <c r="F136" i="2"/>
  <c r="F137" i="2"/>
  <c r="L50" i="2"/>
  <c r="L23" i="2"/>
  <c r="I65" i="17"/>
  <c r="K6" i="29"/>
  <c r="K5" i="29" s="1"/>
  <c r="I79" i="2"/>
  <c r="G58" i="1"/>
  <c r="G10" i="1"/>
  <c r="H101" i="2"/>
  <c r="H130" i="2"/>
  <c r="H132" i="2"/>
  <c r="H131" i="2"/>
  <c r="H100" i="2"/>
  <c r="H118" i="2"/>
  <c r="H104" i="2"/>
  <c r="H91" i="2"/>
  <c r="H102" i="2"/>
  <c r="H129" i="2"/>
  <c r="H128" i="2"/>
  <c r="H105" i="2"/>
  <c r="H90" i="2"/>
  <c r="H119" i="2"/>
  <c r="H133" i="2"/>
  <c r="E67" i="17"/>
  <c r="E69" i="17" s="1"/>
  <c r="F125" i="2"/>
  <c r="F124" i="2"/>
  <c r="G51" i="10"/>
  <c r="H43" i="17"/>
  <c r="H60" i="29"/>
  <c r="H59" i="2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E147" i="2"/>
  <c r="E114" i="2"/>
  <c r="L41" i="2"/>
  <c r="L46" i="2"/>
  <c r="G120" i="2"/>
  <c r="G134" i="2"/>
  <c r="G106" i="2"/>
  <c r="G86" i="17"/>
  <c r="L26" i="2"/>
  <c r="L53" i="2"/>
  <c r="E88" i="17" l="1"/>
  <c r="D88" i="17"/>
  <c r="F66" i="17"/>
  <c r="F67" i="17" s="1"/>
  <c r="F69" i="17" s="1"/>
  <c r="F70" i="17"/>
  <c r="G66" i="27"/>
  <c r="D149" i="2"/>
  <c r="I63" i="27"/>
  <c r="I62" i="27" s="1"/>
  <c r="I66" i="1" s="1"/>
  <c r="G29" i="1"/>
  <c r="G30" i="1"/>
  <c r="G34" i="1"/>
  <c r="G37" i="1"/>
  <c r="G31" i="1"/>
  <c r="G36" i="1"/>
  <c r="G33" i="1"/>
  <c r="H61" i="27"/>
  <c r="H64" i="27" s="1"/>
  <c r="G32" i="1"/>
  <c r="G38" i="1"/>
  <c r="H53" i="10"/>
  <c r="H55" i="10" s="1"/>
  <c r="H57" i="10"/>
  <c r="I45" i="10"/>
  <c r="I49" i="10" s="1"/>
  <c r="I80" i="17" s="1"/>
  <c r="I55" i="27"/>
  <c r="F112" i="2"/>
  <c r="F114" i="2" s="1"/>
  <c r="J38" i="10"/>
  <c r="J56" i="27" s="1"/>
  <c r="J57" i="27" s="1"/>
  <c r="J47" i="10"/>
  <c r="J46" i="10" s="1"/>
  <c r="K16" i="10"/>
  <c r="K18" i="10" s="1"/>
  <c r="K29" i="10" s="1"/>
  <c r="H19" i="1"/>
  <c r="G63" i="17"/>
  <c r="G20" i="1"/>
  <c r="I43" i="17"/>
  <c r="G54" i="29"/>
  <c r="G92" i="29" s="1"/>
  <c r="D90" i="17"/>
  <c r="G96" i="2"/>
  <c r="L42" i="2"/>
  <c r="J79"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I60" i="29"/>
  <c r="I59" i="27"/>
  <c r="H51" i="10"/>
  <c r="H48" i="1"/>
  <c r="K32" i="10"/>
  <c r="K40" i="10"/>
  <c r="K43"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I65" i="1"/>
  <c r="I50" i="10"/>
  <c r="I48" i="1" s="1"/>
  <c r="G137" i="2"/>
  <c r="G136" i="2"/>
  <c r="G124" i="2"/>
  <c r="G125" i="2"/>
  <c r="J54" i="1"/>
  <c r="J55" i="1"/>
  <c r="L43" i="5"/>
  <c r="K77" i="2"/>
  <c r="K78" i="2"/>
  <c r="K5" i="2"/>
  <c r="L77" i="2"/>
  <c r="E90" i="17"/>
  <c r="H81" i="15"/>
  <c r="H82" i="15"/>
  <c r="F141" i="2"/>
  <c r="I23" i="29"/>
  <c r="I47" i="29" s="1"/>
  <c r="I50" i="29" s="1"/>
  <c r="J65" i="17"/>
  <c r="H86" i="17"/>
  <c r="H58" i="10"/>
  <c r="E149" i="2"/>
  <c r="J51" i="1"/>
  <c r="J45" i="5"/>
  <c r="L45" i="5" s="1"/>
  <c r="K5" i="27"/>
  <c r="H92" i="2"/>
  <c r="I50" i="1"/>
  <c r="H12" i="1"/>
  <c r="H31" i="1"/>
  <c r="G109" i="2"/>
  <c r="G108" i="2"/>
  <c r="K5" i="1"/>
  <c r="J40" i="5"/>
  <c r="L14" i="2"/>
  <c r="H36" i="1"/>
  <c r="H134" i="2"/>
  <c r="H17" i="1"/>
  <c r="J32" i="28"/>
  <c r="J35" i="28"/>
  <c r="K34" i="10" s="1"/>
  <c r="J36" i="28"/>
  <c r="J34" i="28"/>
  <c r="I54" i="10"/>
  <c r="H38" i="1"/>
  <c r="H66" i="27" l="1"/>
  <c r="I61" i="27"/>
  <c r="G39" i="1"/>
  <c r="I57" i="10"/>
  <c r="H59" i="10"/>
  <c r="K47" i="10"/>
  <c r="K46" i="10" s="1"/>
  <c r="I53" i="10"/>
  <c r="I55" i="10" s="1"/>
  <c r="J45" i="10"/>
  <c r="J49" i="10" s="1"/>
  <c r="J57" i="10" s="1"/>
  <c r="K38" i="10"/>
  <c r="K56" i="27" s="1"/>
  <c r="K57" i="27" s="1"/>
  <c r="J63" i="27"/>
  <c r="J62" i="27" s="1"/>
  <c r="J66" i="1" s="1"/>
  <c r="M36" i="1" s="1"/>
  <c r="J55" i="27"/>
  <c r="I13" i="1"/>
  <c r="G66" i="17"/>
  <c r="G70" i="17"/>
  <c r="H63" i="17"/>
  <c r="I64" i="27"/>
  <c r="I86" i="17"/>
  <c r="F88" i="17"/>
  <c r="F90" i="17" s="1"/>
  <c r="I18" i="1"/>
  <c r="J46" i="5"/>
  <c r="I19" i="1"/>
  <c r="G141" i="2"/>
  <c r="L79" i="2"/>
  <c r="K79" i="2"/>
  <c r="K50" i="1" s="1"/>
  <c r="N50" i="1" s="1"/>
  <c r="I51" i="10"/>
  <c r="I58" i="10"/>
  <c r="J23" i="29"/>
  <c r="M75" i="5"/>
  <c r="J43" i="17"/>
  <c r="L43" i="17" s="1"/>
  <c r="G140" i="2"/>
  <c r="G142" i="2" s="1"/>
  <c r="I120" i="2"/>
  <c r="I125" i="2" s="1"/>
  <c r="I35" i="1"/>
  <c r="I36" i="1"/>
  <c r="I33" i="1"/>
  <c r="I34" i="1"/>
  <c r="I32" i="1"/>
  <c r="H96" i="2"/>
  <c r="H97" i="2"/>
  <c r="I62" i="29"/>
  <c r="I54" i="29"/>
  <c r="I92" i="29" s="1"/>
  <c r="I17" i="1"/>
  <c r="I14" i="1"/>
  <c r="I15" i="1"/>
  <c r="I16" i="1"/>
  <c r="M57" i="1"/>
  <c r="F142" i="2"/>
  <c r="F147" i="2"/>
  <c r="K35" i="10"/>
  <c r="K8" i="20"/>
  <c r="K57" i="1" s="1"/>
  <c r="K14" i="19"/>
  <c r="K28" i="3"/>
  <c r="K56" i="1" s="1"/>
  <c r="K52" i="29"/>
  <c r="K86" i="2"/>
  <c r="K41" i="17"/>
  <c r="K56" i="17" s="1"/>
  <c r="G112" i="2"/>
  <c r="I38" i="1"/>
  <c r="I12" i="1"/>
  <c r="I31" i="1"/>
  <c r="M50" i="1"/>
  <c r="F148" i="2"/>
  <c r="M55" i="1"/>
  <c r="I81" i="15"/>
  <c r="I82" i="15"/>
  <c r="J54" i="10"/>
  <c r="H29" i="1"/>
  <c r="H10" i="1"/>
  <c r="K39" i="5"/>
  <c r="K42" i="5"/>
  <c r="K39" i="17"/>
  <c r="H136" i="2"/>
  <c r="H137" i="2"/>
  <c r="J52" i="1"/>
  <c r="G113" i="2"/>
  <c r="I92" i="2"/>
  <c r="H125" i="2"/>
  <c r="H124" i="2"/>
  <c r="K43" i="5"/>
  <c r="M67" i="5"/>
  <c r="K44" i="5"/>
  <c r="M44" i="5" s="1"/>
  <c r="M71" i="5"/>
  <c r="M45" i="5"/>
  <c r="J59" i="27"/>
  <c r="J60" i="29"/>
  <c r="I37" i="1"/>
  <c r="J65" i="1"/>
  <c r="J50" i="10"/>
  <c r="J48" i="1" s="1"/>
  <c r="M77" i="2"/>
  <c r="I10" i="1"/>
  <c r="I29" i="1"/>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I63" i="17" l="1"/>
  <c r="I70" i="17" s="1"/>
  <c r="M31" i="1"/>
  <c r="M38" i="1"/>
  <c r="K45" i="10"/>
  <c r="K49" i="10" s="1"/>
  <c r="K80" i="17" s="1"/>
  <c r="I59" i="10"/>
  <c r="K63" i="27"/>
  <c r="K61" i="27" s="1"/>
  <c r="J80" i="17"/>
  <c r="J86" i="17" s="1"/>
  <c r="J61" i="27"/>
  <c r="J64" i="27" s="1"/>
  <c r="J53" i="10"/>
  <c r="J55" i="10" s="1"/>
  <c r="K55" i="27"/>
  <c r="G67" i="17"/>
  <c r="G69" i="17" s="1"/>
  <c r="J38" i="1"/>
  <c r="H70" i="17"/>
  <c r="H66" i="17"/>
  <c r="I66" i="27"/>
  <c r="M79" i="2"/>
  <c r="J35" i="1"/>
  <c r="J32" i="1"/>
  <c r="I124" i="2"/>
  <c r="J36" i="1"/>
  <c r="L120" i="2"/>
  <c r="J16" i="1"/>
  <c r="L100" i="2"/>
  <c r="J10" i="1"/>
  <c r="J29" i="1"/>
  <c r="K65" i="1"/>
  <c r="K50" i="10"/>
  <c r="K48" i="1" s="1"/>
  <c r="N48" i="1" s="1"/>
  <c r="K23" i="29"/>
  <c r="J12" i="1"/>
  <c r="J13" i="1"/>
  <c r="H141" i="2"/>
  <c r="K54" i="1"/>
  <c r="K46" i="5"/>
  <c r="K51" i="1"/>
  <c r="M48" i="1"/>
  <c r="J58" i="10"/>
  <c r="J59" i="10" s="1"/>
  <c r="J31" i="1"/>
  <c r="G114" i="2"/>
  <c r="G147" i="2"/>
  <c r="M19" i="1"/>
  <c r="J37" i="1"/>
  <c r="J134" i="2"/>
  <c r="L134" i="2" s="1"/>
  <c r="L128" i="2"/>
  <c r="I136" i="2"/>
  <c r="I137" i="2"/>
  <c r="I141" i="2" s="1"/>
  <c r="G148" i="2"/>
  <c r="J51" i="10"/>
  <c r="H140" i="2"/>
  <c r="K65" i="17"/>
  <c r="K43" i="17"/>
  <c r="M43" i="17" s="1"/>
  <c r="M10" i="1"/>
  <c r="J17" i="1"/>
  <c r="M56" i="17"/>
  <c r="J18" i="1"/>
  <c r="J81" i="15"/>
  <c r="J82" i="15"/>
  <c r="L90" i="2"/>
  <c r="J15" i="1"/>
  <c r="J34" i="1"/>
  <c r="J120" i="2"/>
  <c r="J92" i="2"/>
  <c r="L91" i="2"/>
  <c r="K55" i="1"/>
  <c r="M43" i="5"/>
  <c r="I97" i="2"/>
  <c r="I96" i="2"/>
  <c r="J14" i="1"/>
  <c r="J33" i="1"/>
  <c r="M29" i="1"/>
  <c r="M17" i="1"/>
  <c r="M12" i="1"/>
  <c r="K131" i="2"/>
  <c r="M131" i="2" s="1"/>
  <c r="K100" i="2"/>
  <c r="K130" i="2"/>
  <c r="M130" i="2" s="1"/>
  <c r="K104" i="2"/>
  <c r="M104" i="2" s="1"/>
  <c r="K105" i="2"/>
  <c r="M105" i="2" s="1"/>
  <c r="K91" i="2"/>
  <c r="M91" i="2" s="1"/>
  <c r="K118" i="2"/>
  <c r="M118" i="2" s="1"/>
  <c r="K132" i="2"/>
  <c r="M132" i="2" s="1"/>
  <c r="K101" i="2"/>
  <c r="M101" i="2" s="1"/>
  <c r="K119" i="2"/>
  <c r="K90" i="2"/>
  <c r="K129" i="2"/>
  <c r="M129" i="2" s="1"/>
  <c r="K128" i="2"/>
  <c r="K133" i="2"/>
  <c r="M133" i="2" s="1"/>
  <c r="K102" i="2"/>
  <c r="M102" i="2" s="1"/>
  <c r="N57" i="1"/>
  <c r="J19" i="1"/>
  <c r="K59" i="27"/>
  <c r="K60" i="29"/>
  <c r="K54" i="10"/>
  <c r="F149" i="2"/>
  <c r="K62" i="27" l="1"/>
  <c r="K66" i="1" s="1"/>
  <c r="I66" i="17"/>
  <c r="K57" i="10"/>
  <c r="G88" i="17"/>
  <c r="G90" i="17" s="1"/>
  <c r="K53" i="10"/>
  <c r="K55" i="10" s="1"/>
  <c r="J66" i="27"/>
  <c r="L80" i="17"/>
  <c r="I140" i="2"/>
  <c r="I142" i="2" s="1"/>
  <c r="K81" i="15"/>
  <c r="I67" i="17"/>
  <c r="I69" i="17" s="1"/>
  <c r="L86" i="17"/>
  <c r="H67" i="17"/>
  <c r="H69" i="17" s="1"/>
  <c r="J63" i="17"/>
  <c r="K64" i="27"/>
  <c r="N38" i="1"/>
  <c r="N31" i="1"/>
  <c r="K38" i="1"/>
  <c r="K86" i="17"/>
  <c r="K19" i="1"/>
  <c r="M80" i="17"/>
  <c r="L92" i="2"/>
  <c r="K18" i="1"/>
  <c r="N10" i="1"/>
  <c r="K58" i="10"/>
  <c r="N19" i="1"/>
  <c r="K51" i="10"/>
  <c r="N12" i="1"/>
  <c r="K16" i="1"/>
  <c r="K35" i="1"/>
  <c r="J136" i="2"/>
  <c r="L136" i="2" s="1"/>
  <c r="J137" i="2"/>
  <c r="L137" i="2" s="1"/>
  <c r="M128" i="2"/>
  <c r="K134" i="2"/>
  <c r="J124" i="2"/>
  <c r="J125" i="2"/>
  <c r="H142" i="2"/>
  <c r="K13" i="1"/>
  <c r="K32" i="1"/>
  <c r="K10" i="1"/>
  <c r="K29" i="1"/>
  <c r="M90" i="2"/>
  <c r="M92" i="2" s="1"/>
  <c r="K120" i="2"/>
  <c r="K92" i="2"/>
  <c r="K33" i="1"/>
  <c r="K31" i="1"/>
  <c r="K34" i="1"/>
  <c r="K17" i="1"/>
  <c r="K36" i="1"/>
  <c r="N17" i="1"/>
  <c r="N36" i="1"/>
  <c r="N55" i="1"/>
  <c r="J96" i="2"/>
  <c r="L96" i="2" s="1"/>
  <c r="J97" i="2"/>
  <c r="N29" i="1"/>
  <c r="K14" i="1"/>
  <c r="K15" i="1"/>
  <c r="K12" i="1"/>
  <c r="M100" i="2"/>
  <c r="M119" i="2"/>
  <c r="M120" i="2" s="1"/>
  <c r="K37" i="1"/>
  <c r="G149" i="2"/>
  <c r="K59" i="10" l="1"/>
  <c r="I88" i="17"/>
  <c r="I90" i="17" s="1"/>
  <c r="K63" i="17"/>
  <c r="J66" i="17"/>
  <c r="J67" i="17" s="1"/>
  <c r="J69" i="17" s="1"/>
  <c r="H88" i="17"/>
  <c r="H90" i="17" s="1"/>
  <c r="M86" i="17"/>
  <c r="J70" i="17"/>
  <c r="L70" i="17" s="1"/>
  <c r="K66" i="27"/>
  <c r="L97" i="2"/>
  <c r="K96" i="2"/>
  <c r="K97" i="2"/>
  <c r="M97" i="2" s="1"/>
  <c r="J141" i="2"/>
  <c r="L141" i="2" s="1"/>
  <c r="L125" i="2"/>
  <c r="K124" i="2"/>
  <c r="M124" i="2" s="1"/>
  <c r="K125" i="2"/>
  <c r="J140" i="2"/>
  <c r="L124" i="2"/>
  <c r="K136" i="2"/>
  <c r="M136" i="2" s="1"/>
  <c r="K137" i="2"/>
  <c r="M137" i="2" s="1"/>
  <c r="M134" i="2"/>
  <c r="K66" i="17" l="1"/>
  <c r="K70" i="17"/>
  <c r="L69" i="17"/>
  <c r="J88" i="17"/>
  <c r="J90" i="17" s="1"/>
  <c r="L90" i="17" s="1"/>
  <c r="M70" i="17"/>
  <c r="K67" i="17"/>
  <c r="K69" i="17" s="1"/>
  <c r="K141" i="2"/>
  <c r="M141" i="2" s="1"/>
  <c r="K140" i="2"/>
  <c r="J142" i="2"/>
  <c r="L142" i="2" s="1"/>
  <c r="L140" i="2"/>
  <c r="M125" i="2"/>
  <c r="M96" i="2"/>
  <c r="M69" i="17" l="1"/>
  <c r="L88" i="17"/>
  <c r="K88" i="17"/>
  <c r="K90" i="17" s="1"/>
  <c r="K142" i="2"/>
  <c r="M142" i="2" s="1"/>
  <c r="M140" i="2"/>
  <c r="M88" i="17" l="1"/>
  <c r="M90" i="17"/>
  <c r="H17" i="3" l="1"/>
  <c r="H18" i="4" s="1"/>
  <c r="H14" i="4" l="1"/>
  <c r="H66" i="4" l="1"/>
  <c r="H68" i="4" s="1"/>
  <c r="H57" i="5" l="1"/>
  <c r="M13" i="5"/>
  <c r="L13" i="5"/>
  <c r="H28" i="3"/>
  <c r="H56" i="1" s="1"/>
  <c r="H12" i="3" l="1"/>
  <c r="H17" i="4" s="1"/>
  <c r="H26" i="4" s="1"/>
  <c r="H28" i="4" s="1"/>
  <c r="H61" i="5"/>
  <c r="M14" i="5"/>
  <c r="L14" i="5"/>
  <c r="H37" i="1"/>
  <c r="H18" i="1"/>
  <c r="M56" i="1"/>
  <c r="M37" i="1"/>
  <c r="N56" i="1"/>
  <c r="M18" i="1"/>
  <c r="N37" i="1"/>
  <c r="N18" i="1"/>
  <c r="M57" i="5"/>
  <c r="H59" i="5"/>
  <c r="L57" i="5"/>
  <c r="H41" i="5" l="1"/>
  <c r="L59" i="5"/>
  <c r="M59" i="5"/>
  <c r="H49" i="5"/>
  <c r="M11" i="5"/>
  <c r="H18" i="5"/>
  <c r="L11" i="5"/>
  <c r="H53" i="5"/>
  <c r="M12" i="5"/>
  <c r="L12" i="5"/>
  <c r="M61" i="5"/>
  <c r="H63" i="5"/>
  <c r="L61" i="5"/>
  <c r="H42" i="5" l="1"/>
  <c r="L63" i="5"/>
  <c r="M63" i="5"/>
  <c r="M53" i="5"/>
  <c r="H55" i="5"/>
  <c r="L53" i="5"/>
  <c r="M49" i="5"/>
  <c r="H51" i="5"/>
  <c r="L49" i="5"/>
  <c r="L18" i="5"/>
  <c r="M18" i="5"/>
  <c r="H53" i="1"/>
  <c r="L41" i="5"/>
  <c r="M41" i="5"/>
  <c r="H15" i="1" l="1"/>
  <c r="H34" i="1"/>
  <c r="M15" i="1"/>
  <c r="N53" i="1"/>
  <c r="M34" i="1"/>
  <c r="N34" i="1"/>
  <c r="M53" i="1"/>
  <c r="N15" i="1"/>
  <c r="H39" i="5"/>
  <c r="L51" i="5"/>
  <c r="M51" i="5"/>
  <c r="H40" i="5"/>
  <c r="L55" i="5"/>
  <c r="M55" i="5"/>
  <c r="H54" i="1"/>
  <c r="L42" i="5"/>
  <c r="M42" i="5"/>
  <c r="H35" i="1" l="1"/>
  <c r="H16" i="1"/>
  <c r="M35" i="1"/>
  <c r="M54" i="1"/>
  <c r="M16" i="1"/>
  <c r="N54" i="1"/>
  <c r="N35" i="1"/>
  <c r="N16" i="1"/>
  <c r="H52" i="1"/>
  <c r="M40" i="5"/>
  <c r="L40" i="5"/>
  <c r="H51" i="1"/>
  <c r="H46" i="5"/>
  <c r="L39" i="5"/>
  <c r="M39" i="5"/>
  <c r="M46" i="5" l="1"/>
  <c r="H32" i="1"/>
  <c r="H13" i="1"/>
  <c r="M32" i="1"/>
  <c r="M51" i="1"/>
  <c r="M13" i="1"/>
  <c r="N51" i="1"/>
  <c r="N13" i="1"/>
  <c r="N32" i="1"/>
  <c r="L46" i="5"/>
  <c r="H33" i="1"/>
  <c r="H14" i="1"/>
  <c r="N52" i="1"/>
  <c r="M14" i="1"/>
  <c r="M52" i="1"/>
  <c r="M33" i="1"/>
  <c r="N33" i="1"/>
  <c r="N14" i="1"/>
  <c r="J102" i="5" l="1"/>
  <c r="J15" i="4" l="1"/>
  <c r="J26" i="4" s="1"/>
  <c r="J22" i="29"/>
  <c r="J28" i="4" l="1"/>
  <c r="J47" i="29"/>
  <c r="H28" i="2" l="1"/>
  <c r="H103" i="2"/>
  <c r="H106" i="2" s="1"/>
  <c r="L25" i="2"/>
  <c r="H30" i="2" l="1"/>
  <c r="H31" i="2"/>
  <c r="H109" i="2"/>
  <c r="H113" i="2" s="1"/>
  <c r="H108" i="2"/>
  <c r="H35" i="2" l="1"/>
  <c r="H112" i="2"/>
  <c r="H148" i="2"/>
  <c r="H34" i="2"/>
  <c r="H114" i="2" l="1"/>
  <c r="H147" i="2"/>
  <c r="H69" i="2"/>
  <c r="H36" i="2"/>
  <c r="H70" i="2"/>
  <c r="H49" i="1"/>
  <c r="H149" i="2" l="1"/>
  <c r="H30" i="1"/>
  <c r="H39" i="1" s="1"/>
  <c r="H11" i="1"/>
  <c r="H20" i="1" s="1"/>
  <c r="H58" i="1"/>
  <c r="H71" i="2"/>
  <c r="J28" i="2" l="1"/>
  <c r="J103" i="2"/>
  <c r="J106" i="2" s="1"/>
  <c r="I28" i="2"/>
  <c r="L28" i="2" s="1"/>
  <c r="M25" i="2"/>
  <c r="I103" i="2"/>
  <c r="L103" i="2" s="1"/>
  <c r="K103" i="2"/>
  <c r="K106" i="2" s="1"/>
  <c r="K28" i="2"/>
  <c r="I31" i="2" l="1"/>
  <c r="I30" i="2"/>
  <c r="M28" i="2"/>
  <c r="K108" i="2"/>
  <c r="K112" i="2" s="1"/>
  <c r="K109" i="2"/>
  <c r="K113" i="2" s="1"/>
  <c r="K148" i="2" s="1"/>
  <c r="J109" i="2"/>
  <c r="J113" i="2" s="1"/>
  <c r="J148" i="2" s="1"/>
  <c r="J108" i="2"/>
  <c r="J112" i="2" s="1"/>
  <c r="K31" i="2"/>
  <c r="K35" i="2" s="1"/>
  <c r="K30" i="2"/>
  <c r="K34" i="2" s="1"/>
  <c r="M103" i="2"/>
  <c r="I106" i="2"/>
  <c r="L106" i="2" s="1"/>
  <c r="J31" i="2"/>
  <c r="J35" i="2" s="1"/>
  <c r="J30" i="2"/>
  <c r="J34" i="2" s="1"/>
  <c r="L30" i="2" l="1"/>
  <c r="L31" i="2"/>
  <c r="J70" i="2"/>
  <c r="J49" i="1"/>
  <c r="K49" i="1"/>
  <c r="K70" i="2"/>
  <c r="K147" i="2"/>
  <c r="K149" i="2" s="1"/>
  <c r="K114" i="2"/>
  <c r="J114" i="2"/>
  <c r="J147" i="2"/>
  <c r="J149" i="2" s="1"/>
  <c r="M30" i="2"/>
  <c r="I34" i="2"/>
  <c r="L34" i="2" s="1"/>
  <c r="M106" i="2"/>
  <c r="I108" i="2"/>
  <c r="L108" i="2" s="1"/>
  <c r="I109" i="2"/>
  <c r="L109" i="2" s="1"/>
  <c r="J36" i="2"/>
  <c r="J69" i="2"/>
  <c r="K36" i="2"/>
  <c r="K69" i="2"/>
  <c r="M31" i="2"/>
  <c r="I35" i="2"/>
  <c r="L35" i="2" s="1"/>
  <c r="J71" i="2" l="1"/>
  <c r="I112" i="2"/>
  <c r="L112" i="2" s="1"/>
  <c r="M108" i="2"/>
  <c r="K30" i="1"/>
  <c r="K39" i="1" s="1"/>
  <c r="K58" i="1"/>
  <c r="K11" i="1"/>
  <c r="K20" i="1" s="1"/>
  <c r="M35" i="2"/>
  <c r="I49" i="1"/>
  <c r="I70" i="2"/>
  <c r="I36" i="2"/>
  <c r="M34" i="2"/>
  <c r="I69" i="2"/>
  <c r="L69" i="2" s="1"/>
  <c r="J30" i="1"/>
  <c r="J39" i="1" s="1"/>
  <c r="J11" i="1"/>
  <c r="J20" i="1" s="1"/>
  <c r="J58" i="1"/>
  <c r="K71" i="2"/>
  <c r="I113" i="2"/>
  <c r="L113" i="2" s="1"/>
  <c r="M109" i="2"/>
  <c r="M11" i="1" l="1"/>
  <c r="M30" i="1"/>
  <c r="M49" i="1"/>
  <c r="M58" i="1" s="1"/>
  <c r="M36" i="2"/>
  <c r="L36" i="2"/>
  <c r="M70" i="2"/>
  <c r="L70" i="2"/>
  <c r="I148" i="2"/>
  <c r="M113" i="2"/>
  <c r="I71" i="2"/>
  <c r="M69" i="2"/>
  <c r="N11" i="1"/>
  <c r="I11" i="1"/>
  <c r="I20" i="1" s="1"/>
  <c r="N49" i="1"/>
  <c r="N58" i="1" s="1"/>
  <c r="I58" i="1"/>
  <c r="N30" i="1"/>
  <c r="I30" i="1"/>
  <c r="I39" i="1" s="1"/>
  <c r="I114" i="2"/>
  <c r="M112" i="2"/>
  <c r="I147" i="2"/>
  <c r="L147" i="2" s="1"/>
  <c r="M39" i="1" l="1"/>
  <c r="M20" i="1"/>
  <c r="M71" i="2"/>
  <c r="L71" i="2"/>
  <c r="M114" i="2"/>
  <c r="L114" i="2"/>
  <c r="M148" i="2"/>
  <c r="L148" i="2"/>
  <c r="N39" i="1"/>
  <c r="N20" i="1"/>
  <c r="M147" i="2"/>
  <c r="I149" i="2"/>
  <c r="M149" i="2" l="1"/>
  <c r="L149" i="2"/>
  <c r="D35" i="19"/>
  <c r="D36" i="19"/>
  <c r="K102" i="5" l="1"/>
  <c r="K15" i="4" l="1"/>
  <c r="K26" i="4" s="1"/>
  <c r="K22" i="29"/>
  <c r="K47" i="29" l="1"/>
  <c r="I64" i="4" l="1"/>
  <c r="I45" i="4" l="1"/>
  <c r="I66" i="4" s="1"/>
  <c r="I68" i="4" s="1"/>
  <c r="D99" i="29" l="1"/>
  <c r="E99" i="29" l="1"/>
  <c r="F99" i="29" l="1"/>
  <c r="G99" i="29" l="1"/>
  <c r="H99" i="29" l="1"/>
  <c r="I99" i="29" l="1"/>
  <c r="J99" i="29" l="1"/>
  <c r="K99" i="29" l="1"/>
  <c r="K50" i="29"/>
  <c r="K54" i="29" l="1"/>
  <c r="K62" i="29"/>
  <c r="D101" i="29" l="1"/>
  <c r="D63" i="29"/>
  <c r="D64" i="29" s="1"/>
  <c r="D66" i="29" s="1"/>
  <c r="D94" i="29" s="1"/>
  <c r="E101" i="29"/>
  <c r="E63" i="29"/>
  <c r="E64" i="29" s="1"/>
  <c r="E66" i="29" s="1"/>
  <c r="E94" i="29" s="1"/>
  <c r="K92" i="29"/>
  <c r="F101" i="29" l="1"/>
  <c r="F63" i="29"/>
  <c r="F64" i="29" s="1"/>
  <c r="F66" i="29" s="1"/>
  <c r="F94" i="29" s="1"/>
  <c r="E61" i="1"/>
  <c r="E96" i="29"/>
  <c r="E62" i="1" s="1"/>
  <c r="D96" i="29"/>
  <c r="D61" i="1"/>
  <c r="E59" i="1"/>
  <c r="E102" i="29"/>
  <c r="E60" i="1" s="1"/>
  <c r="D59" i="1"/>
  <c r="D102" i="29"/>
  <c r="D60" i="1" s="1"/>
  <c r="D22" i="1" l="1"/>
  <c r="E22" i="1"/>
  <c r="E41" i="1"/>
  <c r="D21" i="1"/>
  <c r="D23" i="1" s="1"/>
  <c r="D40" i="1"/>
  <c r="F96" i="29"/>
  <c r="F61" i="1"/>
  <c r="D62" i="1"/>
  <c r="E63" i="1"/>
  <c r="E40" i="1"/>
  <c r="E21" i="1"/>
  <c r="E23" i="1" s="1"/>
  <c r="F59" i="1"/>
  <c r="F102" i="29"/>
  <c r="F60" i="1" s="1"/>
  <c r="E42" i="1" l="1"/>
  <c r="F22" i="1"/>
  <c r="F40" i="1"/>
  <c r="F21" i="1"/>
  <c r="F62" i="1"/>
  <c r="F41" i="1" s="1"/>
  <c r="G101" i="29"/>
  <c r="G63" i="29"/>
  <c r="G64" i="29" s="1"/>
  <c r="G66" i="29" s="1"/>
  <c r="G94" i="29" s="1"/>
  <c r="D41" i="1"/>
  <c r="D42" i="1" s="1"/>
  <c r="D63" i="1"/>
  <c r="F63" i="1" l="1"/>
  <c r="F42" i="1"/>
  <c r="G61" i="1"/>
  <c r="G96" i="29"/>
  <c r="G59" i="1"/>
  <c r="G102" i="29"/>
  <c r="G60" i="1" s="1"/>
  <c r="H101" i="29"/>
  <c r="H63" i="29"/>
  <c r="H64" i="29" s="1"/>
  <c r="H66" i="29" s="1"/>
  <c r="H94" i="29" s="1"/>
  <c r="I101" i="29"/>
  <c r="I63" i="29"/>
  <c r="I64" i="29" s="1"/>
  <c r="I66" i="29" s="1"/>
  <c r="I94" i="29" s="1"/>
  <c r="F23" i="1"/>
  <c r="G21" i="1" l="1"/>
  <c r="G40" i="1"/>
  <c r="G62" i="1"/>
  <c r="H59" i="1"/>
  <c r="H102" i="29"/>
  <c r="H60" i="1" s="1"/>
  <c r="G22" i="1"/>
  <c r="H96" i="29"/>
  <c r="H61" i="1"/>
  <c r="I61" i="1"/>
  <c r="I96" i="29"/>
  <c r="I59" i="1"/>
  <c r="I102" i="29"/>
  <c r="I60" i="1" s="1"/>
  <c r="G23" i="1" l="1"/>
  <c r="I62" i="1"/>
  <c r="K101" i="29"/>
  <c r="K63" i="29"/>
  <c r="K64" i="29" s="1"/>
  <c r="K66" i="29" s="1"/>
  <c r="K94" i="29" s="1"/>
  <c r="I21" i="1"/>
  <c r="I23" i="1" s="1"/>
  <c r="I40" i="1"/>
  <c r="I42" i="1" s="1"/>
  <c r="I63" i="1"/>
  <c r="H22" i="1"/>
  <c r="G41" i="1"/>
  <c r="G42" i="1" s="1"/>
  <c r="H62" i="1"/>
  <c r="H63" i="1" s="1"/>
  <c r="I22" i="1"/>
  <c r="I41" i="1"/>
  <c r="J101" i="29"/>
  <c r="J63" i="29"/>
  <c r="H21" i="1"/>
  <c r="H23" i="1" s="1"/>
  <c r="H40" i="1"/>
  <c r="G63" i="1"/>
  <c r="K61" i="1" l="1"/>
  <c r="K96" i="29"/>
  <c r="H41" i="1"/>
  <c r="H42" i="1" s="1"/>
  <c r="J59" i="1"/>
  <c r="J102" i="29"/>
  <c r="J60" i="1" s="1"/>
  <c r="K59" i="1"/>
  <c r="K102" i="29"/>
  <c r="K60" i="1" s="1"/>
  <c r="K21" i="1" l="1"/>
  <c r="K40" i="1"/>
  <c r="N59" i="1"/>
  <c r="J21" i="1"/>
  <c r="J40" i="1"/>
  <c r="M59" i="1"/>
  <c r="M40" i="1"/>
  <c r="N21" i="1"/>
  <c r="M21" i="1"/>
  <c r="N40" i="1"/>
  <c r="K62" i="1"/>
  <c r="K63" i="1" s="1"/>
  <c r="M60" i="1"/>
  <c r="N60" i="1"/>
  <c r="K22" i="1"/>
  <c r="K41" i="1"/>
  <c r="K42" i="1" s="1"/>
  <c r="K23" i="1" l="1"/>
  <c r="J50" i="29"/>
  <c r="J62" i="29" l="1"/>
  <c r="J64" i="29" s="1"/>
  <c r="J66" i="29" s="1"/>
  <c r="J94" i="29" s="1"/>
  <c r="J61" i="1" s="1"/>
  <c r="J54" i="29"/>
  <c r="J92" i="29" l="1"/>
  <c r="J22" i="1"/>
  <c r="J23" i="1" s="1"/>
  <c r="M61" i="1"/>
  <c r="M22" i="1"/>
  <c r="M23" i="1" s="1"/>
  <c r="N22" i="1"/>
  <c r="N23" i="1" s="1"/>
  <c r="N61" i="1"/>
  <c r="J96" i="29" l="1"/>
  <c r="J62" i="1" s="1"/>
  <c r="J41" i="1" l="1"/>
  <c r="J42" i="1" s="1"/>
  <c r="M62" i="1"/>
  <c r="M63" i="1" s="1"/>
  <c r="N62" i="1"/>
  <c r="N63" i="1" s="1"/>
  <c r="N41" i="1"/>
  <c r="N42" i="1" s="1"/>
  <c r="J63" i="1"/>
  <c r="M41" i="1"/>
  <c r="M42" i="1" s="1"/>
</calcChain>
</file>

<file path=xl/sharedStrings.xml><?xml version="1.0" encoding="utf-8"?>
<sst xmlns="http://schemas.openxmlformats.org/spreadsheetml/2006/main" count="1387" uniqueCount="606">
  <si>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</si>
  <si>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</si>
  <si>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</si>
  <si>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</si>
  <si>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</si>
  <si>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</si>
  <si>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</si>
  <si>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</si>
  <si>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</si>
  <si>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</si>
  <si>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</si>
  <si>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</si>
  <si>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</si>
  <si>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</si>
  <si>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</si>
  <si>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</si>
  <si>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</si>
  <si>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</si>
  <si>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</si>
  <si>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</si>
  <si>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</si>
  <si>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</si>
  <si>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</si>
  <si>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</si>
  <si>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</si>
  <si>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</si>
  <si>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</si>
  <si>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</si>
  <si>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</si>
  <si>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</si>
  <si>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</si>
  <si>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</si>
  <si>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</si>
  <si>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</si>
  <si>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</si>
  <si>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</si>
  <si>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</si>
  <si>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</si>
  <si>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</si>
  <si>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</si>
  <si>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</si>
  <si>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</si>
  <si>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</si>
  <si>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</si>
  <si>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</si>
  <si>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</si>
  <si>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</si>
  <si>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</si>
  <si>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</si>
  <si>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</si>
  <si>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</si>
  <si>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</si>
  <si>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</si>
  <si>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</si>
  <si>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</si>
  <si>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</si>
  <si>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</si>
  <si>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</si>
  <si>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</si>
  <si>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</si>
  <si>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</si>
  <si>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</si>
  <si>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</si>
  <si>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</si>
  <si>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</si>
  <si>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</si>
  <si>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</si>
  <si>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</si>
  <si>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</si>
  <si>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</si>
  <si>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</si>
  <si>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</si>
  <si>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</si>
  <si>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</si>
  <si>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</si>
  <si>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</si>
  <si>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</si>
  <si>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</si>
  <si>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</si>
  <si>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</si>
  <si>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</si>
  <si>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</si>
  <si>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</si>
  <si>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</si>
  <si>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</si>
  <si>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</si>
  <si>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</si>
  <si>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</si>
  <si>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</si>
  <si>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</si>
  <si>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</si>
  <si>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</si>
  <si>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</si>
  <si>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</si>
  <si>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</si>
  <si>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</si>
  <si>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</si>
  <si>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</si>
  <si>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</si>
  <si>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</si>
  <si>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</si>
  <si>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</si>
  <si>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</si>
  <si>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</si>
  <si>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</si>
  <si>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</si>
  <si>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</si>
  <si>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</si>
  <si>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</si>
  <si>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</si>
  <si>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</si>
  <si>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</si>
  <si>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</si>
  <si>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</si>
  <si>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</si>
  <si>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</si>
  <si>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</si>
  <si>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</si>
  <si>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</si>
  <si>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</si>
  <si>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</si>
  <si>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</si>
  <si>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</si>
  <si>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</si>
  <si>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</si>
  <si>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</si>
  <si>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</si>
  <si>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</si>
  <si>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</si>
  <si>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</si>
  <si>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</si>
  <si>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</si>
  <si>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</si>
  <si>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</si>
  <si>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</si>
  <si>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</si>
  <si>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</si>
  <si>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</si>
  <si>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</si>
  <si>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</si>
  <si>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</si>
  <si>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</si>
  <si>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</si>
  <si>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</si>
  <si>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</si>
  <si>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</si>
  <si>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</si>
  <si>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</si>
  <si>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</si>
  <si>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</si>
  <si>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</si>
  <si>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</si>
  <si>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</si>
  <si>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</si>
  <si>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</si>
  <si>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</si>
  <si>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</si>
  <si>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</si>
  <si>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</si>
  <si>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</si>
  <si>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</si>
  <si>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</si>
  <si>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</si>
  <si>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</si>
  <si>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</si>
  <si>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</si>
  <si>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</si>
  <si>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</si>
  <si>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</si>
  <si>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</si>
  <si>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</si>
  <si>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</si>
  <si>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</si>
  <si>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</si>
  <si>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</si>
  <si>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</si>
  <si>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</si>
  <si>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</si>
  <si>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</si>
  <si>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</si>
  <si>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</si>
  <si>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</si>
  <si>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</si>
  <si>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</si>
  <si>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</si>
  <si>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</si>
  <si>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</si>
  <si>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</si>
  <si>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</si>
  <si>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</si>
  <si>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</si>
  <si>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</si>
  <si>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</si>
  <si>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</si>
  <si>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</si>
  <si>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</si>
  <si>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</si>
  <si>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</si>
  <si>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</si>
  <si>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</si>
  <si>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</si>
  <si>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</si>
  <si>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</si>
  <si>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</si>
  <si>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</si>
  <si>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</si>
  <si>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</si>
  <si>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</si>
  <si>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</si>
  <si>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</si>
  <si>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</si>
  <si>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</si>
  <si>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</si>
  <si>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</si>
  <si>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</si>
  <si>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</si>
  <si>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</si>
  <si>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</si>
  <si>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</si>
  <si>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</si>
  <si>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</si>
  <si>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</si>
  <si>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</si>
  <si>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</si>
  <si>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</si>
  <si>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</si>
  <si>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</si>
  <si>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</si>
  <si>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</si>
  <si>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</si>
  <si>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</si>
  <si>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</si>
  <si>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</si>
  <si>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</si>
  <si>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</si>
  <si>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</si>
  <si>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</si>
  <si>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</si>
  <si>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</si>
  <si>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</si>
  <si>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</si>
  <si>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</si>
  <si>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</si>
  <si>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</si>
  <si>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</si>
  <si>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</si>
  <si>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</si>
  <si>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</si>
  <si>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</si>
  <si>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</si>
  <si>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</si>
  <si>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</si>
  <si>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</si>
  <si>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</si>
  <si>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</si>
  <si>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</si>
  <si>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</si>
  <si>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</si>
  <si>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</si>
  <si>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</si>
  <si>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</si>
  <si>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</si>
  <si>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</si>
  <si>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</si>
  <si>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</si>
  <si>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</si>
  <si>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</si>
  <si>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</si>
  <si>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</si>
  <si>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</si>
  <si>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</si>
  <si>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</si>
  <si>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</si>
  <si>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</si>
  <si>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</si>
  <si>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</si>
  <si>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</si>
  <si>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</si>
  <si>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</si>
  <si>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</si>
  <si>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</si>
  <si>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</si>
  <si>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</si>
  <si>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</si>
  <si>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</si>
  <si>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</si>
  <si>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</si>
  <si>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</si>
  <si>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</si>
  <si>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</si>
  <si>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</si>
  <si>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</si>
  <si>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</si>
  <si>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</si>
  <si>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</si>
  <si>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</si>
  <si>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</si>
  <si>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</si>
  <si>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</si>
  <si>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</si>
  <si>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</si>
  <si>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</si>
  <si>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</si>
  <si>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</si>
  <si>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</si>
  <si>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</si>
  <si>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</si>
  <si>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</si>
  <si>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</si>
  <si>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</si>
  <si>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</si>
  <si>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</si>
  <si>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</si>
  <si>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</si>
  <si>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</si>
  <si>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</si>
  <si>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</si>
  <si>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</si>
  <si>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</si>
  <si>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</si>
  <si>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</si>
  <si>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</si>
  <si>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</si>
  <si>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</si>
  <si>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</si>
  <si>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</si>
  <si>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</si>
  <si>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</si>
  <si>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</si>
  <si>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</si>
  <si>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</si>
  <si>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</si>
  <si>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</si>
  <si>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</si>
  <si>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</si>
  <si>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</si>
  <si>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</si>
  <si>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</si>
  <si>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</si>
  <si>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</si>
  <si>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</si>
  <si>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</si>
  <si>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</si>
  <si>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</si>
  <si>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</si>
  <si>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</si>
  <si>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</si>
  <si>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</si>
  <si>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</si>
  <si>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</si>
  <si>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</si>
  <si>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</si>
  <si>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</si>
  <si>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</si>
  <si>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</si>
  <si>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</si>
  <si>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</si>
  <si>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</si>
  <si>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</si>
  <si>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</si>
  <si>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</si>
  <si>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</si>
  <si>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</si>
  <si>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</si>
  <si>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</si>
  <si>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</si>
  <si>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</si>
  <si>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</si>
  <si>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</si>
  <si>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</si>
  <si>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</si>
  <si>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</si>
  <si>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</si>
  <si>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</si>
  <si>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</si>
  <si>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</si>
  <si>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</si>
  <si>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</si>
  <si>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</si>
  <si>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</si>
  <si>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</si>
  <si>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</si>
  <si>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</si>
  <si>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</si>
  <si>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</si>
  <si>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</si>
  <si>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</si>
  <si>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</si>
  <si>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</si>
  <si>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</si>
  <si>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</si>
  <si>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</si>
  <si>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</si>
  <si>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</si>
  <si>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</si>
  <si>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</si>
  <si>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</si>
  <si>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</si>
  <si>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</si>
  <si>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</si>
  <si>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</si>
  <si>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</si>
  <si>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</si>
  <si>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</si>
  <si>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</si>
  <si>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</si>
  <si>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</si>
  <si>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</si>
  <si>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</si>
  <si>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</si>
  <si>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</si>
  <si>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</si>
  <si>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</si>
  <si>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</si>
  <si>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</si>
  <si>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</si>
  <si>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</si>
  <si>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</si>
  <si>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</si>
  <si>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</si>
  <si>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</si>
  <si>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</si>
  <si>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</si>
  <si>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</si>
  <si>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</si>
  <si>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</si>
  <si>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</si>
  <si>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</si>
  <si>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</si>
  <si>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</si>
  <si>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</si>
  <si>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</si>
  <si>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</si>
  <si>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</si>
  <si>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</si>
  <si>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</si>
  <si>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</si>
  <si>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</si>
  <si>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</si>
  <si>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</si>
  <si>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</si>
  <si>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</si>
  <si>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</si>
  <si>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</si>
  <si>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</si>
  <si>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</si>
  <si>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</si>
  <si>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</si>
  <si>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</si>
  <si>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</si>
  <si>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</si>
  <si>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</si>
  <si>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</si>
  <si>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</si>
  <si>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</si>
  <si>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</si>
  <si>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</si>
  <si>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</si>
  <si>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</si>
  <si>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</si>
  <si>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</si>
  <si>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</si>
  <si>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</si>
  <si>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</si>
  <si>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</si>
  <si>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</si>
  <si>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</si>
  <si>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</si>
  <si>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</si>
  <si>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</si>
  <si>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</si>
  <si>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</si>
  <si>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</si>
  <si>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</si>
  <si>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</si>
  <si>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</si>
  <si>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</si>
  <si>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</si>
  <si>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</si>
  <si>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</si>
  <si>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</si>
  <si>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</si>
  <si>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</si>
  <si>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</si>
  <si>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</si>
  <si>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</si>
  <si>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</si>
  <si>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</si>
  <si>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</si>
  <si>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</si>
  <si>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</si>
  <si>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</si>
  <si>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</si>
  <si>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</si>
  <si>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</si>
  <si>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</si>
  <si>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</si>
  <si>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</si>
  <si>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</si>
  <si>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</si>
  <si>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</si>
  <si>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</si>
  <si>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</si>
  <si>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</si>
  <si>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</si>
  <si>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</si>
  <si>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</si>
  <si>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</si>
  <si>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</si>
  <si>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</si>
  <si>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</si>
  <si>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</si>
  <si>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</si>
  <si>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</si>
  <si>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</si>
  <si>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</si>
  <si>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</si>
  <si>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</si>
  <si>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</si>
  <si>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</si>
  <si>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</si>
  <si>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</si>
  <si>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</si>
  <si>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</si>
  <si>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</si>
  <si>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</si>
  <si>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</si>
  <si>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</si>
  <si>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</si>
  <si>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</si>
  <si>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</si>
  <si>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</si>
  <si>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</si>
  <si>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</si>
  <si>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</si>
  <si>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</si>
  <si>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</si>
  <si>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</si>
  <si>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</si>
  <si>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</si>
  <si>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</si>
  <si>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</si>
  <si>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</si>
  <si>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</si>
  <si>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</si>
  <si>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</si>
  <si>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</si>
  <si>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</si>
  <si>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</si>
  <si>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</si>
  <si>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</si>
  <si>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</si>
  <si>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</si>
  <si>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</si>
  <si>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</si>
  <si>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</si>
  <si>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</si>
  <si>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</si>
  <si>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</si>
  <si>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</si>
  <si>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</si>
  <si>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</si>
  <si>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</si>
  <si>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</si>
  <si>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</si>
  <si>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</si>
  <si>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</si>
  <si>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</si>
  <si>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</si>
  <si>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</si>
  <si>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</si>
  <si>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</si>
  <si>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</si>
  <si>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</si>
  <si>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</si>
  <si>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</si>
  <si>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</si>
  <si>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</si>
  <si>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</si>
  <si>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</si>
  <si>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</si>
  <si>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</si>
  <si>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</si>
  <si>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</si>
  <si>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</si>
  <si>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</si>
  <si>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</si>
  <si>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</si>
  <si>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</si>
  <si>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</si>
  <si>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</si>
  <si>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R&amp;D tax credits</t>
  </si>
  <si>
    <t>Adjustment in respect of IFRS 16</t>
  </si>
  <si>
    <t>Intercompany cost adjustment</t>
  </si>
  <si>
    <t>MOD timing difference</t>
  </si>
  <si>
    <t>2. Finance leases (IFRS 16)</t>
  </si>
  <si>
    <t>Annex B1 (a)</t>
  </si>
  <si>
    <t>Annex B1 (b)</t>
  </si>
  <si>
    <t>Annex B1 (c)</t>
  </si>
  <si>
    <t>Annex B1 (d)</t>
  </si>
  <si>
    <t>NGESO</t>
  </si>
  <si>
    <t>May 2022 publication</t>
  </si>
  <si>
    <t>Includes provisional SECV outcome for 2021/22</t>
  </si>
  <si>
    <t>Storm Arwen - voluntary contribution</t>
  </si>
  <si>
    <t>Green Recovery Scheme costs - not included in RRP</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</si>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</sst>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8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168" fontId="262" fillId="3" borderId="0" xfId="0" applyNumberFormat="1" applyFont="1" applyFill="1" applyBorder="1" applyAlignment="1">
      <alignment horizontal="left" vertical="center"/>
    </xf>
    <xf numFmtId="168" fontId="5" fillId="3" borderId="0" xfId="0" applyNumberFormat="1" applyFont="1" applyFill="1" applyBorder="1" applyAlignment="1">
      <alignment horizontal="left" vertical="center" wrapText="1" indent="1"/>
    </xf>
    <xf numFmtId="14" fontId="5" fillId="3" borderId="3" xfId="2" applyNumberFormat="1" applyFont="1" applyFill="1" applyBorder="1" applyAlignment="1">
      <alignment horizontal="right" vertical="center"/>
    </xf>
    <xf numFmtId="0" fontId="0" fillId="3" borderId="0" xfId="0" applyFont="1" applyFill="1" applyAlignment="1">
      <alignment horizontal="left" vertical="top" indent="1"/>
    </xf>
    <xf numFmtId="172" fontId="5" fillId="38" borderId="30" xfId="1" applyNumberFormat="1" applyFont="1" applyFill="1" applyBorder="1" applyAlignment="1" applyProtection="1">
      <alignment horizontal="right"/>
    </xf>
    <xf numFmtId="0" fontId="0" fillId="3" borderId="0" xfId="0" applyFont="1" applyFill="1" applyAlignment="1">
      <alignment horizontal="left" vertical="top" indent="1"/>
    </xf>
    <xf numFmtId="172" fontId="0" fillId="3" borderId="77" xfId="0" applyNumberFormat="1" applyFont="1" applyFill="1" applyBorder="1" applyAlignment="1">
      <alignment horizontal="right" vertical="top"/>
    </xf>
    <xf numFmtId="172" fontId="0" fillId="3" borderId="78" xfId="0" applyNumberFormat="1" applyFont="1" applyFill="1" applyBorder="1" applyAlignment="1">
      <alignment horizontal="right" vertical="top"/>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3" fontId="0" fillId="0" borderId="0" xfId="0" applyNumberFormat="1" applyAlignment="1">
      <alignment horizontal="left" vertical="top"/>
    </xf>
    <xf numFmtId="43" fontId="0" fillId="0" borderId="0" xfId="0" applyNumberFormat="1" applyAlignment="1">
      <alignment horizontal="left" vertical="top"/>
    </xf>
    <xf numFmtId="0" fontId="5" fillId="0" borderId="0" xfId="0" applyFont="1" applyFill="1"/>
    <xf numFmtId="0" fontId="5" fillId="0" borderId="0" xfId="0" applyFont="1" applyFill="1" applyAlignment="1">
      <alignment horizontal="left" vertical="top"/>
    </xf>
    <xf numFmtId="0" fontId="0" fillId="3" borderId="0" xfId="0" applyFont="1" applyFill="1" applyAlignment="1">
      <alignment horizontal="left" vertical="top"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6">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104377</xdr:colOff>
      <xdr:row>2</xdr:row>
      <xdr:rowOff>181768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pane="bottomLeft"/>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85" t="s">
        <v>304</v>
      </c>
      <c r="B1" s="886"/>
      <c r="C1" s="886"/>
      <c r="D1" s="887"/>
      <c r="E1" s="888"/>
      <c r="F1" s="886"/>
      <c r="G1" s="889"/>
      <c r="H1" s="886"/>
      <c r="I1" s="886"/>
      <c r="J1" s="886"/>
      <c r="K1" s="886"/>
    </row>
    <row r="2" spans="1:11" s="31" customFormat="1" ht="20.25">
      <c r="A2" s="885" t="str">
        <f>'RFPR cover'!C5</f>
        <v>NPgY</v>
      </c>
      <c r="B2" s="886"/>
      <c r="C2" s="886"/>
      <c r="D2" s="888"/>
      <c r="E2" s="888"/>
      <c r="F2" s="886"/>
      <c r="G2" s="889"/>
      <c r="H2" s="886"/>
      <c r="I2" s="886"/>
      <c r="J2" s="886"/>
      <c r="K2" s="886"/>
    </row>
    <row r="3" spans="1:11" s="31" customFormat="1" ht="20.25">
      <c r="A3" s="885">
        <f>'RFPR cover'!C7</f>
        <v>2022</v>
      </c>
      <c r="B3" s="886"/>
      <c r="C3" s="886"/>
      <c r="D3" s="888"/>
      <c r="E3" s="888"/>
      <c r="F3" s="886"/>
      <c r="G3" s="889"/>
      <c r="H3" s="886"/>
      <c r="I3" s="886"/>
      <c r="J3" s="886"/>
      <c r="K3" s="886"/>
    </row>
    <row r="4" spans="1:11" ht="14.25">
      <c r="A4" s="30"/>
      <c r="B4" s="30"/>
      <c r="C4" s="30"/>
      <c r="D4" s="30"/>
      <c r="E4" s="30"/>
      <c r="H4" s="10"/>
      <c r="I4" s="10"/>
      <c r="J4" s="10"/>
    </row>
    <row r="5" spans="1:11" ht="13.5" customHeight="1">
      <c r="A5" s="30"/>
      <c r="B5" s="78" t="s">
        <v>62</v>
      </c>
      <c r="C5" s="45" t="s">
        <v>73</v>
      </c>
      <c r="D5" s="334"/>
      <c r="E5" s="19"/>
      <c r="F5" s="11"/>
      <c r="G5" s="542" t="s">
        <v>0</v>
      </c>
      <c r="H5" s="10"/>
      <c r="I5" s="10"/>
      <c r="J5" s="10"/>
    </row>
    <row r="6" spans="1:11" ht="13.5" customHeight="1">
      <c r="A6" s="30"/>
      <c r="B6" s="78" t="s">
        <v>188</v>
      </c>
      <c r="C6" s="83" t="str">
        <f>INDEX(Data!$A$73:$A$100,MATCH($C$5,Data!$B$73:$B$100,0),0)&amp;"1"</f>
        <v>ED1</v>
      </c>
      <c r="D6" s="19"/>
      <c r="E6" s="19"/>
      <c r="F6" s="9"/>
      <c r="G6" s="542" t="s">
        <v>1</v>
      </c>
      <c r="H6" s="10"/>
      <c r="I6" s="10"/>
      <c r="J6" s="10"/>
    </row>
    <row r="7" spans="1:11" ht="25.5">
      <c r="A7" s="30"/>
      <c r="B7" s="79" t="s">
        <v>187</v>
      </c>
      <c r="C7" s="84">
        <v>2022</v>
      </c>
      <c r="D7" s="18"/>
      <c r="E7" s="19"/>
      <c r="F7" s="8"/>
      <c r="G7" s="543" t="s">
        <v>2</v>
      </c>
      <c r="H7" s="10"/>
      <c r="I7" s="10"/>
      <c r="J7" s="10"/>
    </row>
    <row r="8" spans="1:11" ht="14.25">
      <c r="A8" s="30"/>
      <c r="B8" s="78" t="s">
        <v>37</v>
      </c>
      <c r="C8" s="85">
        <v>1</v>
      </c>
      <c r="D8" s="19"/>
      <c r="E8" s="18"/>
      <c r="F8" s="7"/>
      <c r="G8" s="542" t="s">
        <v>3</v>
      </c>
      <c r="H8" s="10"/>
      <c r="I8" s="10"/>
      <c r="J8" s="10"/>
    </row>
    <row r="9" spans="1:11" ht="14.25">
      <c r="A9" s="30"/>
      <c r="B9" s="78" t="s">
        <v>38</v>
      </c>
      <c r="C9" s="86">
        <v>44771</v>
      </c>
      <c r="D9" s="18"/>
      <c r="E9" s="18"/>
      <c r="F9" s="6"/>
      <c r="G9" s="542" t="s">
        <v>4</v>
      </c>
      <c r="H9" s="10"/>
      <c r="I9" s="10"/>
      <c r="J9" s="10"/>
    </row>
    <row r="10" spans="1:11" ht="14.25">
      <c r="A10" s="30"/>
      <c r="B10" s="78" t="s">
        <v>70</v>
      </c>
      <c r="C10" s="87">
        <f>SUMIF(Data!$B$72:$B$100,C5,Data!$C$72:$C$100)</f>
        <v>0.06</v>
      </c>
      <c r="D10" s="18"/>
      <c r="E10" s="18"/>
      <c r="F10" s="5"/>
      <c r="G10" s="542" t="s">
        <v>5</v>
      </c>
      <c r="H10" s="10"/>
      <c r="I10" s="10"/>
      <c r="J10" s="10"/>
    </row>
    <row r="11" spans="1:11" ht="14.25">
      <c r="A11" s="30"/>
      <c r="B11" s="78" t="s">
        <v>71</v>
      </c>
      <c r="C11" s="88">
        <f>SUMIF(Data!$B$72:$B$100,C5,Data!$D$72:$D$100)</f>
        <v>0.55843703457782867</v>
      </c>
      <c r="D11" s="19"/>
      <c r="E11" s="19"/>
      <c r="F11" s="4"/>
      <c r="G11" s="542" t="s">
        <v>6</v>
      </c>
      <c r="H11" s="10"/>
      <c r="I11" s="10"/>
      <c r="J11" s="10"/>
    </row>
    <row r="12" spans="1:11">
      <c r="A12" s="30"/>
      <c r="B12" s="78" t="s">
        <v>115</v>
      </c>
      <c r="C12" s="87">
        <f>SUMIF(Data!$B$72:$B$100,C5,Data!$E$72:$E$100)</f>
        <v>0.65</v>
      </c>
      <c r="D12" s="18"/>
      <c r="E12" s="18"/>
      <c r="F12" s="18"/>
      <c r="G12" s="544"/>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4"/>
    </row>
    <row r="15" spans="1:11">
      <c r="A15" s="30"/>
      <c r="B15" s="18"/>
      <c r="C15" s="18"/>
      <c r="D15" s="18"/>
      <c r="E15" s="18"/>
      <c r="F15" s="18"/>
      <c r="G15" s="544"/>
    </row>
    <row r="85" spans="1:1">
      <c r="A85" s="205"/>
    </row>
  </sheetData>
  <sheetProtection algorithmName="SHA-512" hashValue="E1LBD02RabYrLl0ZkLVfVttQ60HjyIgTgBs9iQD0ZeehJD3sFG9azMmKE3BxrgHzaf3q7t4nvGX6ZsPyAHs8bA==" saltValue="SjhREXKDRZDiPpEZ7X8XPg==" spinCount="100000"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pageSetUpPr fitToPage="1"/>
  </sheetPr>
  <dimension ref="A1:T268"/>
  <sheetViews>
    <sheetView showGridLines="0" zoomScale="69" zoomScaleNormal="69" workbookViewId="0">
      <pane ySplit="4" topLeftCell="A5" activePane="bottomLeft" state="frozen"/>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90" t="s">
        <v>375</v>
      </c>
      <c r="B1" s="891"/>
      <c r="C1" s="891"/>
      <c r="D1" s="891"/>
      <c r="E1" s="891"/>
      <c r="F1" s="891"/>
      <c r="G1" s="891"/>
      <c r="H1" s="891"/>
      <c r="I1" s="891"/>
      <c r="J1" s="891"/>
      <c r="K1" s="891"/>
      <c r="L1" s="891"/>
      <c r="M1" s="891"/>
      <c r="N1" s="892"/>
    </row>
    <row r="2" spans="1:14" ht="20.25">
      <c r="A2" s="893" t="str">
        <f>'RFPR cover'!C5</f>
        <v>NPgY</v>
      </c>
      <c r="B2" s="894"/>
      <c r="C2" s="894"/>
      <c r="D2" s="894"/>
      <c r="E2" s="894"/>
      <c r="F2" s="894"/>
      <c r="G2" s="894"/>
      <c r="H2" s="894"/>
      <c r="I2" s="894"/>
      <c r="J2" s="894"/>
      <c r="K2" s="894"/>
      <c r="L2" s="894"/>
      <c r="M2" s="894"/>
      <c r="N2" s="895"/>
    </row>
    <row r="3" spans="1:14" ht="20.25">
      <c r="A3" s="896">
        <f>'RFPR cover'!C7</f>
        <v>2022</v>
      </c>
      <c r="B3" s="897"/>
      <c r="C3" s="897"/>
      <c r="D3" s="897"/>
      <c r="E3" s="897"/>
      <c r="F3" s="897"/>
      <c r="G3" s="897"/>
      <c r="H3" s="897"/>
      <c r="I3" s="897"/>
      <c r="J3" s="897"/>
      <c r="K3" s="897"/>
      <c r="L3" s="897"/>
      <c r="M3" s="897"/>
      <c r="N3" s="898"/>
    </row>
    <row r="6" spans="1:14">
      <c r="A6" s="30"/>
      <c r="B6" s="21">
        <v>2018</v>
      </c>
      <c r="C6" s="20" t="s">
        <v>63</v>
      </c>
      <c r="D6" s="18"/>
      <c r="E6" s="18"/>
      <c r="F6" s="832"/>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5" t="s">
        <v>39</v>
      </c>
      <c r="C13" s="546" t="s">
        <v>40</v>
      </c>
      <c r="D13" s="546" t="s">
        <v>191</v>
      </c>
      <c r="E13" s="546" t="s">
        <v>41</v>
      </c>
      <c r="F13" s="546" t="s">
        <v>42</v>
      </c>
      <c r="G13" s="547" t="s">
        <v>317</v>
      </c>
    </row>
    <row r="14" spans="1:14">
      <c r="A14" s="30"/>
      <c r="B14" s="163" t="s">
        <v>74</v>
      </c>
      <c r="C14" s="170">
        <v>2010</v>
      </c>
      <c r="D14" s="164" t="str">
        <f>IF(VALUE(C14)&lt;='RFPR cover'!$C$7,"Actual","Forecast")</f>
        <v>Actual</v>
      </c>
      <c r="E14" s="368">
        <v>215.767</v>
      </c>
      <c r="F14" s="491">
        <v>221.75</v>
      </c>
      <c r="G14" s="165">
        <v>0.28000000000000003</v>
      </c>
      <c r="H14" s="833"/>
      <c r="J14" s="834"/>
    </row>
    <row r="15" spans="1:14">
      <c r="A15" s="30"/>
      <c r="B15" s="166" t="s">
        <v>75</v>
      </c>
      <c r="C15" s="171">
        <v>2011</v>
      </c>
      <c r="D15" s="167" t="str">
        <f>IF(VALUE(C15)&lt;='RFPR cover'!$C$7,"Actual","Forecast")</f>
        <v>Actual</v>
      </c>
      <c r="E15" s="369">
        <v>226.47499999999999</v>
      </c>
      <c r="F15" s="492">
        <v>233.45</v>
      </c>
      <c r="G15" s="168">
        <v>0.28000000000000003</v>
      </c>
      <c r="H15" s="833"/>
      <c r="J15" s="834"/>
    </row>
    <row r="16" spans="1:14" ht="14.25" customHeight="1">
      <c r="A16" s="30"/>
      <c r="B16" s="166" t="s">
        <v>76</v>
      </c>
      <c r="C16" s="171">
        <v>2012</v>
      </c>
      <c r="D16" s="167" t="str">
        <f>IF(VALUE(C16)&lt;='RFPR cover'!$C$7,"Actual","Forecast")</f>
        <v>Actual</v>
      </c>
      <c r="E16" s="369">
        <v>237.34200000000001</v>
      </c>
      <c r="F16" s="492">
        <v>241.65</v>
      </c>
      <c r="G16" s="168">
        <v>0.26</v>
      </c>
      <c r="H16" s="833"/>
      <c r="J16" s="834"/>
    </row>
    <row r="17" spans="2:10">
      <c r="B17" s="166" t="s">
        <v>77</v>
      </c>
      <c r="C17" s="171">
        <v>2013</v>
      </c>
      <c r="D17" s="167" t="str">
        <f>IF(VALUE(C17)&lt;='RFPR cover'!$C$7,"Actual","Forecast")</f>
        <v>Actual</v>
      </c>
      <c r="E17" s="369">
        <v>244.67500000000001</v>
      </c>
      <c r="F17" s="492">
        <v>249.1</v>
      </c>
      <c r="G17" s="168">
        <v>0.24</v>
      </c>
      <c r="H17" s="833"/>
      <c r="J17" s="834"/>
    </row>
    <row r="18" spans="2:10">
      <c r="B18" s="166" t="s">
        <v>78</v>
      </c>
      <c r="C18" s="171">
        <v>2014</v>
      </c>
      <c r="D18" s="167" t="str">
        <f>IF(VALUE(C18)&lt;='RFPR cover'!$C$7,"Actual","Forecast")</f>
        <v>Actual</v>
      </c>
      <c r="E18" s="369">
        <v>251.733</v>
      </c>
      <c r="F18" s="492">
        <v>255.25</v>
      </c>
      <c r="G18" s="168">
        <v>0.23</v>
      </c>
      <c r="H18" s="833"/>
      <c r="I18" s="511"/>
      <c r="J18" s="834"/>
    </row>
    <row r="19" spans="2:10">
      <c r="B19" s="166" t="s">
        <v>79</v>
      </c>
      <c r="C19" s="171">
        <v>2015</v>
      </c>
      <c r="D19" s="167" t="str">
        <f>IF(VALUE(C19)&lt;='RFPR cover'!$C$7,"Actual","Forecast")</f>
        <v>Actual</v>
      </c>
      <c r="E19" s="369">
        <v>256.66699999999997</v>
      </c>
      <c r="F19" s="492">
        <v>257.55</v>
      </c>
      <c r="G19" s="168">
        <v>0.21</v>
      </c>
      <c r="H19" s="833"/>
      <c r="I19" s="511"/>
      <c r="J19" s="834"/>
    </row>
    <row r="20" spans="2:10">
      <c r="B20" s="166" t="s">
        <v>80</v>
      </c>
      <c r="C20" s="171">
        <v>2016</v>
      </c>
      <c r="D20" s="167" t="str">
        <f>IF(VALUE(C20)&lt;='RFPR cover'!$C$7,"Actual","Forecast")</f>
        <v>Actual</v>
      </c>
      <c r="E20" s="369">
        <v>259.43299999999999</v>
      </c>
      <c r="F20" s="492">
        <v>261.25</v>
      </c>
      <c r="G20" s="168">
        <v>0.2</v>
      </c>
      <c r="H20" s="833"/>
      <c r="I20" s="511"/>
      <c r="J20" s="834"/>
    </row>
    <row r="21" spans="2:10">
      <c r="B21" s="166" t="s">
        <v>81</v>
      </c>
      <c r="C21" s="171">
        <v>2017</v>
      </c>
      <c r="D21" s="167" t="str">
        <f>IF(VALUE(C21)&lt;='RFPR cover'!$C$7,"Actual","Forecast")</f>
        <v>Actual</v>
      </c>
      <c r="E21" s="369">
        <v>264.99200000000002</v>
      </c>
      <c r="F21" s="492">
        <v>269.95000000000005</v>
      </c>
      <c r="G21" s="168">
        <v>0.2</v>
      </c>
      <c r="H21" s="833"/>
      <c r="I21" s="511"/>
      <c r="J21" s="834"/>
    </row>
    <row r="22" spans="2:10">
      <c r="B22" s="166" t="s">
        <v>63</v>
      </c>
      <c r="C22" s="171">
        <v>2018</v>
      </c>
      <c r="D22" s="167" t="str">
        <f>IF(VALUE(C22)&lt;='RFPR cover'!$C$7,"Actual","Forecast")</f>
        <v>Actual</v>
      </c>
      <c r="E22" s="369">
        <v>274.90800000000002</v>
      </c>
      <c r="F22" s="492">
        <v>279</v>
      </c>
      <c r="G22" s="168">
        <v>0.19</v>
      </c>
      <c r="H22" s="833"/>
      <c r="I22" s="511"/>
      <c r="J22" s="834"/>
    </row>
    <row r="23" spans="2:10">
      <c r="B23" s="494" t="s">
        <v>64</v>
      </c>
      <c r="C23" s="495">
        <v>2019</v>
      </c>
      <c r="D23" s="167" t="str">
        <f>IF(VALUE(C23)&lt;='RFPR cover'!$C$7,"Actual","Forecast")</f>
        <v>Actual</v>
      </c>
      <c r="E23" s="369">
        <v>283.30799999999999</v>
      </c>
      <c r="F23" s="492">
        <v>286.64999999999998</v>
      </c>
      <c r="G23" s="168">
        <v>0.19</v>
      </c>
      <c r="H23" s="833"/>
      <c r="J23" s="834"/>
    </row>
    <row r="24" spans="2:10">
      <c r="B24" s="494" t="s">
        <v>65</v>
      </c>
      <c r="C24" s="495">
        <v>2020</v>
      </c>
      <c r="D24" s="167" t="str">
        <f>IF(VALUE(C24)&lt;='RFPR cover'!$C$7,"Actual","Forecast")</f>
        <v>Actual</v>
      </c>
      <c r="E24" s="369">
        <v>290.642</v>
      </c>
      <c r="F24" s="492">
        <v>292.60000000000002</v>
      </c>
      <c r="G24" s="168">
        <v>0.19</v>
      </c>
      <c r="H24" s="833"/>
      <c r="J24" s="834"/>
    </row>
    <row r="25" spans="2:10">
      <c r="B25" s="494" t="s">
        <v>66</v>
      </c>
      <c r="C25" s="495">
        <v>2021</v>
      </c>
      <c r="D25" s="167" t="str">
        <f>IF(VALUE(C25)&lt;='RFPR cover'!$C$7,"Actual","Forecast")</f>
        <v>Actual</v>
      </c>
      <c r="E25" s="369">
        <v>294.16699999999997</v>
      </c>
      <c r="F25" s="492">
        <v>299</v>
      </c>
      <c r="G25" s="168">
        <v>0.19</v>
      </c>
      <c r="H25" s="833"/>
      <c r="J25" s="834"/>
    </row>
    <row r="26" spans="2:10">
      <c r="B26" s="494" t="s">
        <v>67</v>
      </c>
      <c r="C26" s="495">
        <v>2022</v>
      </c>
      <c r="D26" s="167" t="str">
        <f>IF(VALUE(C26)&lt;='RFPR cover'!$C$7,"Actual","Forecast")</f>
        <v>Actual</v>
      </c>
      <c r="E26" s="369">
        <v>311.15800000000002</v>
      </c>
      <c r="F26" s="492">
        <f>(323.5+334.6)/2</f>
        <v>329.05</v>
      </c>
      <c r="G26" s="168">
        <v>0.19</v>
      </c>
      <c r="H26" s="833"/>
      <c r="J26" s="834"/>
    </row>
    <row r="27" spans="2:10">
      <c r="B27" s="494" t="s">
        <v>68</v>
      </c>
      <c r="C27" s="495">
        <v>2023</v>
      </c>
      <c r="D27" s="167" t="str">
        <f>IF(VALUE(C27)&lt;='RFPR cover'!$C$7,"Actual","Forecast")</f>
        <v>Forecast</v>
      </c>
      <c r="E27" s="493">
        <f t="shared" ref="E27:F27" si="0">E26*(1+INDEX($D$43:$J$43,0,MATCH($C27,$D$42:$J$42,0)))</f>
        <v>336.98411399999998</v>
      </c>
      <c r="F27" s="493">
        <f t="shared" si="0"/>
        <v>356.36115000000001</v>
      </c>
      <c r="G27" s="168">
        <v>0.19</v>
      </c>
      <c r="H27" s="833"/>
      <c r="J27" s="834"/>
    </row>
    <row r="28" spans="2:10">
      <c r="B28" s="494" t="s">
        <v>204</v>
      </c>
      <c r="C28" s="495">
        <v>2024</v>
      </c>
      <c r="D28" s="167" t="str">
        <f>IF(VALUE(C28)&lt;='RFPR cover'!$C$7,"Actual","Forecast")</f>
        <v>Forecast</v>
      </c>
      <c r="E28" s="371"/>
      <c r="F28" s="371"/>
      <c r="G28" s="168">
        <v>0.25</v>
      </c>
    </row>
    <row r="29" spans="2:10">
      <c r="B29" s="494" t="s">
        <v>205</v>
      </c>
      <c r="C29" s="495">
        <v>2025</v>
      </c>
      <c r="D29" s="167" t="str">
        <f>IF(VALUE(C29)&lt;='RFPR cover'!$C$7,"Actual","Forecast")</f>
        <v>Forecast</v>
      </c>
      <c r="E29" s="371"/>
      <c r="F29" s="371"/>
      <c r="G29" s="168">
        <v>0.25</v>
      </c>
    </row>
    <row r="30" spans="2:10">
      <c r="B30" s="496" t="s">
        <v>206</v>
      </c>
      <c r="C30" s="497">
        <v>2026</v>
      </c>
      <c r="D30" s="169" t="str">
        <f>IF(VALUE(C30)&lt;='RFPR cover'!$C$7,"Actual","Forecast")</f>
        <v>Forecast</v>
      </c>
      <c r="E30" s="370"/>
      <c r="F30" s="370"/>
      <c r="G30" s="168">
        <v>0.25</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Actuals</v>
      </c>
      <c r="I32" s="339" t="str">
        <f>IF(I33&lt;='RFPR cover'!$C$7,"Actuals","Forecast")</f>
        <v>Actuals</v>
      </c>
      <c r="J32" s="340" t="str">
        <f>IF(J33&lt;='RFPR cover'!$C$7,"Actuals","Forecast")</f>
        <v>Forecast</v>
      </c>
    </row>
    <row r="33" spans="2:13"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3" ht="15.75" customHeight="1">
      <c r="B34" s="489" t="s">
        <v>376</v>
      </c>
      <c r="C34" s="487">
        <f>INDEX(Data!$E$14:$E$30,MATCH(C$33,Data!$C$14:$C$30,0),0)/IF('RFPR cover'!$C$6="ED1",Data!$E$17,Data!$E$14)</f>
        <v>1.0603167467048125</v>
      </c>
      <c r="D34" s="484">
        <f>INDEX(Data!$E$14:$E$30,MATCH(D$33,Data!$C$14:$C$30,0),0)/IF('RFPR cover'!$C$6="ED1",Data!$E$17,Data!$E$14)</f>
        <v>1.0830366813119445</v>
      </c>
      <c r="E34" s="484">
        <f>INDEX(Data!$E$14:$E$30,MATCH(E$33,Data!$C$14:$C$30,0),0)/IF('RFPR cover'!$C$6="ED1",Data!$E$17,Data!$E$14)</f>
        <v>1.1235639113109226</v>
      </c>
      <c r="F34" s="484">
        <f>INDEX(Data!$E$14:$E$30,MATCH(F$33,Data!$C$14:$C$30,0),0)/IF('RFPR cover'!$C$6="ED1",Data!$E$17,Data!$E$14)</f>
        <v>1.1578951670583426</v>
      </c>
      <c r="G34" s="484">
        <f>INDEX(Data!$E$14:$E$30,MATCH(G$33,Data!$C$14:$C$30,0),0)/IF('RFPR cover'!$C$6="ED1",Data!$E$17,Data!$E$14)</f>
        <v>1.1878696229692449</v>
      </c>
      <c r="H34" s="484">
        <f>INDEX(Data!$E$14:$E$30,MATCH(H$33,Data!$C$14:$C$30,0),0)/IF('RFPR cover'!$C$6="ED1",Data!$E$17,Data!$E$14)</f>
        <v>1.2022764892203943</v>
      </c>
      <c r="I34" s="485">
        <f>INDEX(Data!$E$14:$E$30,MATCH(I$33,Data!$C$14:$C$30,0),0)/IF('RFPR cover'!$C$6="ED1",Data!$E$17,Data!$E$14)</f>
        <v>1.2717196280780627</v>
      </c>
      <c r="J34" s="486">
        <f>INDEX(Data!$E$14:$E$30,MATCH(J$33,Data!$C$14:$C$30,0),0)/IF('RFPR cover'!$C$6="ED1",Data!$E$17,Data!$E$14)</f>
        <v>1.3772723572085417</v>
      </c>
    </row>
    <row r="35" spans="2:13" ht="15.75" customHeight="1">
      <c r="B35" s="490" t="s">
        <v>42</v>
      </c>
      <c r="C35" s="488">
        <f>INDEX(Data!$F$14:$F$30,MATCH(C$33,Data!$C$14:$C$30,0),0)/IF('RFPR cover'!$C$6="ED1",Data!$E$17,Data!$E$14)</f>
        <v>1.0677429242873198</v>
      </c>
      <c r="D35" s="488">
        <f>INDEX(Data!$F$14:$F$30,MATCH(D$33,Data!$C$14:$C$30,0),0)/IF('RFPR cover'!$C$6="ED1",Data!$E$17,Data!$E$14)</f>
        <v>1.1033002963114336</v>
      </c>
      <c r="E35" s="488">
        <f>INDEX(Data!$F$14:$F$30,MATCH(E$33,Data!$C$14:$C$30,0),0)/IF('RFPR cover'!$C$6="ED1",Data!$E$17,Data!$E$14)</f>
        <v>1.1402881373250229</v>
      </c>
      <c r="F35" s="488">
        <f>INDEX(Data!$F$14:$F$30,MATCH(F$33,Data!$C$14:$C$30,0),0)/IF('RFPR cover'!$C$6="ED1",Data!$E$17,Data!$E$14)</f>
        <v>1.171554102380709</v>
      </c>
      <c r="G35" s="488">
        <f>INDEX(Data!$F$14:$F$30,MATCH(G$33,Data!$C$14:$C$30,0),0)/IF('RFPR cover'!$C$6="ED1",Data!$E$17,Data!$E$14)</f>
        <v>1.1958720752017984</v>
      </c>
      <c r="H35" s="488">
        <f>INDEX(Data!$F$14:$F$30,MATCH(H$33,Data!$C$14:$C$30,0),0)/IF('RFPR cover'!$C$6="ED1",Data!$E$17,Data!$E$14)</f>
        <v>1.2220292224379279</v>
      </c>
      <c r="I35" s="488">
        <f>INDEX(Data!$F$14:$F$30,MATCH(I$33,Data!$C$14:$C$30,0),0)/IF('RFPR cover'!$C$6="ED1",Data!$E$17,Data!$E$14)</f>
        <v>1.3448452028200675</v>
      </c>
      <c r="J35" s="488">
        <f>INDEX(Data!$F$14:$F$30,MATCH(J$33,Data!$C$14:$C$30,0),0)/IF('RFPR cover'!$C$6="ED1",Data!$E$17,Data!$E$14)</f>
        <v>1.4564673546541329</v>
      </c>
    </row>
    <row r="36" spans="2:13">
      <c r="B36" s="490" t="s">
        <v>503</v>
      </c>
      <c r="C36" s="488">
        <f>INDEX(Data!$E$14:$E$30,MATCH(C$33,Data!$C$14:$C$30,0))/INDEX(Data!$E$14:$E$30,MATCH(C$33-1,Data!$C$14:$C$30,0))</f>
        <v>1.0107766093810269</v>
      </c>
      <c r="D36" s="488">
        <f>INDEX(Data!$E$14:$E$30,MATCH(D$33,Data!$C$14:$C$30,0))/INDEX(Data!$E$14:$E$30,MATCH(D$33-1,Data!$C$14:$C$30,0))</f>
        <v>1.0214274976583551</v>
      </c>
      <c r="E36" s="488">
        <f>INDEX(Data!$E$14:$E$30,MATCH(E$33,Data!$C$14:$C$30,0))/INDEX(Data!$E$14:$E$30,MATCH(E$33-1,Data!$C$14:$C$30,0))</f>
        <v>1.0374199975848328</v>
      </c>
      <c r="F36" s="488">
        <f>INDEX(Data!$E$14:$E$30,MATCH(F$33,Data!$C$14:$C$30,0))/INDEX(Data!$E$14:$E$30,MATCH(F$33-1,Data!$C$14:$C$30,0))</f>
        <v>1.0305556768082411</v>
      </c>
      <c r="G36" s="488">
        <f>INDEX(Data!$E$14:$E$30,MATCH(G$33,Data!$C$14:$C$30,0))/INDEX(Data!$E$14:$E$30,MATCH(G$33-1,Data!$C$14:$C$30,0))</f>
        <v>1.0258870204865376</v>
      </c>
      <c r="H36" s="488">
        <f>INDEX(Data!$E$14:$E$30,MATCH(H$33,Data!$C$14:$C$30,0))/INDEX(Data!$E$14:$E$30,MATCH(H$33-1,Data!$C$14:$C$30,0))</f>
        <v>1.0121283228163858</v>
      </c>
      <c r="I36" s="488">
        <f>INDEX(Data!$E$14:$E$30,MATCH(I$33,Data!$C$14:$C$30,0))/INDEX(Data!$E$14:$E$30,MATCH(I$33-1,Data!$C$14:$C$30,0))</f>
        <v>1.057759707921011</v>
      </c>
      <c r="J36" s="488">
        <f>INDEX(Data!$E$14:$E$30,MATCH(J$33,Data!$C$14:$C$30,0))/INDEX(Data!$E$14:$E$30,MATCH(J$33-1,Data!$C$14:$C$30,0))</f>
        <v>1.083</v>
      </c>
    </row>
    <row r="37" spans="2:13" ht="15.75" customHeight="1">
      <c r="B37" s="14" t="s">
        <v>274</v>
      </c>
      <c r="F37" s="511"/>
    </row>
    <row r="38" spans="2:13">
      <c r="C38" s="504" t="s">
        <v>275</v>
      </c>
      <c r="D38" s="118">
        <v>2017</v>
      </c>
      <c r="E38" s="119">
        <f t="shared" ref="E38:J38" si="2">D38+1</f>
        <v>2018</v>
      </c>
      <c r="F38" s="119">
        <f t="shared" si="2"/>
        <v>2019</v>
      </c>
      <c r="G38" s="119">
        <f t="shared" si="2"/>
        <v>2020</v>
      </c>
      <c r="H38" s="119">
        <f t="shared" si="2"/>
        <v>2021</v>
      </c>
      <c r="I38" s="119">
        <f t="shared" si="2"/>
        <v>2022</v>
      </c>
      <c r="J38" s="196">
        <f t="shared" si="2"/>
        <v>2023</v>
      </c>
      <c r="K38" s="955" t="s">
        <v>386</v>
      </c>
      <c r="L38" s="955"/>
      <c r="M38" s="955"/>
    </row>
    <row r="39" spans="2:13">
      <c r="B39" t="s">
        <v>387</v>
      </c>
      <c r="C39" s="201"/>
      <c r="D39" s="756"/>
      <c r="E39" s="756"/>
      <c r="F39" s="756"/>
      <c r="G39" s="756"/>
      <c r="H39" s="756"/>
      <c r="I39" s="757">
        <v>9.0999999999999998E-2</v>
      </c>
      <c r="J39" s="758">
        <v>5.8999999999999997E-2</v>
      </c>
      <c r="K39" s="956" t="s">
        <v>601</v>
      </c>
      <c r="L39" s="956"/>
      <c r="M39" s="956"/>
    </row>
    <row r="41" spans="2:13">
      <c r="B41" s="14" t="s">
        <v>276</v>
      </c>
    </row>
    <row r="42" spans="2:13">
      <c r="C42" s="503" t="s">
        <v>277</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278</v>
      </c>
      <c r="D43" s="564"/>
      <c r="E43" s="565"/>
      <c r="F43" s="565"/>
      <c r="G43" s="565"/>
      <c r="H43" s="565"/>
      <c r="I43" s="565"/>
      <c r="J43" s="759">
        <f>(I39*0.75)+(J39*0.25)</f>
        <v>8.3000000000000004E-2</v>
      </c>
    </row>
    <row r="45" spans="2:13">
      <c r="B45" s="314" t="str">
        <f>"Selected Capitalisation rates for "&amp;'RFPR cover'!C5</f>
        <v>Selected Capitalisation rates for NPgY</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3" t="s">
        <v>251</v>
      </c>
      <c r="D47" s="42"/>
      <c r="E47" s="42"/>
      <c r="F47" s="42"/>
      <c r="G47" s="42"/>
      <c r="H47" s="42"/>
      <c r="I47" s="42"/>
      <c r="J47" s="42"/>
      <c r="K47" s="42"/>
      <c r="L47" s="42"/>
      <c r="M47" s="203"/>
    </row>
    <row r="48" spans="2:13">
      <c r="B48" s="316" t="str">
        <f>INDEX($G$54:$G$57,MATCH(LEFT('RFPR cover'!$C$6,2),Data!$E$54:$E$57,0),0)</f>
        <v>Totex</v>
      </c>
      <c r="C48" s="312">
        <f>INDEX($F$73:$F$100,MATCH('RFPR cover'!$C$5,Data!$B$73:$B$100,0),0)</f>
        <v>0.72</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60" t="s">
        <v>252</v>
      </c>
      <c r="H54" s="961"/>
      <c r="I54" s="962"/>
      <c r="J54" s="969" t="s">
        <v>254</v>
      </c>
      <c r="K54" s="970"/>
    </row>
    <row r="55" spans="2:20">
      <c r="B55" s="304"/>
      <c r="C55" s="304"/>
      <c r="E55" s="302" t="s">
        <v>173</v>
      </c>
      <c r="F55" s="331" t="s">
        <v>183</v>
      </c>
      <c r="G55" s="963" t="s">
        <v>252</v>
      </c>
      <c r="H55" s="964"/>
      <c r="I55" s="965"/>
      <c r="J55" s="971" t="s">
        <v>254</v>
      </c>
      <c r="K55" s="972"/>
    </row>
    <row r="56" spans="2:20">
      <c r="B56" s="304"/>
      <c r="C56" s="304"/>
      <c r="E56" s="302" t="s">
        <v>172</v>
      </c>
      <c r="F56" s="331" t="s">
        <v>183</v>
      </c>
      <c r="G56" s="963" t="s">
        <v>243</v>
      </c>
      <c r="H56" s="964"/>
      <c r="I56" s="965"/>
      <c r="J56" s="971" t="s">
        <v>244</v>
      </c>
      <c r="K56" s="972"/>
    </row>
    <row r="57" spans="2:20">
      <c r="B57" s="304"/>
      <c r="C57" s="304"/>
      <c r="E57" s="303" t="s">
        <v>174</v>
      </c>
      <c r="F57" s="332" t="s">
        <v>183</v>
      </c>
      <c r="G57" s="966" t="s">
        <v>253</v>
      </c>
      <c r="H57" s="967"/>
      <c r="I57" s="968"/>
      <c r="J57" s="973" t="s">
        <v>255</v>
      </c>
      <c r="K57" s="974"/>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0"/>
      <c r="D63" s="561"/>
      <c r="E63" s="434">
        <v>2.5499999999999998E-2</v>
      </c>
      <c r="F63" s="434">
        <v>2.3799999999999998E-2</v>
      </c>
      <c r="G63" s="434">
        <v>2.2200000000000001E-2</v>
      </c>
      <c r="H63" s="434">
        <v>1.9099999999999999E-2</v>
      </c>
      <c r="I63" s="434">
        <v>1.5800000000000002E-2</v>
      </c>
      <c r="J63" s="434">
        <v>1.09E-2</v>
      </c>
      <c r="K63" s="434">
        <v>7.6E-3</v>
      </c>
      <c r="L63" s="435">
        <v>3.8999999999999998E-3</v>
      </c>
    </row>
    <row r="64" spans="2:20">
      <c r="B64" s="437" t="s">
        <v>333</v>
      </c>
      <c r="C64" s="548"/>
      <c r="D64" s="549"/>
      <c r="E64" s="396">
        <v>2.5499999999999998E-2</v>
      </c>
      <c r="F64" s="396">
        <v>2.4199999999999999E-2</v>
      </c>
      <c r="G64" s="396">
        <v>2.29E-2</v>
      </c>
      <c r="H64" s="396">
        <v>2.0899999999999998E-2</v>
      </c>
      <c r="I64" s="396">
        <v>1.9400000000000001E-2</v>
      </c>
      <c r="J64" s="396">
        <v>1.78E-2</v>
      </c>
      <c r="K64" s="396">
        <v>1.6199999999999999E-2</v>
      </c>
      <c r="L64" s="399">
        <v>1.44E-2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7.6E-3</v>
      </c>
      <c r="K65" s="562"/>
      <c r="L65" s="563"/>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1.09E-2</v>
      </c>
      <c r="K66" s="549"/>
      <c r="L66" s="550"/>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1.09E-2</v>
      </c>
      <c r="K67" s="549"/>
      <c r="L67" s="550"/>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1.09E-2</v>
      </c>
      <c r="K68" s="551"/>
      <c r="L68" s="552"/>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57" t="s">
        <v>342</v>
      </c>
      <c r="L71" s="958"/>
      <c r="M71" s="958"/>
      <c r="N71" s="958"/>
      <c r="O71" s="958"/>
      <c r="P71" s="958"/>
      <c r="Q71" s="958"/>
      <c r="R71" s="958"/>
      <c r="S71" s="958"/>
      <c r="T71" s="959"/>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48"/>
      <c r="L73" s="549"/>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1.6199999999999999E-2</v>
      </c>
      <c r="T73" s="431">
        <f t="shared" ref="T73:T82" si="15">L$64</f>
        <v>1.44E-2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48"/>
      <c r="L74" s="549"/>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1.6199999999999999E-2</v>
      </c>
      <c r="T74" s="431">
        <f t="shared" si="15"/>
        <v>1.44E-2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48"/>
      <c r="L75" s="549"/>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1.6199999999999999E-2</v>
      </c>
      <c r="T75" s="431">
        <f t="shared" si="15"/>
        <v>1.44E-2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48"/>
      <c r="L76" s="549"/>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1.6199999999999999E-2</v>
      </c>
      <c r="T76" s="431">
        <f t="shared" si="15"/>
        <v>1.44E-2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48"/>
      <c r="L77" s="549"/>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1.6199999999999999E-2</v>
      </c>
      <c r="T77" s="431">
        <f t="shared" si="15"/>
        <v>1.44E-2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48"/>
      <c r="L78" s="549"/>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1.6199999999999999E-2</v>
      </c>
      <c r="T78" s="431">
        <f t="shared" si="15"/>
        <v>1.44E-2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48"/>
      <c r="L79" s="549"/>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1.6199999999999999E-2</v>
      </c>
      <c r="T79" s="431">
        <f t="shared" si="15"/>
        <v>1.44E-2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48"/>
      <c r="L80" s="549"/>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1.6199999999999999E-2</v>
      </c>
      <c r="T80" s="431">
        <f t="shared" si="15"/>
        <v>1.44E-2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48"/>
      <c r="L81" s="549"/>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1.6199999999999999E-2</v>
      </c>
      <c r="T81" s="431">
        <f t="shared" si="15"/>
        <v>1.44E-2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48"/>
      <c r="L82" s="549"/>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1.6199999999999999E-2</v>
      </c>
      <c r="T82" s="431">
        <f t="shared" si="15"/>
        <v>1.44E-2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48"/>
      <c r="L83" s="549"/>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7.6E-3</v>
      </c>
      <c r="T83" s="431">
        <f t="shared" si="16"/>
        <v>3.8999999999999998E-3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48"/>
      <c r="L84" s="549"/>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7.6E-3</v>
      </c>
      <c r="T84" s="431">
        <f t="shared" si="16"/>
        <v>3.8999999999999998E-3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48"/>
      <c r="L85" s="549"/>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7.6E-3</v>
      </c>
      <c r="T85" s="431">
        <f t="shared" si="16"/>
        <v>3.8999999999999998E-3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48"/>
      <c r="L86" s="549"/>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7.6E-3</v>
      </c>
      <c r="T86" s="431">
        <f t="shared" si="16"/>
        <v>3.8999999999999998E-3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1.09E-2</v>
      </c>
      <c r="S87" s="549"/>
      <c r="T87" s="550"/>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1.09E-2</v>
      </c>
      <c r="S88" s="549"/>
      <c r="T88" s="550"/>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1.09E-2</v>
      </c>
      <c r="S89" s="549"/>
      <c r="T89" s="550"/>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1.09E-2</v>
      </c>
      <c r="S90" s="549"/>
      <c r="T90" s="550"/>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1.09E-2</v>
      </c>
      <c r="S91" s="549"/>
      <c r="T91" s="550"/>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1.09E-2</v>
      </c>
      <c r="S92" s="549"/>
      <c r="T92" s="550"/>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1.09E-2</v>
      </c>
      <c r="S93" s="549"/>
      <c r="T93" s="550"/>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1.09E-2</v>
      </c>
      <c r="S94" s="549"/>
      <c r="T94" s="550"/>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1.09E-2</v>
      </c>
      <c r="S95" s="549"/>
      <c r="T95" s="550"/>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1.09E-2</v>
      </c>
      <c r="S96" s="549"/>
      <c r="T96" s="550"/>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1.09E-2</v>
      </c>
      <c r="S97" s="549"/>
      <c r="T97" s="550"/>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1.09E-2</v>
      </c>
      <c r="S98" s="549"/>
      <c r="T98" s="550"/>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1.09E-2</v>
      </c>
      <c r="S99" s="549"/>
      <c r="T99" s="550"/>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7.6E-3</v>
      </c>
      <c r="S100" s="551"/>
      <c r="T100" s="552"/>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6"/>
      <c r="D115" s="556"/>
      <c r="E115" s="556"/>
      <c r="F115" s="556"/>
      <c r="G115" s="556"/>
      <c r="H115" s="556"/>
      <c r="I115" s="556"/>
      <c r="J115" s="556"/>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3"/>
      <c r="D119" s="554"/>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5"/>
      <c r="D120" s="556"/>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5"/>
      <c r="D121" s="556"/>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5"/>
      <c r="D122" s="556"/>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5"/>
      <c r="D123" s="556"/>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5"/>
      <c r="D124" s="556"/>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5"/>
      <c r="D125" s="556"/>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5"/>
      <c r="D126" s="556"/>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5"/>
      <c r="D127" s="556"/>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5"/>
      <c r="D128" s="556"/>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5"/>
      <c r="D129" s="556"/>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5"/>
      <c r="D130" s="556"/>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5"/>
      <c r="D131" s="556"/>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5"/>
      <c r="D132" s="556"/>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6"/>
      <c r="L133" s="557"/>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6"/>
      <c r="L134" s="557"/>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6"/>
      <c r="L135" s="557"/>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6"/>
      <c r="L136" s="557"/>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6"/>
      <c r="L137" s="557"/>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6"/>
      <c r="L138" s="557"/>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6"/>
      <c r="L139" s="557"/>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6"/>
      <c r="L140" s="557"/>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6"/>
      <c r="L141" s="557"/>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6"/>
      <c r="L142" s="557"/>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6"/>
      <c r="L143" s="557"/>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6"/>
      <c r="L144" s="557"/>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6"/>
      <c r="L145" s="557"/>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58"/>
      <c r="L146" s="559"/>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89"/>
      <c r="B151" s="790"/>
      <c r="C151" s="791"/>
      <c r="D151" s="791"/>
      <c r="E151" s="791"/>
      <c r="F151" s="792"/>
      <c r="G151" s="792"/>
      <c r="H151" s="792"/>
      <c r="I151" s="792"/>
      <c r="J151" s="792"/>
      <c r="K151" s="792"/>
      <c r="L151" s="792"/>
      <c r="M151" s="792"/>
      <c r="N151" s="792"/>
    </row>
    <row r="152" spans="1:15">
      <c r="A152" s="204"/>
      <c r="B152" s="793" t="s">
        <v>412</v>
      </c>
      <c r="C152" s="207"/>
      <c r="D152" s="207"/>
      <c r="E152" s="794" t="b">
        <f>OR((LEFT('RFPR cover'!$C$6,2)=Data!F152),'RFPR cover'!$C$5=Data!F152)</f>
        <v>1</v>
      </c>
      <c r="F152" s="359" t="str">
        <f>B162</f>
        <v>ED</v>
      </c>
      <c r="G152" s="795"/>
    </row>
    <row r="153" spans="1:15">
      <c r="A153" s="204"/>
      <c r="B153" s="810" t="str">
        <f>CHOOSE(MATCH(TRUE,$E$152:$E$159,0),B163,B173,B183,E183,B193,E193,B203,E203)&amp;""</f>
        <v>Broad measure of customer service</v>
      </c>
      <c r="C153" s="207"/>
      <c r="D153" s="207"/>
      <c r="E153" s="796" t="b">
        <f>OR((LEFT('RFPR cover'!$C$6,2)=Data!F153),'RFPR cover'!$C$5=Data!F153)</f>
        <v>0</v>
      </c>
      <c r="F153" s="360" t="str">
        <f>B172</f>
        <v>GD</v>
      </c>
      <c r="G153" s="203"/>
    </row>
    <row r="154" spans="1:15" ht="25.5">
      <c r="A154" s="204"/>
      <c r="B154" s="811" t="str">
        <f t="shared" ref="B154:B160" si="23">CHOOSE(MATCH(TRUE,$E$152:$E$159,0),B164,B174,B184,E184,B194,E194,B204,E204)&amp;""</f>
        <v>Interruptions-related quality of service</v>
      </c>
      <c r="C154" s="207"/>
      <c r="D154" s="207"/>
      <c r="E154" s="796" t="b">
        <f>OR((LEFT('RFPR cover'!$C$6,2)=Data!F154),'RFPR cover'!$C$5=Data!F154)</f>
        <v>0</v>
      </c>
      <c r="F154" s="809" t="str">
        <f>B182</f>
        <v>NGGT (TO)</v>
      </c>
      <c r="G154" s="203"/>
    </row>
    <row r="155" spans="1:15">
      <c r="A155" s="204"/>
      <c r="B155" s="811" t="str">
        <f t="shared" si="23"/>
        <v>Incentive on connections engagement</v>
      </c>
      <c r="C155" s="207"/>
      <c r="D155" s="207"/>
      <c r="E155" s="796" t="b">
        <f>OR((LEFT('RFPR cover'!$C$6,2)=Data!F155),'RFPR cover'!$C$5=Data!F155)</f>
        <v>0</v>
      </c>
      <c r="F155" s="797" t="str">
        <f>E182</f>
        <v>NGGT (SO)</v>
      </c>
      <c r="G155" s="203"/>
    </row>
    <row r="156" spans="1:15">
      <c r="A156" s="204"/>
      <c r="B156" s="811" t="str">
        <f t="shared" si="23"/>
        <v>Time to Connect Incentive</v>
      </c>
      <c r="C156" s="207"/>
      <c r="D156" s="207"/>
      <c r="E156" s="796" t="b">
        <f>OR((LEFT('RFPR cover'!$C$6,2)=Data!F156),'RFPR cover'!$C$5=Data!F156)</f>
        <v>0</v>
      </c>
      <c r="F156" s="797" t="str">
        <f>B192</f>
        <v>NGET (TO)</v>
      </c>
      <c r="G156" s="203"/>
    </row>
    <row r="157" spans="1:15">
      <c r="A157" s="204"/>
      <c r="B157" s="812" t="str">
        <f t="shared" si="23"/>
        <v>Losses discretionary reward scheme</v>
      </c>
      <c r="C157" s="207"/>
      <c r="D157" s="207"/>
      <c r="E157" s="796" t="b">
        <f>OR((LEFT('RFPR cover'!$C$6,2)=Data!F157),'RFPR cover'!$C$5=Data!F157)</f>
        <v>0</v>
      </c>
      <c r="F157" s="797" t="s">
        <v>600</v>
      </c>
      <c r="G157" s="203"/>
    </row>
    <row r="158" spans="1:15">
      <c r="A158" s="204"/>
      <c r="B158" s="812" t="str">
        <f t="shared" si="23"/>
        <v/>
      </c>
      <c r="C158" s="207"/>
      <c r="D158" s="207"/>
      <c r="E158" s="796" t="b">
        <f>OR((LEFT('RFPR cover'!$C$6,2)=Data!F158),'RFPR cover'!$C$5=Data!F158)</f>
        <v>0</v>
      </c>
      <c r="F158" s="797" t="str">
        <f>B202</f>
        <v>SPT</v>
      </c>
      <c r="G158" s="203"/>
    </row>
    <row r="159" spans="1:15">
      <c r="A159" s="204"/>
      <c r="B159" s="812" t="str">
        <f t="shared" si="23"/>
        <v/>
      </c>
      <c r="C159" s="207"/>
      <c r="D159" s="207"/>
      <c r="E159" s="798" t="b">
        <f>OR((LEFT('RFPR cover'!$C$6,2)=Data!F159),'RFPR cover'!$C$5=Data!F159)</f>
        <v>0</v>
      </c>
      <c r="F159" s="799" t="str">
        <f>E202</f>
        <v>SHET</v>
      </c>
      <c r="G159" s="296"/>
    </row>
    <row r="160" spans="1:15">
      <c r="A160" s="204"/>
      <c r="B160" s="207" t="str">
        <f t="shared" si="23"/>
        <v/>
      </c>
      <c r="C160" s="207"/>
      <c r="D160" s="207"/>
      <c r="E160" s="59"/>
      <c r="F160" s="797"/>
      <c r="G160" s="42"/>
    </row>
    <row r="161" spans="1:7">
      <c r="A161" s="204"/>
      <c r="B161" s="207"/>
      <c r="C161" s="207"/>
      <c r="D161" s="207"/>
      <c r="E161" s="59"/>
      <c r="F161" s="797"/>
      <c r="G161" s="42"/>
    </row>
    <row r="162" spans="1:7" ht="12" customHeight="1">
      <c r="A162" s="204"/>
      <c r="B162" s="950" t="s">
        <v>171</v>
      </c>
      <c r="C162" s="946"/>
      <c r="D162" s="207"/>
      <c r="E162" s="207"/>
    </row>
    <row r="163" spans="1:7">
      <c r="A163" s="204"/>
      <c r="B163" s="951" t="s">
        <v>407</v>
      </c>
      <c r="C163" s="952"/>
      <c r="D163" s="207"/>
      <c r="E163" s="207"/>
    </row>
    <row r="164" spans="1:7">
      <c r="A164" s="204"/>
      <c r="B164" s="951" t="s">
        <v>408</v>
      </c>
      <c r="C164" s="952"/>
      <c r="D164" s="207"/>
      <c r="E164" s="207"/>
    </row>
    <row r="165" spans="1:7">
      <c r="A165" s="204"/>
      <c r="B165" s="953" t="s">
        <v>409</v>
      </c>
      <c r="C165" s="954"/>
      <c r="D165" s="207"/>
      <c r="E165" s="207"/>
    </row>
    <row r="166" spans="1:7">
      <c r="A166" s="204"/>
      <c r="B166" s="953" t="s">
        <v>410</v>
      </c>
      <c r="C166" s="954"/>
      <c r="D166" s="207"/>
      <c r="E166" s="207"/>
    </row>
    <row r="167" spans="1:7">
      <c r="A167" s="204"/>
      <c r="B167" s="953" t="s">
        <v>411</v>
      </c>
      <c r="C167" s="954"/>
      <c r="D167" s="207"/>
      <c r="E167" s="207"/>
    </row>
    <row r="168" spans="1:7">
      <c r="A168" s="204"/>
      <c r="B168" s="953"/>
      <c r="C168" s="954"/>
      <c r="D168" s="207"/>
      <c r="E168" s="207"/>
    </row>
    <row r="169" spans="1:7">
      <c r="A169" s="204"/>
      <c r="B169" s="953"/>
      <c r="C169" s="954"/>
      <c r="D169" s="207"/>
      <c r="E169" s="207"/>
    </row>
    <row r="170" spans="1:7">
      <c r="A170" s="204"/>
      <c r="B170" s="207"/>
      <c r="C170" s="207"/>
      <c r="D170" s="207"/>
      <c r="E170" s="207"/>
    </row>
    <row r="171" spans="1:7">
      <c r="A171" s="204"/>
      <c r="B171" s="207"/>
      <c r="C171" s="207"/>
      <c r="D171" s="207"/>
      <c r="E171" s="207"/>
    </row>
    <row r="172" spans="1:7">
      <c r="A172" s="204"/>
      <c r="B172" s="950" t="s">
        <v>172</v>
      </c>
      <c r="C172" s="946"/>
      <c r="D172" s="207"/>
      <c r="E172" s="207"/>
    </row>
    <row r="173" spans="1:7" ht="12.75" customHeight="1">
      <c r="A173" s="204"/>
      <c r="B173" s="947" t="s">
        <v>222</v>
      </c>
      <c r="C173" s="949"/>
      <c r="D173" s="207"/>
      <c r="E173" s="207"/>
    </row>
    <row r="174" spans="1:7" ht="12.75" customHeight="1">
      <c r="A174" s="204"/>
      <c r="B174" s="941" t="s">
        <v>223</v>
      </c>
      <c r="C174" s="943"/>
      <c r="D174" s="207"/>
      <c r="E174" s="207"/>
    </row>
    <row r="175" spans="1:7" ht="12.75" customHeight="1">
      <c r="A175" s="204"/>
      <c r="B175" s="941" t="s">
        <v>224</v>
      </c>
      <c r="C175" s="943"/>
      <c r="D175" s="207"/>
      <c r="E175" s="207"/>
    </row>
    <row r="176" spans="1:7" ht="12.75" customHeight="1">
      <c r="A176" s="204"/>
      <c r="B176" s="941" t="s">
        <v>225</v>
      </c>
      <c r="C176" s="943"/>
      <c r="D176" s="207"/>
      <c r="E176" s="207"/>
    </row>
    <row r="177" spans="1:9" ht="12.75" customHeight="1">
      <c r="A177" s="204"/>
      <c r="B177" s="938" t="s">
        <v>305</v>
      </c>
      <c r="C177" s="940"/>
      <c r="D177" s="207"/>
      <c r="E177" s="207"/>
    </row>
    <row r="178" spans="1:9" ht="12.75" customHeight="1">
      <c r="A178" s="204"/>
      <c r="B178" s="938"/>
      <c r="C178" s="940"/>
      <c r="D178" s="207"/>
      <c r="E178" s="207"/>
    </row>
    <row r="179" spans="1:9" ht="12.75" customHeight="1">
      <c r="A179" s="204"/>
      <c r="B179" s="938"/>
      <c r="C179" s="940"/>
      <c r="D179" s="207"/>
      <c r="E179" s="207"/>
    </row>
    <row r="180" spans="1:9">
      <c r="A180" s="204"/>
      <c r="B180" s="207"/>
      <c r="C180" s="207"/>
      <c r="D180" s="207"/>
      <c r="E180" s="207"/>
    </row>
    <row r="181" spans="1:9">
      <c r="A181" s="204"/>
      <c r="B181" s="207"/>
      <c r="C181" s="207"/>
      <c r="D181" s="207"/>
      <c r="E181" s="207"/>
    </row>
    <row r="182" spans="1:9">
      <c r="A182" s="204"/>
      <c r="B182" s="944" t="str">
        <f>B95</f>
        <v>NGGT (TO)</v>
      </c>
      <c r="C182" s="976"/>
      <c r="D182" s="207"/>
      <c r="E182" s="944" t="str">
        <f>B96</f>
        <v>NGGT (SO)</v>
      </c>
      <c r="F182" s="945"/>
      <c r="G182" s="945"/>
      <c r="H182" s="945"/>
      <c r="I182" s="946"/>
    </row>
    <row r="183" spans="1:9" ht="12.4" customHeight="1">
      <c r="A183" s="204"/>
      <c r="B183" s="947" t="s">
        <v>218</v>
      </c>
      <c r="C183" s="949"/>
      <c r="D183" s="207"/>
      <c r="E183" s="941" t="s">
        <v>535</v>
      </c>
      <c r="F183" s="942" t="s">
        <v>535</v>
      </c>
      <c r="G183" s="942" t="s">
        <v>535</v>
      </c>
      <c r="H183" s="942" t="s">
        <v>535</v>
      </c>
      <c r="I183" s="943" t="s">
        <v>535</v>
      </c>
    </row>
    <row r="184" spans="1:9" ht="12.4" customHeight="1">
      <c r="A184" s="204"/>
      <c r="B184" s="941" t="s">
        <v>226</v>
      </c>
      <c r="C184" s="943"/>
      <c r="D184" s="207"/>
      <c r="E184" s="941" t="s">
        <v>536</v>
      </c>
      <c r="F184" s="942" t="s">
        <v>536</v>
      </c>
      <c r="G184" s="942" t="s">
        <v>536</v>
      </c>
      <c r="H184" s="942" t="s">
        <v>536</v>
      </c>
      <c r="I184" s="943" t="s">
        <v>536</v>
      </c>
    </row>
    <row r="185" spans="1:9" ht="12.4" customHeight="1">
      <c r="A185" s="204"/>
      <c r="B185" s="941"/>
      <c r="C185" s="943"/>
      <c r="D185" s="207"/>
      <c r="E185" s="941" t="s">
        <v>537</v>
      </c>
      <c r="F185" s="942" t="s">
        <v>537</v>
      </c>
      <c r="G185" s="942" t="s">
        <v>537</v>
      </c>
      <c r="H185" s="942" t="s">
        <v>537</v>
      </c>
      <c r="I185" s="943" t="s">
        <v>537</v>
      </c>
    </row>
    <row r="186" spans="1:9" ht="12.4" customHeight="1">
      <c r="A186" s="204"/>
      <c r="B186" s="941"/>
      <c r="C186" s="943"/>
      <c r="D186" s="207"/>
      <c r="E186" s="941" t="s">
        <v>538</v>
      </c>
      <c r="F186" s="942" t="s">
        <v>538</v>
      </c>
      <c r="G186" s="942" t="s">
        <v>538</v>
      </c>
      <c r="H186" s="942" t="s">
        <v>538</v>
      </c>
      <c r="I186" s="943" t="s">
        <v>538</v>
      </c>
    </row>
    <row r="187" spans="1:9" ht="12.4" customHeight="1">
      <c r="A187" s="204"/>
      <c r="B187" s="938"/>
      <c r="C187" s="940"/>
      <c r="D187" s="207"/>
      <c r="E187" s="941" t="s">
        <v>539</v>
      </c>
      <c r="F187" s="942" t="s">
        <v>539</v>
      </c>
      <c r="G187" s="942" t="s">
        <v>539</v>
      </c>
      <c r="H187" s="942" t="s">
        <v>539</v>
      </c>
      <c r="I187" s="943" t="s">
        <v>539</v>
      </c>
    </row>
    <row r="188" spans="1:9" ht="12.4" customHeight="1">
      <c r="A188" s="204"/>
      <c r="B188" s="938"/>
      <c r="C188" s="940"/>
      <c r="D188" s="207"/>
      <c r="E188" s="941" t="s">
        <v>540</v>
      </c>
      <c r="F188" s="942" t="s">
        <v>540</v>
      </c>
      <c r="G188" s="942" t="s">
        <v>540</v>
      </c>
      <c r="H188" s="942" t="s">
        <v>540</v>
      </c>
      <c r="I188" s="943" t="s">
        <v>540</v>
      </c>
    </row>
    <row r="189" spans="1:9" ht="12.4" customHeight="1">
      <c r="A189" s="204"/>
      <c r="B189" s="938"/>
      <c r="C189" s="940"/>
      <c r="D189" s="207"/>
      <c r="E189" s="941" t="s">
        <v>541</v>
      </c>
      <c r="F189" s="942" t="s">
        <v>541</v>
      </c>
      <c r="G189" s="942" t="s">
        <v>541</v>
      </c>
      <c r="H189" s="942" t="s">
        <v>541</v>
      </c>
      <c r="I189" s="943" t="s">
        <v>541</v>
      </c>
    </row>
    <row r="190" spans="1:9">
      <c r="A190" s="204"/>
      <c r="B190" s="207"/>
      <c r="C190" s="207"/>
      <c r="D190" s="207"/>
      <c r="E190" s="207"/>
    </row>
    <row r="191" spans="1:9">
      <c r="A191" s="204"/>
      <c r="B191" s="207"/>
      <c r="C191" s="207"/>
      <c r="D191" s="207"/>
      <c r="E191" s="207"/>
    </row>
    <row r="192" spans="1:9">
      <c r="A192" s="204"/>
      <c r="B192" s="944" t="str">
        <f>B97</f>
        <v>NGET (TO)</v>
      </c>
      <c r="C192" s="976"/>
      <c r="D192" s="207"/>
      <c r="E192" s="944" t="str">
        <f>B98</f>
        <v>NGET (SO)</v>
      </c>
      <c r="F192" s="945"/>
      <c r="G192" s="945"/>
      <c r="H192" s="945"/>
      <c r="I192" s="946"/>
    </row>
    <row r="193" spans="1:9" ht="12.75" customHeight="1">
      <c r="A193" s="204"/>
      <c r="B193" s="947" t="s">
        <v>217</v>
      </c>
      <c r="C193" s="949"/>
      <c r="D193" s="207"/>
      <c r="E193" s="941" t="s">
        <v>542</v>
      </c>
      <c r="F193" s="942" t="s">
        <v>542</v>
      </c>
      <c r="G193" s="942" t="s">
        <v>542</v>
      </c>
      <c r="H193" s="942" t="s">
        <v>542</v>
      </c>
      <c r="I193" s="943" t="s">
        <v>542</v>
      </c>
    </row>
    <row r="194" spans="1:9" ht="12.75" customHeight="1">
      <c r="A194" s="204"/>
      <c r="B194" s="941" t="s">
        <v>218</v>
      </c>
      <c r="C194" s="943"/>
      <c r="D194" s="207"/>
      <c r="E194" s="941" t="s">
        <v>543</v>
      </c>
      <c r="F194" s="942" t="s">
        <v>543</v>
      </c>
      <c r="G194" s="942" t="s">
        <v>543</v>
      </c>
      <c r="H194" s="942" t="s">
        <v>543</v>
      </c>
      <c r="I194" s="943" t="s">
        <v>543</v>
      </c>
    </row>
    <row r="195" spans="1:9" ht="12.75" customHeight="1">
      <c r="A195" s="204"/>
      <c r="B195" s="941" t="s">
        <v>219</v>
      </c>
      <c r="C195" s="943"/>
      <c r="D195" s="207"/>
      <c r="E195" s="941" t="s">
        <v>544</v>
      </c>
      <c r="F195" s="942" t="s">
        <v>544</v>
      </c>
      <c r="G195" s="942" t="s">
        <v>544</v>
      </c>
      <c r="H195" s="942" t="s">
        <v>544</v>
      </c>
      <c r="I195" s="943" t="s">
        <v>544</v>
      </c>
    </row>
    <row r="196" spans="1:9" ht="12.75" customHeight="1">
      <c r="A196" s="204"/>
      <c r="B196" s="941" t="s">
        <v>220</v>
      </c>
      <c r="C196" s="943"/>
      <c r="D196" s="207"/>
      <c r="E196" s="941"/>
      <c r="F196" s="942"/>
      <c r="G196" s="942"/>
      <c r="H196" s="942"/>
      <c r="I196" s="943"/>
    </row>
    <row r="197" spans="1:9" ht="12.75" customHeight="1">
      <c r="A197" s="204"/>
      <c r="B197" s="938"/>
      <c r="C197" s="940"/>
      <c r="D197" s="207"/>
      <c r="E197" s="938"/>
      <c r="F197" s="939"/>
      <c r="G197" s="939"/>
      <c r="H197" s="939"/>
      <c r="I197" s="940"/>
    </row>
    <row r="198" spans="1:9" ht="12.75" customHeight="1">
      <c r="A198" s="204"/>
      <c r="B198" s="938"/>
      <c r="C198" s="940"/>
      <c r="D198" s="207"/>
      <c r="E198" s="938"/>
      <c r="F198" s="939"/>
      <c r="G198" s="939"/>
      <c r="H198" s="939"/>
      <c r="I198" s="940"/>
    </row>
    <row r="199" spans="1:9" ht="12.75" customHeight="1">
      <c r="A199" s="204"/>
      <c r="B199" s="938"/>
      <c r="C199" s="940"/>
      <c r="D199" s="207"/>
      <c r="E199" s="938"/>
      <c r="F199" s="939"/>
      <c r="G199" s="939"/>
      <c r="H199" s="939"/>
      <c r="I199" s="940"/>
    </row>
    <row r="200" spans="1:9" s="31" customFormat="1" ht="12.75" customHeight="1">
      <c r="A200" s="786"/>
      <c r="B200" s="786"/>
      <c r="C200" s="786"/>
      <c r="D200" s="787"/>
      <c r="E200" s="788"/>
      <c r="F200" s="788"/>
      <c r="G200" s="788"/>
      <c r="H200" s="788"/>
      <c r="I200" s="788"/>
    </row>
    <row r="201" spans="1:9" s="31" customFormat="1" ht="12.75" customHeight="1">
      <c r="A201" s="786"/>
      <c r="B201" s="786"/>
      <c r="C201" s="786"/>
      <c r="D201" s="787"/>
      <c r="E201" s="788"/>
      <c r="F201" s="788"/>
      <c r="G201" s="788"/>
      <c r="H201" s="788"/>
      <c r="I201" s="788"/>
    </row>
    <row r="202" spans="1:9">
      <c r="A202" s="204"/>
      <c r="B202" s="944" t="str">
        <f>B145</f>
        <v>SPT</v>
      </c>
      <c r="C202" s="976"/>
      <c r="D202" s="207"/>
      <c r="E202" s="944" t="str">
        <f>B100</f>
        <v>SHET</v>
      </c>
      <c r="F202" s="945"/>
      <c r="G202" s="945"/>
      <c r="H202" s="945"/>
      <c r="I202" s="946"/>
    </row>
    <row r="203" spans="1:9" ht="12.75" customHeight="1">
      <c r="A203" s="204"/>
      <c r="B203" s="947" t="s">
        <v>217</v>
      </c>
      <c r="C203" s="949"/>
      <c r="D203" s="207"/>
      <c r="E203" s="947" t="s">
        <v>217</v>
      </c>
      <c r="F203" s="948"/>
      <c r="G203" s="948"/>
      <c r="H203" s="948"/>
      <c r="I203" s="949"/>
    </row>
    <row r="204" spans="1:9" ht="12.75" customHeight="1">
      <c r="A204" s="204"/>
      <c r="B204" s="941" t="s">
        <v>218</v>
      </c>
      <c r="C204" s="943"/>
      <c r="D204" s="207"/>
      <c r="E204" s="941" t="s">
        <v>218</v>
      </c>
      <c r="F204" s="942"/>
      <c r="G204" s="942"/>
      <c r="H204" s="942"/>
      <c r="I204" s="943"/>
    </row>
    <row r="205" spans="1:9" ht="12.75" customHeight="1">
      <c r="A205" s="204"/>
      <c r="B205" s="941" t="s">
        <v>219</v>
      </c>
      <c r="C205" s="943"/>
      <c r="D205" s="207"/>
      <c r="E205" s="941" t="s">
        <v>219</v>
      </c>
      <c r="F205" s="942"/>
      <c r="G205" s="942"/>
      <c r="H205" s="942"/>
      <c r="I205" s="943"/>
    </row>
    <row r="206" spans="1:9" ht="12.75" customHeight="1">
      <c r="A206" s="204"/>
      <c r="B206" s="941" t="s">
        <v>220</v>
      </c>
      <c r="C206" s="943"/>
      <c r="D206" s="207"/>
      <c r="E206" s="941" t="s">
        <v>220</v>
      </c>
      <c r="F206" s="942"/>
      <c r="G206" s="942"/>
      <c r="H206" s="942"/>
      <c r="I206" s="943"/>
    </row>
    <row r="207" spans="1:9" ht="12.75" customHeight="1">
      <c r="A207" s="204"/>
      <c r="B207" s="938" t="s">
        <v>221</v>
      </c>
      <c r="C207" s="940"/>
      <c r="D207" s="207"/>
      <c r="E207" s="938" t="s">
        <v>221</v>
      </c>
      <c r="F207" s="939"/>
      <c r="G207" s="939"/>
      <c r="H207" s="939"/>
      <c r="I207" s="940"/>
    </row>
    <row r="208" spans="1:9" ht="12.75" customHeight="1">
      <c r="A208" s="204"/>
      <c r="B208" s="938"/>
      <c r="C208" s="940"/>
      <c r="D208" s="207"/>
      <c r="E208" s="938"/>
      <c r="F208" s="939"/>
      <c r="G208" s="939"/>
      <c r="H208" s="939"/>
      <c r="I208" s="940"/>
    </row>
    <row r="209" spans="1:14" ht="12.75" customHeight="1">
      <c r="A209" s="204"/>
      <c r="B209" s="938"/>
      <c r="C209" s="940"/>
      <c r="D209" s="207"/>
      <c r="E209" s="938"/>
      <c r="F209" s="939"/>
      <c r="G209" s="939"/>
      <c r="H209" s="939"/>
      <c r="I209" s="940"/>
    </row>
    <row r="210" spans="1:14">
      <c r="A210" s="204"/>
      <c r="D210" s="207"/>
      <c r="E210" s="207"/>
    </row>
    <row r="211" spans="1:14">
      <c r="A211" s="204"/>
      <c r="D211" s="207"/>
      <c r="E211" s="207"/>
    </row>
    <row r="212" spans="1:14" ht="12.75" customHeight="1">
      <c r="A212" s="204"/>
      <c r="B212" s="975" t="s">
        <v>239</v>
      </c>
      <c r="C212" s="975"/>
      <c r="D212" s="975"/>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2" t="s">
        <v>414</v>
      </c>
      <c r="I218" s="67"/>
    </row>
    <row r="219" spans="1:14">
      <c r="B219" s="804" t="s">
        <v>287</v>
      </c>
    </row>
    <row r="220" spans="1:14">
      <c r="B220" s="805" t="s">
        <v>286</v>
      </c>
    </row>
    <row r="221" spans="1:14">
      <c r="B221" s="808" t="s">
        <v>284</v>
      </c>
    </row>
    <row r="222" spans="1:14">
      <c r="B222" s="806"/>
    </row>
    <row r="223" spans="1:14">
      <c r="B223" s="214"/>
    </row>
    <row r="224" spans="1:14">
      <c r="B224" s="803" t="s">
        <v>282</v>
      </c>
    </row>
    <row r="225" spans="2:2">
      <c r="B225" s="807" t="s">
        <v>415</v>
      </c>
    </row>
    <row r="226" spans="2:2">
      <c r="B226" s="805" t="s">
        <v>416</v>
      </c>
    </row>
    <row r="227" spans="2:2">
      <c r="B227" s="805" t="s">
        <v>293</v>
      </c>
    </row>
    <row r="228" spans="2:2">
      <c r="B228" s="805" t="s">
        <v>417</v>
      </c>
    </row>
    <row r="229" spans="2:2">
      <c r="B229" s="805" t="s">
        <v>418</v>
      </c>
    </row>
    <row r="230" spans="2:2">
      <c r="B230" s="805" t="s">
        <v>285</v>
      </c>
    </row>
    <row r="231" spans="2:2">
      <c r="B231" s="805" t="s">
        <v>419</v>
      </c>
    </row>
    <row r="232" spans="2:2">
      <c r="B232" s="805"/>
    </row>
    <row r="233" spans="2:2">
      <c r="B233" s="806"/>
    </row>
    <row r="234" spans="2:2">
      <c r="B234" s="214"/>
    </row>
    <row r="235" spans="2:2">
      <c r="B235" s="803" t="s">
        <v>292</v>
      </c>
    </row>
    <row r="236" spans="2:2">
      <c r="B236" s="807" t="s">
        <v>420</v>
      </c>
    </row>
    <row r="237" spans="2:2">
      <c r="B237" s="805" t="s">
        <v>421</v>
      </c>
    </row>
    <row r="238" spans="2:2">
      <c r="B238" s="805" t="s">
        <v>422</v>
      </c>
    </row>
    <row r="239" spans="2:2">
      <c r="B239" s="805" t="s">
        <v>423</v>
      </c>
    </row>
    <row r="240" spans="2:2">
      <c r="B240" s="805" t="s">
        <v>424</v>
      </c>
    </row>
    <row r="241" spans="2:2">
      <c r="B241" s="806"/>
    </row>
    <row r="242" spans="2:2">
      <c r="B242" s="214"/>
    </row>
    <row r="243" spans="2:2">
      <c r="B243" s="803" t="s">
        <v>425</v>
      </c>
    </row>
    <row r="244" spans="2:2">
      <c r="B244" s="807" t="s">
        <v>426</v>
      </c>
    </row>
    <row r="245" spans="2:2">
      <c r="B245" s="805" t="s">
        <v>427</v>
      </c>
    </row>
    <row r="246" spans="2:2">
      <c r="B246" s="806"/>
    </row>
    <row r="247" spans="2:2">
      <c r="B247" s="214"/>
    </row>
    <row r="248" spans="2:2">
      <c r="B248" s="803" t="s">
        <v>428</v>
      </c>
    </row>
    <row r="249" spans="2:2">
      <c r="B249" s="807" t="s">
        <v>466</v>
      </c>
    </row>
    <row r="250" spans="2:2">
      <c r="B250" s="805" t="s">
        <v>465</v>
      </c>
    </row>
    <row r="251" spans="2:2">
      <c r="B251" s="806" t="s">
        <v>269</v>
      </c>
    </row>
    <row r="252" spans="2:2">
      <c r="B252" s="214"/>
    </row>
    <row r="253" spans="2:2">
      <c r="B253" s="803" t="s">
        <v>283</v>
      </c>
    </row>
    <row r="254" spans="2:2">
      <c r="B254" s="807" t="s">
        <v>429</v>
      </c>
    </row>
    <row r="255" spans="2:2">
      <c r="B255" s="805" t="s">
        <v>470</v>
      </c>
    </row>
    <row r="256" spans="2:2">
      <c r="B256" s="805"/>
    </row>
    <row r="257" spans="2:2">
      <c r="B257" s="806"/>
    </row>
    <row r="258" spans="2:2">
      <c r="B258" s="214"/>
    </row>
    <row r="259" spans="2:2">
      <c r="B259" s="803" t="s">
        <v>288</v>
      </c>
    </row>
    <row r="260" spans="2:2">
      <c r="B260" s="807" t="s">
        <v>289</v>
      </c>
    </row>
    <row r="261" spans="2:2">
      <c r="B261" s="805" t="s">
        <v>294</v>
      </c>
    </row>
    <row r="262" spans="2:2">
      <c r="B262" s="805"/>
    </row>
    <row r="263" spans="2:2">
      <c r="B263" s="806"/>
    </row>
    <row r="264" spans="2:2">
      <c r="B264" s="214"/>
    </row>
    <row r="265" spans="2:2">
      <c r="B265" s="803" t="s">
        <v>430</v>
      </c>
    </row>
    <row r="266" spans="2:2">
      <c r="B266" s="807" t="s">
        <v>287</v>
      </c>
    </row>
    <row r="267" spans="2:2">
      <c r="B267" s="805" t="s">
        <v>286</v>
      </c>
    </row>
    <row r="268" spans="2:2">
      <c r="B268" s="806"/>
    </row>
  </sheetData>
  <sheetProtection algorithmName="SHA-512" hashValue="YXnnLKoQqniEhT7FMr5PfWR0R4QIG027qF9rBgd41yIXrSCu466c/x5DFc6XSropLvP/TLQN+WroxOrGuXQc2w==" saltValue="I0LjDxxFZ8+U2XY6kjVBxw==" spinCount="100000" sheet="1" objects="1" scenarios="1"/>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5" priority="21">
      <formula>AND(#REF!="Actuals",#REF!="Forecast")</formula>
    </cfRule>
  </conditionalFormatting>
  <conditionalFormatting sqref="C47">
    <cfRule type="expression" dxfId="94" priority="19">
      <formula>AND(#REF!="Actuals",#REF!="Forecast")</formula>
    </cfRule>
  </conditionalFormatting>
  <conditionalFormatting sqref="C50:J50">
    <cfRule type="expression" dxfId="93" priority="18">
      <formula>AND(#REF!="Actuals",#REF!="Forecast")</formula>
    </cfRule>
  </conditionalFormatting>
  <conditionalFormatting sqref="B14:D30">
    <cfRule type="cellIs" dxfId="92" priority="15" operator="equal">
      <formula>"Forecast"</formula>
    </cfRule>
  </conditionalFormatting>
  <conditionalFormatting sqref="B23:C30 E27:F27">
    <cfRule type="expression" dxfId="91" priority="112">
      <formula>$D13="Forecast"</formula>
    </cfRule>
  </conditionalFormatting>
  <conditionalFormatting sqref="K71">
    <cfRule type="expression" dxfId="90" priority="6">
      <formula>AND(#REF!="Actuals",#REF!="Forecast")</formula>
    </cfRule>
  </conditionalFormatting>
  <conditionalFormatting sqref="K72:T72">
    <cfRule type="expression" dxfId="89" priority="5">
      <formula>AND(#REF!="Actuals",#REF!="Forecast")</formula>
    </cfRule>
  </conditionalFormatting>
  <conditionalFormatting sqref="C62:L62">
    <cfRule type="expression" dxfId="88" priority="4">
      <formula>AND(#REF!="Actuals",#REF!="Forecast")</formula>
    </cfRule>
  </conditionalFormatting>
  <conditionalFormatting sqref="C118:L118">
    <cfRule type="expression" dxfId="87" priority="2">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3"/>
  <sheetViews>
    <sheetView showGridLines="0" zoomScale="80" zoomScaleNormal="80" workbookViewId="0">
      <pane ySplit="3" topLeftCell="A4" activePane="bottomLeft" state="frozen"/>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885" t="s">
        <v>83</v>
      </c>
      <c r="B1" s="885"/>
      <c r="C1" s="885"/>
      <c r="D1" s="885"/>
      <c r="E1" s="885"/>
      <c r="F1" s="885"/>
      <c r="G1" s="885"/>
      <c r="H1" s="885"/>
      <c r="I1" s="32" t="s">
        <v>84</v>
      </c>
      <c r="J1" s="33"/>
      <c r="K1" s="33"/>
      <c r="L1" s="33"/>
      <c r="M1" s="33"/>
    </row>
    <row r="2" spans="1:14" s="31" customFormat="1" ht="20.25">
      <c r="A2" s="885" t="str">
        <f>'RFPR cover'!C5</f>
        <v>NPgY</v>
      </c>
      <c r="B2" s="885"/>
      <c r="C2" s="885"/>
      <c r="D2" s="885"/>
      <c r="E2" s="885"/>
      <c r="F2" s="885"/>
      <c r="G2" s="885"/>
      <c r="H2" s="885"/>
      <c r="I2" s="33"/>
      <c r="J2" s="33"/>
      <c r="K2" s="33"/>
      <c r="L2" s="33"/>
      <c r="M2" s="33"/>
      <c r="N2" s="360"/>
    </row>
    <row r="3" spans="1:14" s="31" customFormat="1" ht="20.25">
      <c r="A3" s="885">
        <f>'RFPR cover'!C7</f>
        <v>2022</v>
      </c>
      <c r="B3" s="885"/>
      <c r="C3" s="885"/>
      <c r="D3" s="885"/>
      <c r="E3" s="885"/>
      <c r="F3" s="885"/>
      <c r="G3" s="885"/>
      <c r="H3" s="885"/>
      <c r="I3" s="33"/>
      <c r="J3" s="33"/>
      <c r="K3" s="33"/>
      <c r="L3" s="33"/>
      <c r="M3" s="33"/>
      <c r="N3" s="360"/>
    </row>
    <row r="4" spans="1:14">
      <c r="A4" s="24"/>
      <c r="B4" s="24"/>
      <c r="C4" s="24"/>
      <c r="D4" s="24"/>
      <c r="E4" s="24"/>
      <c r="F4" s="24"/>
      <c r="G4" s="24"/>
      <c r="H4" s="24"/>
      <c r="I4" s="541"/>
      <c r="J4" s="541"/>
      <c r="K4" s="541"/>
      <c r="L4" s="541"/>
      <c r="M4" s="541"/>
      <c r="N4" s="42"/>
    </row>
    <row r="5" spans="1:14">
      <c r="A5" s="24"/>
      <c r="B5" s="24"/>
      <c r="C5" s="24"/>
      <c r="D5" s="24"/>
      <c r="E5" s="24"/>
      <c r="F5" s="24"/>
      <c r="G5" s="24"/>
      <c r="H5" s="24"/>
      <c r="I5" s="541"/>
      <c r="J5" s="541"/>
      <c r="K5" s="541"/>
      <c r="L5" s="541"/>
      <c r="M5" s="541"/>
      <c r="N5" s="42"/>
    </row>
    <row r="6" spans="1:14">
      <c r="A6" s="24"/>
      <c r="B6" s="25" t="s">
        <v>85</v>
      </c>
      <c r="C6" s="24"/>
      <c r="D6" s="24"/>
      <c r="E6" s="24"/>
      <c r="F6" s="24"/>
      <c r="G6" s="24"/>
      <c r="H6" s="24"/>
      <c r="I6" s="541"/>
      <c r="J6" s="541"/>
      <c r="K6" s="541"/>
      <c r="L6" s="541"/>
      <c r="M6" s="541"/>
      <c r="N6" s="42"/>
    </row>
    <row r="7" spans="1:14">
      <c r="A7" s="24"/>
      <c r="B7" s="24"/>
      <c r="C7" s="24"/>
      <c r="D7" s="24"/>
      <c r="E7" s="24"/>
      <c r="F7" s="24"/>
      <c r="G7" s="24"/>
      <c r="H7" s="24"/>
      <c r="I7" s="541"/>
      <c r="J7" s="541"/>
      <c r="K7" s="541"/>
      <c r="L7" s="541"/>
      <c r="M7" s="541"/>
      <c r="N7" s="42"/>
    </row>
    <row r="8" spans="1:14">
      <c r="A8" s="24"/>
      <c r="B8" s="47" t="s">
        <v>86</v>
      </c>
      <c r="C8" s="47" t="s">
        <v>87</v>
      </c>
      <c r="D8" s="979" t="s">
        <v>88</v>
      </c>
      <c r="E8" s="980"/>
      <c r="F8" s="980"/>
      <c r="G8" s="980"/>
      <c r="H8" s="980"/>
      <c r="I8" s="541"/>
      <c r="J8" s="541"/>
      <c r="K8" s="541"/>
      <c r="L8" s="541"/>
      <c r="M8" s="541"/>
      <c r="N8" s="42"/>
    </row>
    <row r="9" spans="1:14">
      <c r="A9" s="24"/>
      <c r="B9" s="26" t="s">
        <v>89</v>
      </c>
      <c r="C9" s="46">
        <v>44771</v>
      </c>
      <c r="D9" s="977"/>
      <c r="E9" s="978"/>
      <c r="F9" s="978"/>
      <c r="G9" s="978"/>
      <c r="H9" s="978"/>
      <c r="I9" s="24"/>
      <c r="J9" s="24"/>
      <c r="K9" s="24"/>
      <c r="L9" s="24"/>
      <c r="M9" s="24"/>
    </row>
    <row r="10" spans="1:14">
      <c r="A10" s="24"/>
      <c r="B10" s="26" t="s">
        <v>90</v>
      </c>
      <c r="C10" s="46"/>
      <c r="D10" s="977"/>
      <c r="E10" s="978"/>
      <c r="F10" s="978"/>
      <c r="G10" s="978"/>
      <c r="H10" s="978"/>
      <c r="I10" s="24"/>
      <c r="J10" s="24"/>
      <c r="K10" s="24"/>
      <c r="L10" s="24"/>
      <c r="M10" s="24"/>
    </row>
    <row r="11" spans="1:14">
      <c r="A11" s="24"/>
      <c r="B11" s="26" t="s">
        <v>91</v>
      </c>
      <c r="C11" s="46"/>
      <c r="D11" s="977"/>
      <c r="E11" s="978"/>
      <c r="F11" s="978"/>
      <c r="G11" s="978"/>
      <c r="H11" s="978"/>
      <c r="I11" s="24"/>
      <c r="J11" s="24"/>
      <c r="K11" s="24"/>
      <c r="L11" s="24"/>
      <c r="M11" s="24"/>
    </row>
    <row r="12" spans="1:14">
      <c r="A12" s="24"/>
      <c r="B12" s="26" t="s">
        <v>92</v>
      </c>
      <c r="C12" s="46"/>
      <c r="D12" s="977"/>
      <c r="E12" s="978"/>
      <c r="F12" s="978"/>
      <c r="G12" s="978"/>
      <c r="H12" s="978"/>
      <c r="I12" s="24"/>
      <c r="J12" s="24"/>
      <c r="K12" s="24"/>
      <c r="L12" s="24"/>
      <c r="M12" s="24"/>
    </row>
    <row r="13" spans="1:14">
      <c r="A13" s="24"/>
      <c r="B13" s="26" t="s">
        <v>93</v>
      </c>
      <c r="C13" s="46"/>
      <c r="D13" s="977"/>
      <c r="E13" s="978"/>
      <c r="F13" s="978"/>
      <c r="G13" s="978"/>
      <c r="H13" s="978"/>
      <c r="I13" s="24"/>
      <c r="J13" s="24"/>
      <c r="K13" s="24"/>
      <c r="L13" s="24"/>
      <c r="M13" s="24"/>
    </row>
    <row r="14" spans="1:14">
      <c r="A14" s="24"/>
      <c r="B14" s="26" t="s">
        <v>94</v>
      </c>
      <c r="C14" s="46"/>
      <c r="D14" s="977"/>
      <c r="E14" s="978"/>
      <c r="F14" s="978"/>
      <c r="G14" s="978"/>
      <c r="H14" s="978"/>
      <c r="I14" s="24"/>
      <c r="J14" s="24"/>
      <c r="K14" s="24"/>
      <c r="L14" s="24"/>
      <c r="M14" s="24"/>
    </row>
    <row r="15" spans="1:14">
      <c r="A15" s="24"/>
      <c r="B15" s="26" t="s">
        <v>95</v>
      </c>
      <c r="C15" s="46"/>
      <c r="D15" s="977"/>
      <c r="E15" s="978"/>
      <c r="F15" s="978"/>
      <c r="G15" s="978"/>
      <c r="H15" s="978"/>
      <c r="I15" s="24"/>
      <c r="J15" s="24"/>
      <c r="K15" s="24"/>
      <c r="L15" s="24"/>
      <c r="M15" s="24"/>
    </row>
    <row r="16" spans="1:14">
      <c r="A16" s="24"/>
      <c r="B16" s="26" t="s">
        <v>96</v>
      </c>
      <c r="C16" s="46"/>
      <c r="D16" s="977"/>
      <c r="E16" s="978"/>
      <c r="F16" s="978"/>
      <c r="G16" s="978"/>
      <c r="H16" s="978"/>
      <c r="I16" s="24"/>
      <c r="J16" s="24"/>
      <c r="K16" s="24"/>
      <c r="L16" s="24"/>
      <c r="M16" s="24"/>
    </row>
    <row r="17" spans="1:13">
      <c r="A17" s="24"/>
      <c r="B17" s="26" t="s">
        <v>97</v>
      </c>
      <c r="C17" s="46"/>
      <c r="D17" s="977"/>
      <c r="E17" s="978"/>
      <c r="F17" s="978"/>
      <c r="G17" s="978"/>
      <c r="H17" s="978"/>
      <c r="I17" s="24"/>
      <c r="J17" s="24"/>
      <c r="K17" s="24"/>
      <c r="L17" s="24"/>
      <c r="M17" s="24"/>
    </row>
    <row r="18" spans="1:13">
      <c r="A18" s="24"/>
      <c r="B18" s="26" t="s">
        <v>98</v>
      </c>
      <c r="C18" s="46"/>
      <c r="D18" s="977"/>
      <c r="E18" s="978"/>
      <c r="F18" s="978"/>
      <c r="G18" s="978"/>
      <c r="H18" s="978"/>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algorithmName="SHA-512" hashValue="zM37efXPtMCvuAefW5eR6k3PfsxlD8z6+9fLYnz44J4qYYMi5IJEUj7pQR+5jfIF+sB3XJ3dgFp5nwP2kXsIHQ==" saltValue="75yDu/1D3jVODPOHYa0zaw=="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34" activePane="bottomLeft" state="frozen"/>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90" t="s">
        <v>238</v>
      </c>
      <c r="B1" s="899"/>
      <c r="C1" s="900"/>
      <c r="D1" s="900"/>
      <c r="E1" s="900"/>
      <c r="F1" s="900"/>
      <c r="G1" s="257"/>
      <c r="H1" s="257"/>
      <c r="I1" s="258"/>
      <c r="J1" s="258"/>
      <c r="K1" s="259"/>
      <c r="L1" s="259"/>
      <c r="M1" s="259"/>
      <c r="N1" s="259"/>
      <c r="O1" s="361" t="s">
        <v>84</v>
      </c>
    </row>
    <row r="2" spans="1:16" s="31" customFormat="1" ht="20.25">
      <c r="A2" s="893" t="str">
        <f>'RFPR cover'!C5</f>
        <v>NPgY</v>
      </c>
      <c r="B2" s="901"/>
      <c r="C2" s="885"/>
      <c r="D2" s="885"/>
      <c r="E2" s="885"/>
      <c r="F2" s="885"/>
      <c r="G2" s="29"/>
      <c r="H2" s="29"/>
      <c r="I2" s="27"/>
      <c r="J2" s="27"/>
      <c r="K2" s="27"/>
      <c r="L2" s="27"/>
      <c r="M2" s="27"/>
      <c r="N2" s="27"/>
      <c r="O2" s="124"/>
    </row>
    <row r="3" spans="1:16" s="31" customFormat="1" ht="23.25">
      <c r="A3" s="896">
        <f>'RFPR cover'!C7</f>
        <v>2022</v>
      </c>
      <c r="B3" s="902" t="str">
        <f>IF('RFPR cover'!C5=Data!B98,"Not required to be completed for System Operator",(IF('RFPR cover'!C5=Data!B96,"Not required to be completed for System Operator","")))</f>
        <v/>
      </c>
      <c r="C3" s="903"/>
      <c r="D3" s="903"/>
      <c r="E3" s="903"/>
      <c r="F3" s="903"/>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2022</v>
      </c>
      <c r="N6" s="195" t="s">
        <v>109</v>
      </c>
    </row>
    <row r="7" spans="1:16">
      <c r="C7" s="173"/>
      <c r="D7" s="173"/>
      <c r="E7" s="173"/>
      <c r="F7" s="173"/>
      <c r="G7" s="173"/>
      <c r="H7" s="173"/>
      <c r="I7" s="173"/>
      <c r="J7" s="173"/>
      <c r="K7" s="173"/>
      <c r="L7" s="173"/>
      <c r="M7" s="173"/>
      <c r="N7" s="173"/>
      <c r="O7" s="173"/>
    </row>
    <row r="8" spans="1:16">
      <c r="B8" s="524" t="s">
        <v>108</v>
      </c>
      <c r="C8" s="418"/>
      <c r="D8" s="418"/>
      <c r="E8" s="418"/>
      <c r="F8" s="418"/>
      <c r="G8" s="418"/>
      <c r="H8" s="418"/>
      <c r="I8" s="418"/>
      <c r="J8" s="418"/>
      <c r="K8" s="418"/>
      <c r="L8" s="525"/>
      <c r="M8" s="218"/>
      <c r="N8" s="218"/>
      <c r="O8" s="218"/>
    </row>
    <row r="9" spans="1:16">
      <c r="B9" s="198"/>
      <c r="D9" s="42"/>
      <c r="E9" s="42"/>
      <c r="F9" s="42"/>
      <c r="G9" s="42"/>
      <c r="H9" s="42"/>
      <c r="I9" s="42"/>
      <c r="J9" s="42"/>
      <c r="K9" s="42"/>
      <c r="L9" s="49"/>
    </row>
    <row r="10" spans="1:16">
      <c r="B10" s="253" t="s">
        <v>214</v>
      </c>
      <c r="C10" s="255" t="s">
        <v>7</v>
      </c>
      <c r="D10" s="500">
        <f t="shared" ref="D10:K19" si="1">D48/D$65</f>
        <v>0.06</v>
      </c>
      <c r="E10" s="502">
        <f t="shared" si="1"/>
        <v>0.06</v>
      </c>
      <c r="F10" s="502">
        <f t="shared" si="1"/>
        <v>0.06</v>
      </c>
      <c r="G10" s="502">
        <f t="shared" si="1"/>
        <v>0.06</v>
      </c>
      <c r="H10" s="502">
        <f t="shared" si="1"/>
        <v>0.06</v>
      </c>
      <c r="I10" s="502">
        <f t="shared" si="1"/>
        <v>0.06</v>
      </c>
      <c r="J10" s="502">
        <f t="shared" si="1"/>
        <v>5.9999999999999991E-2</v>
      </c>
      <c r="K10" s="501">
        <f t="shared" si="1"/>
        <v>6.0000000000000005E-2</v>
      </c>
      <c r="L10" s="174"/>
      <c r="M10" s="501">
        <f>AVERAGE(D48:INDEX(D48:K48,0,MATCH('RFPR cover'!$C$7,$D$6:$K$6,0)))/AVERAGE($D$65:INDEX($D$65:$K$65,0,MATCH('RFPR cover'!$C$7,$D$6:$K$6,0)))</f>
        <v>6.0000000000000005E-2</v>
      </c>
      <c r="N10" s="501">
        <f>AVERAGE(D48:K48)/AVERAGE($D$65:$K$65)</f>
        <v>6.0000000000000005E-2</v>
      </c>
    </row>
    <row r="11" spans="1:16">
      <c r="B11" s="253" t="str">
        <f t="shared" ref="B11:B18" si="2">B49</f>
        <v>Totex outperformance</v>
      </c>
      <c r="C11" s="255" t="s">
        <v>7</v>
      </c>
      <c r="D11" s="176">
        <f t="shared" si="1"/>
        <v>-1.404403265034304E-2</v>
      </c>
      <c r="E11" s="177">
        <f t="shared" si="1"/>
        <v>-4.8063009047575964E-3</v>
      </c>
      <c r="F11" s="177">
        <f t="shared" si="1"/>
        <v>-1.6299223049220273E-3</v>
      </c>
      <c r="G11" s="177">
        <f t="shared" si="1"/>
        <v>5.2242402286486883E-3</v>
      </c>
      <c r="H11" s="177">
        <f t="shared" si="1"/>
        <v>-3.3832178225470925E-3</v>
      </c>
      <c r="I11" s="177">
        <f t="shared" si="1"/>
        <v>4.314393779411009E-2</v>
      </c>
      <c r="J11" s="177">
        <f t="shared" si="1"/>
        <v>-1.7287145628729347E-2</v>
      </c>
      <c r="K11" s="178">
        <f t="shared" si="1"/>
        <v>-1.4753015040197446E-2</v>
      </c>
      <c r="L11" s="174"/>
      <c r="M11" s="178">
        <f>AVERAGE(D49:INDEX(D49:K49,0,MATCH('RFPR cover'!$C$7,$D$6:$K$6,0)))/AVERAGE($D$65:INDEX($D$65:$K$65,0,MATCH('RFPR cover'!$C$7,$D$6:$K$6,0)))</f>
        <v>1.1880026870422907E-3</v>
      </c>
      <c r="N11" s="178">
        <f t="shared" ref="N11:N19" si="3">AVERAGE(D49:K49)/AVERAGE($D$65:$K$65)</f>
        <v>-9.0590318804308415E-4</v>
      </c>
      <c r="P11" s="174"/>
    </row>
    <row r="12" spans="1:16">
      <c r="B12" s="253" t="str">
        <f t="shared" si="2"/>
        <v>IQI Reward</v>
      </c>
      <c r="C12" s="255" t="s">
        <v>7</v>
      </c>
      <c r="D12" s="176">
        <f t="shared" si="1"/>
        <v>-1.6732220855456136E-3</v>
      </c>
      <c r="E12" s="177">
        <f t="shared" si="1"/>
        <v>-1.5360859547903789E-3</v>
      </c>
      <c r="F12" s="177">
        <f t="shared" si="1"/>
        <v>-1.4800030159965332E-3</v>
      </c>
      <c r="G12" s="177">
        <f t="shared" si="1"/>
        <v>-1.4657087583052906E-3</v>
      </c>
      <c r="H12" s="177">
        <f t="shared" si="1"/>
        <v>-1.3607023408768106E-3</v>
      </c>
      <c r="I12" s="177">
        <f t="shared" si="1"/>
        <v>-1.2756178961004364E-3</v>
      </c>
      <c r="J12" s="177">
        <f t="shared" si="1"/>
        <v>-1.1632500691220657E-3</v>
      </c>
      <c r="K12" s="178">
        <f t="shared" si="1"/>
        <v>-1.161919960908197E-3</v>
      </c>
      <c r="L12" s="174"/>
      <c r="M12" s="178">
        <f>AVERAGE(D50:INDEX(D50:K50,0,MATCH('RFPR cover'!$C$7,$D$6:$K$6,0)))/AVERAGE($D$65:INDEX($D$65:$K$65,0,MATCH('RFPR cover'!$C$7,$D$6:$K$6,0)))</f>
        <v>-1.4179583990143599E-3</v>
      </c>
      <c r="N12" s="178">
        <f t="shared" si="3"/>
        <v>-1.3843268957457783E-3</v>
      </c>
    </row>
    <row r="13" spans="1:16">
      <c r="B13" s="253" t="str">
        <f t="shared" si="2"/>
        <v>Broad measure of customer service</v>
      </c>
      <c r="C13" s="255" t="s">
        <v>7</v>
      </c>
      <c r="D13" s="176">
        <f t="shared" si="1"/>
        <v>2.3391094035203671E-3</v>
      </c>
      <c r="E13" s="177">
        <f t="shared" si="1"/>
        <v>3.7477565731209093E-3</v>
      </c>
      <c r="F13" s="177">
        <f t="shared" si="1"/>
        <v>3.8909524110464313E-3</v>
      </c>
      <c r="G13" s="177">
        <f t="shared" si="1"/>
        <v>4.0683357809076911E-3</v>
      </c>
      <c r="H13" s="177">
        <f t="shared" si="1"/>
        <v>4.9339926344057093E-3</v>
      </c>
      <c r="I13" s="177">
        <f t="shared" si="1"/>
        <v>4.6723137754696529E-3</v>
      </c>
      <c r="J13" s="177">
        <f t="shared" si="1"/>
        <v>1.2556927638305243E-3</v>
      </c>
      <c r="K13" s="178">
        <f t="shared" si="1"/>
        <v>5.7457789033200559E-3</v>
      </c>
      <c r="L13" s="174"/>
      <c r="M13" s="178">
        <f>AVERAGE(D51:INDEX(D51:K51,0,MATCH('RFPR cover'!$C$7,$D$6:$K$6,0)))/AVERAGE($D$65:INDEX($D$65:$K$65,0,MATCH('RFPR cover'!$C$7,$D$6:$K$6,0)))</f>
        <v>3.5576568194202363E-3</v>
      </c>
      <c r="N13" s="178">
        <f t="shared" si="3"/>
        <v>3.84507395710102E-3</v>
      </c>
    </row>
    <row r="14" spans="1:16">
      <c r="B14" s="253" t="str">
        <f t="shared" si="2"/>
        <v>Interruptions-related quality of service</v>
      </c>
      <c r="C14" s="255" t="s">
        <v>7</v>
      </c>
      <c r="D14" s="176">
        <f t="shared" si="1"/>
        <v>2.0475312186249175E-2</v>
      </c>
      <c r="E14" s="177">
        <f t="shared" si="1"/>
        <v>2.0732099254015156E-2</v>
      </c>
      <c r="F14" s="177">
        <f t="shared" si="1"/>
        <v>2.0422143426760554E-2</v>
      </c>
      <c r="G14" s="177">
        <f t="shared" si="1"/>
        <v>2.0243649383981762E-2</v>
      </c>
      <c r="H14" s="177">
        <f t="shared" si="1"/>
        <v>1.7121772256622727E-2</v>
      </c>
      <c r="I14" s="177">
        <f t="shared" si="1"/>
        <v>1.6565671510028804E-2</v>
      </c>
      <c r="J14" s="177">
        <f t="shared" si="1"/>
        <v>1.0968422377261368E-2</v>
      </c>
      <c r="K14" s="178">
        <f t="shared" si="1"/>
        <v>1.3851053687569613E-2</v>
      </c>
      <c r="L14" s="174"/>
      <c r="M14" s="178">
        <f>AVERAGE(D52:INDEX(D52:K52,0,MATCH('RFPR cover'!$C$7,$D$6:$K$6,0)))/AVERAGE($D$65:INDEX($D$65:$K$65,0,MATCH('RFPR cover'!$C$7,$D$6:$K$6,0)))</f>
        <v>1.7999660165805381E-2</v>
      </c>
      <c r="N14" s="178">
        <f t="shared" si="3"/>
        <v>1.7454726860615506E-2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1.0886280630999835E-3</v>
      </c>
      <c r="E16" s="177">
        <f t="shared" si="1"/>
        <v>9.2142663351178463E-4</v>
      </c>
      <c r="F16" s="177">
        <f t="shared" si="1"/>
        <v>9.5546817841122146E-5</v>
      </c>
      <c r="G16" s="177">
        <f t="shared" si="1"/>
        <v>5.2977831690571885E-4</v>
      </c>
      <c r="H16" s="177">
        <f t="shared" si="1"/>
        <v>1.4933321766776248E-4</v>
      </c>
      <c r="I16" s="177">
        <f t="shared" si="1"/>
        <v>0</v>
      </c>
      <c r="J16" s="177">
        <f t="shared" si="1"/>
        <v>0</v>
      </c>
      <c r="K16" s="178">
        <f t="shared" si="1"/>
        <v>1.404436014780518E-3</v>
      </c>
      <c r="L16" s="174"/>
      <c r="M16" s="178">
        <f>AVERAGE(D54:INDEX(D54:K54,0,MATCH('RFPR cover'!$C$7,$D$6:$K$6,0)))/AVERAGE($D$65:INDEX($D$65:$K$65,0,MATCH('RFPR cover'!$C$7,$D$6:$K$6,0)))</f>
        <v>3.8827573302201298E-4</v>
      </c>
      <c r="N16" s="178">
        <f t="shared" si="3"/>
        <v>5.2175177704940853E-4</v>
      </c>
    </row>
    <row r="17" spans="2:16">
      <c r="B17" s="253" t="str">
        <f t="shared" si="2"/>
        <v>Losses discretionary reward scheme</v>
      </c>
      <c r="C17" s="255" t="s">
        <v>7</v>
      </c>
      <c r="D17" s="176">
        <f t="shared" si="1"/>
        <v>0</v>
      </c>
      <c r="E17" s="177">
        <f t="shared" si="1"/>
        <v>2.687494347742705E-4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3.7491650445132953E-5</v>
      </c>
      <c r="N17" s="178">
        <f t="shared" si="3"/>
        <v>3.2566997046149222E-5</v>
      </c>
    </row>
    <row r="18" spans="2:16">
      <c r="B18" s="253" t="str">
        <f t="shared" si="2"/>
        <v xml:space="preserve">Network Innovation </v>
      </c>
      <c r="C18" s="255" t="s">
        <v>7</v>
      </c>
      <c r="D18" s="176">
        <f t="shared" si="1"/>
        <v>-1.4942220518113417E-4</v>
      </c>
      <c r="E18" s="177">
        <f t="shared" si="1"/>
        <v>-1.369880163206817E-4</v>
      </c>
      <c r="F18" s="177">
        <f t="shared" si="1"/>
        <v>-3.8907155972293592E-4</v>
      </c>
      <c r="G18" s="177">
        <f t="shared" si="1"/>
        <v>-3.8616655146943312E-4</v>
      </c>
      <c r="H18" s="177">
        <f t="shared" si="1"/>
        <v>-3.5944903609043903E-4</v>
      </c>
      <c r="I18" s="177">
        <f t="shared" si="1"/>
        <v>-3.7049744853086866E-4</v>
      </c>
      <c r="J18" s="177">
        <f t="shared" si="1"/>
        <v>-1.3568497209765737E-4</v>
      </c>
      <c r="K18" s="178">
        <f t="shared" si="1"/>
        <v>-3.4106307262388283E-4</v>
      </c>
      <c r="L18" s="174"/>
      <c r="M18" s="178">
        <f>AVERAGE(D56:INDEX(D56:K56,0,MATCH('RFPR cover'!$C$7,$D$6:$K$6,0)))/AVERAGE($D$65:INDEX($D$65:$K$65,0,MATCH('RFPR cover'!$C$7,$D$6:$K$6,0)))</f>
        <v>-2.760153378108636E-4</v>
      </c>
      <c r="N18" s="178">
        <f t="shared" si="3"/>
        <v>-2.8455957484870551E-4</v>
      </c>
    </row>
    <row r="19" spans="2:16">
      <c r="B19" s="253" t="str">
        <f>B57</f>
        <v>Penalties and fines</v>
      </c>
      <c r="C19" s="255" t="s">
        <v>7</v>
      </c>
      <c r="D19" s="186">
        <f t="shared" si="1"/>
        <v>-2.8567999928562327E-4</v>
      </c>
      <c r="E19" s="187">
        <f t="shared" si="1"/>
        <v>-2.2724595793770233E-4</v>
      </c>
      <c r="F19" s="187">
        <f t="shared" si="1"/>
        <v>-2.3422169391846873E-4</v>
      </c>
      <c r="G19" s="187">
        <f t="shared" si="1"/>
        <v>-3.2294002174791388E-4</v>
      </c>
      <c r="H19" s="187">
        <f t="shared" si="1"/>
        <v>-3.5044273260330779E-4</v>
      </c>
      <c r="I19" s="187">
        <f t="shared" si="1"/>
        <v>-2.6427624920790787E-4</v>
      </c>
      <c r="J19" s="187">
        <f t="shared" si="1"/>
        <v>-2.0183734414542871E-3</v>
      </c>
      <c r="K19" s="188">
        <f t="shared" si="1"/>
        <v>-2.2363422261827625E-4</v>
      </c>
      <c r="L19" s="174"/>
      <c r="M19" s="188">
        <f>AVERAGE(D57:INDEX(D57:K57,0,MATCH('RFPR cover'!$C$7,$D$6:$K$6,0)))/AVERAGE($D$65:INDEX($D$65:$K$65,0,MATCH('RFPR cover'!$C$7,$D$6:$K$6,0)))</f>
        <v>-5.3928036848068591E-4</v>
      </c>
      <c r="N19" s="188">
        <f t="shared" si="3"/>
        <v>-4.9781919388203004E-4</v>
      </c>
    </row>
    <row r="20" spans="2:16">
      <c r="B20" s="254" t="str">
        <f>B58</f>
        <v>RoRE - Operational performance</v>
      </c>
      <c r="C20" s="255" t="s">
        <v>7</v>
      </c>
      <c r="D20" s="189">
        <f t="shared" ref="D20:K20" si="4">SUM(D10:D19)</f>
        <v>6.7750692712514105E-2</v>
      </c>
      <c r="E20" s="190">
        <f t="shared" si="4"/>
        <v>7.8963411061615765E-2</v>
      </c>
      <c r="F20" s="190">
        <f t="shared" si="4"/>
        <v>8.0675424081088132E-2</v>
      </c>
      <c r="G20" s="190">
        <f t="shared" si="4"/>
        <v>8.7891188378921223E-2</v>
      </c>
      <c r="H20" s="190">
        <f t="shared" si="4"/>
        <v>7.6751286176578545E-2</v>
      </c>
      <c r="I20" s="190">
        <f t="shared" si="4"/>
        <v>0.12247153148576934</v>
      </c>
      <c r="J20" s="190">
        <f t="shared" si="4"/>
        <v>5.1619661029688527E-2</v>
      </c>
      <c r="K20" s="191">
        <f t="shared" si="4"/>
        <v>6.4521636309322394E-2</v>
      </c>
      <c r="L20" s="175"/>
      <c r="M20" s="191">
        <f>SUM(M10:M19)</f>
        <v>8.0937832950429153E-2</v>
      </c>
      <c r="N20" s="191">
        <f>SUM(N10:N19)</f>
        <v>7.8781510739292501E-2</v>
      </c>
    </row>
    <row r="21" spans="2:16">
      <c r="B21" s="253" t="str">
        <f>B59</f>
        <v>Debt performance - at notional gearing</v>
      </c>
      <c r="C21" s="255" t="s">
        <v>7</v>
      </c>
      <c r="D21" s="176">
        <f>(D59)/D$65</f>
        <v>-4.1781444887397746E-2</v>
      </c>
      <c r="E21" s="177">
        <f t="shared" ref="E21:K21" si="5">(E59)/E$65</f>
        <v>-2.4581102633659042E-2</v>
      </c>
      <c r="F21" s="177">
        <f t="shared" si="5"/>
        <v>1.1347424998193992E-3</v>
      </c>
      <c r="G21" s="177">
        <f t="shared" si="5"/>
        <v>-1.2759440802075417E-2</v>
      </c>
      <c r="H21" s="177">
        <f t="shared" si="5"/>
        <v>-1.7361498070496233E-2</v>
      </c>
      <c r="I21" s="177">
        <f t="shared" si="5"/>
        <v>-2.4241144510000718E-2</v>
      </c>
      <c r="J21" s="177">
        <f t="shared" si="5"/>
        <v>6.261842266128119E-2</v>
      </c>
      <c r="K21" s="178">
        <f t="shared" si="5"/>
        <v>0.11566305256344063</v>
      </c>
      <c r="L21" s="174"/>
      <c r="M21" s="178">
        <f>AVERAGE(D59:INDEX(D59:K59,0,MATCH('RFPR cover'!$C$7,$D$6:$K$6,0)))/AVERAGE($D$65:INDEX($D$65:$K$65,0,MATCH('RFPR cover'!$C$7,$D$6:$K$6,0)))</f>
        <v>-7.5715578504969554E-3</v>
      </c>
      <c r="N21" s="178">
        <f>AVERAGE(D59:K59)/AVERAGE($D$65:$K$65)</f>
        <v>8.6157194723720885E-3</v>
      </c>
    </row>
    <row r="22" spans="2:16">
      <c r="B22" s="253" t="str">
        <f>B61</f>
        <v>Tax performance - at notional gearing</v>
      </c>
      <c r="C22" s="255" t="s">
        <v>7</v>
      </c>
      <c r="D22" s="176">
        <f>(D61)/D$65</f>
        <v>2.4528078124457313E-3</v>
      </c>
      <c r="E22" s="177">
        <f t="shared" ref="E22:K22" si="6">(E61)/E$65</f>
        <v>1.5280579900314912E-3</v>
      </c>
      <c r="F22" s="177">
        <f t="shared" si="6"/>
        <v>3.1708978305164393E-3</v>
      </c>
      <c r="G22" s="177">
        <f t="shared" si="6"/>
        <v>2.8640387372956193E-3</v>
      </c>
      <c r="H22" s="177">
        <f t="shared" si="6"/>
        <v>1.6467736697439138E-3</v>
      </c>
      <c r="I22" s="177">
        <f t="shared" si="6"/>
        <v>1.6412022344549037E-3</v>
      </c>
      <c r="J22" s="177">
        <f t="shared" si="6"/>
        <v>-3.5865840705612972E-4</v>
      </c>
      <c r="K22" s="178">
        <f t="shared" si="6"/>
        <v>1.863214850433285E-3</v>
      </c>
      <c r="L22" s="174"/>
      <c r="M22" s="178">
        <f>AVERAGE(D61:INDEX(D61:K61,0,MATCH('RFPR cover'!$C$7,$D$6:$K$6,0)))/AVERAGE($D$65:INDEX($D$65:$K$65,0,MATCH('RFPR cover'!$C$7,$D$6:$K$6,0)))</f>
        <v>1.8304035856211204E-3</v>
      </c>
      <c r="N22" s="178">
        <f>AVERAGE(D61:K61)/AVERAGE($D$65:$K$65)</f>
        <v>1.8347134547483451E-3</v>
      </c>
    </row>
    <row r="23" spans="2:16">
      <c r="B23" s="254" t="str">
        <f>B63</f>
        <v>RoRE - including financing and tax</v>
      </c>
      <c r="C23" s="255" t="s">
        <v>7</v>
      </c>
      <c r="D23" s="192">
        <f>SUM(D20:D22)</f>
        <v>2.8422055637562088E-2</v>
      </c>
      <c r="E23" s="193">
        <f t="shared" ref="E23:K23" si="7">SUM(E20:E22)</f>
        <v>5.5910366417988216E-2</v>
      </c>
      <c r="F23" s="193">
        <f t="shared" si="7"/>
        <v>8.4981064411423973E-2</v>
      </c>
      <c r="G23" s="193">
        <f t="shared" si="7"/>
        <v>7.7995786314141419E-2</v>
      </c>
      <c r="H23" s="193">
        <f t="shared" si="7"/>
        <v>6.1036561775826226E-2</v>
      </c>
      <c r="I23" s="193">
        <f t="shared" si="7"/>
        <v>9.987158921022353E-2</v>
      </c>
      <c r="J23" s="193">
        <f t="shared" si="7"/>
        <v>0.11387942528391358</v>
      </c>
      <c r="K23" s="194">
        <f t="shared" si="7"/>
        <v>0.18204790372319629</v>
      </c>
      <c r="L23" s="175"/>
      <c r="M23" s="194">
        <f>SUM(M20:M22)</f>
        <v>7.5196678685553311E-2</v>
      </c>
      <c r="N23" s="194">
        <f>SUM(N20:N22)</f>
        <v>8.9231943666412947E-2</v>
      </c>
    </row>
    <row r="26" spans="2:16" s="31" customFormat="1">
      <c r="B26" s="464"/>
      <c r="C26" s="360"/>
    </row>
    <row r="27" spans="2:16">
      <c r="B27" s="524" t="s">
        <v>215</v>
      </c>
      <c r="C27" s="418"/>
      <c r="D27" s="218"/>
      <c r="E27" s="218"/>
      <c r="F27" s="218"/>
      <c r="G27" s="218"/>
      <c r="H27" s="218"/>
      <c r="I27" s="218"/>
      <c r="J27" s="218"/>
      <c r="K27" s="218"/>
      <c r="L27" s="525"/>
      <c r="M27" s="218"/>
      <c r="N27" s="218"/>
      <c r="O27" s="218"/>
    </row>
    <row r="28" spans="2:16">
      <c r="B28" s="198"/>
      <c r="L28" s="49"/>
    </row>
    <row r="29" spans="2:16">
      <c r="B29" s="253" t="s">
        <v>214</v>
      </c>
      <c r="C29" s="255" t="s">
        <v>7</v>
      </c>
      <c r="D29" s="176">
        <f t="shared" ref="D29:K38" si="8">D48/D$66</f>
        <v>4.2677794499165082E-2</v>
      </c>
      <c r="E29" s="177">
        <f t="shared" si="8"/>
        <v>4.1909405904548572E-2</v>
      </c>
      <c r="F29" s="177">
        <f t="shared" si="8"/>
        <v>4.0082739455616967E-2</v>
      </c>
      <c r="G29" s="177">
        <f t="shared" si="8"/>
        <v>3.9306246291500653E-2</v>
      </c>
      <c r="H29" s="177">
        <f t="shared" si="8"/>
        <v>3.9718655443797754E-2</v>
      </c>
      <c r="I29" s="177">
        <f t="shared" si="8"/>
        <v>4.091644567547395E-2</v>
      </c>
      <c r="J29" s="177">
        <f t="shared" si="8"/>
        <v>3.9725411959837025E-2</v>
      </c>
      <c r="K29" s="178">
        <f t="shared" si="8"/>
        <v>3.6878873056372788E-2</v>
      </c>
      <c r="L29" s="174"/>
      <c r="M29" s="501">
        <f>AVERAGE(D48:INDEX(D48:K48,0,MATCH('RFPR cover'!$C$7,$D$6:$K$6,0)))/AVERAGE($D$66:INDEX($D$66:$K$66,0,MATCH('RFPR cover'!$C$7,$D$6:$K$6,0)))</f>
        <v>4.0565974111518792E-2</v>
      </c>
      <c r="N29" s="501">
        <f>AVERAGE(D48:K48)/AVERAGE($D$66:$K$66)</f>
        <v>4.0040145567276898E-2</v>
      </c>
      <c r="P29" s="321"/>
    </row>
    <row r="30" spans="2:16">
      <c r="B30" s="253" t="str">
        <f t="shared" ref="B30:B37" si="9">B49</f>
        <v>Totex outperformance</v>
      </c>
      <c r="C30" s="255" t="s">
        <v>7</v>
      </c>
      <c r="D30" s="176">
        <f t="shared" si="8"/>
        <v>-9.9894723231817497E-3</v>
      </c>
      <c r="E30" s="177">
        <f t="shared" si="8"/>
        <v>-3.3571535919480863E-3</v>
      </c>
      <c r="F30" s="177">
        <f t="shared" si="8"/>
        <v>-1.0888625180181381E-3</v>
      </c>
      <c r="G30" s="177">
        <f t="shared" si="8"/>
        <v>3.4224212185538505E-3</v>
      </c>
      <c r="H30" s="177">
        <f t="shared" si="8"/>
        <v>-2.2396143830843945E-3</v>
      </c>
      <c r="I30" s="177">
        <f t="shared" si="8"/>
        <v>2.9421609782978888E-2</v>
      </c>
      <c r="J30" s="177">
        <f t="shared" si="8"/>
        <v>-1.1445649695182821E-2</v>
      </c>
      <c r="K30" s="178">
        <f t="shared" si="8"/>
        <v>-9.067909481103335E-3</v>
      </c>
      <c r="L30" s="174"/>
      <c r="M30" s="178">
        <f>AVERAGE(D49:INDEX(D49:K49,0,MATCH('RFPR cover'!$C$7,$D$6:$K$6,0)))/AVERAGE($D$66:INDEX($D$66:$K$66,0,MATCH('RFPR cover'!$C$7,$D$6:$K$6,0)))</f>
        <v>8.0320810411620537E-4</v>
      </c>
      <c r="N30" s="178">
        <f t="shared" ref="N30:N38" si="10">AVERAGE(D49:K49)/AVERAGE($D$66:$K$66)</f>
        <v>-6.0454159198508833E-4</v>
      </c>
    </row>
    <row r="31" spans="2:16">
      <c r="B31" s="253" t="str">
        <f t="shared" si="9"/>
        <v>IQI Reward</v>
      </c>
      <c r="C31" s="255" t="s">
        <v>7</v>
      </c>
      <c r="D31" s="176">
        <f t="shared" si="8"/>
        <v>-1.1901571386396686E-3</v>
      </c>
      <c r="E31" s="177">
        <f t="shared" si="8"/>
        <v>-1.0729408297264339E-3</v>
      </c>
      <c r="F31" s="177">
        <f t="shared" si="8"/>
        <v>-9.8870958806193915E-4</v>
      </c>
      <c r="G31" s="177">
        <f t="shared" si="8"/>
        <v>-9.6019182409262259E-4</v>
      </c>
      <c r="H31" s="177">
        <f t="shared" si="8"/>
        <v>-9.0075445731425138E-4</v>
      </c>
      <c r="I31" s="177">
        <f t="shared" si="8"/>
        <v>-8.6989583914093152E-4</v>
      </c>
      <c r="J31" s="177">
        <f t="shared" si="8"/>
        <v>-7.7017647013638264E-4</v>
      </c>
      <c r="K31" s="178">
        <f t="shared" si="8"/>
        <v>-7.1417164566665045E-4</v>
      </c>
      <c r="L31" s="174"/>
      <c r="M31" s="178">
        <f>AVERAGE(D50:INDEX(D50:K50,0,MATCH('RFPR cover'!$C$7,$D$6:$K$6,0)))/AVERAGE($D$66:INDEX($D$66:$K$66,0,MATCH('RFPR cover'!$C$7,$D$6:$K$6,0)))</f>
        <v>-9.5868106176045262E-4</v>
      </c>
      <c r="N31" s="178">
        <f t="shared" si="10"/>
        <v>-9.2381084030595856E-4</v>
      </c>
    </row>
    <row r="32" spans="2:16">
      <c r="B32" s="253" t="str">
        <f t="shared" si="9"/>
        <v>Broad measure of customer service</v>
      </c>
      <c r="C32" s="255" t="s">
        <v>7</v>
      </c>
      <c r="D32" s="176">
        <f t="shared" si="8"/>
        <v>1.6638005072417807E-3</v>
      </c>
      <c r="E32" s="177">
        <f t="shared" si="8"/>
        <v>2.6177708575727361E-3</v>
      </c>
      <c r="F32" s="177">
        <f t="shared" si="8"/>
        <v>2.599333862102979E-3</v>
      </c>
      <c r="G32" s="177">
        <f t="shared" si="8"/>
        <v>2.6651834700147062E-3</v>
      </c>
      <c r="H32" s="177">
        <f t="shared" si="8"/>
        <v>3.2661925568032721E-3</v>
      </c>
      <c r="I32" s="177">
        <f t="shared" si="8"/>
        <v>3.1862412128795445E-3</v>
      </c>
      <c r="J32" s="177">
        <f t="shared" si="8"/>
        <v>8.3138187230256543E-4</v>
      </c>
      <c r="K32" s="178">
        <f t="shared" si="8"/>
        <v>3.5316308464254198E-3</v>
      </c>
      <c r="L32" s="174"/>
      <c r="M32" s="178">
        <f>AVERAGE(D51:INDEX(D51:K51,0,MATCH('RFPR cover'!$C$7,$D$6:$K$6,0)))/AVERAGE($D$66:INDEX($D$66:$K$66,0,MATCH('RFPR cover'!$C$7,$D$6:$K$6,0)))</f>
        <v>2.4053302405711596E-3</v>
      </c>
      <c r="N32" s="178">
        <f t="shared" si="10"/>
        <v>2.5659553493211709E-3</v>
      </c>
    </row>
    <row r="33" spans="2:15">
      <c r="B33" s="253" t="str">
        <f t="shared" si="9"/>
        <v>Interruptions-related quality of service</v>
      </c>
      <c r="C33" s="255" t="s">
        <v>7</v>
      </c>
      <c r="D33" s="176">
        <f t="shared" si="8"/>
        <v>1.4564019429849881E-2</v>
      </c>
      <c r="E33" s="177">
        <f t="shared" si="8"/>
        <v>1.4481166048165165E-2</v>
      </c>
      <c r="F33" s="177">
        <f t="shared" si="8"/>
        <v>1.3642924235001399E-2</v>
      </c>
      <c r="G33" s="177">
        <f t="shared" si="8"/>
        <v>1.3261697808759543E-2</v>
      </c>
      <c r="H33" s="177">
        <f t="shared" si="8"/>
        <v>1.1334229547466228E-2</v>
      </c>
      <c r="I33" s="177">
        <f t="shared" si="8"/>
        <v>1.1296806640297336E-2</v>
      </c>
      <c r="J33" s="177">
        <f t="shared" si="8"/>
        <v>7.2620849581033816E-3</v>
      </c>
      <c r="K33" s="178">
        <f t="shared" si="8"/>
        <v>8.5135208440147332E-3</v>
      </c>
      <c r="L33" s="174"/>
      <c r="M33" s="178">
        <f>AVERAGE(D52:INDEX(D52:K52,0,MATCH('RFPR cover'!$C$7,$D$6:$K$6,0)))/AVERAGE($D$66:INDEX($D$66:$K$66,0,MATCH('RFPR cover'!$C$7,$D$6:$K$6,0)))</f>
        <v>1.2169562471703284E-2</v>
      </c>
      <c r="N33" s="178">
        <f t="shared" si="10"/>
        <v>1.1648163405601715E-2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7.7433741271675362E-4</v>
      </c>
      <c r="E35" s="177">
        <f t="shared" si="8"/>
        <v>6.4360737991845166E-4</v>
      </c>
      <c r="F35" s="177">
        <f t="shared" si="8"/>
        <v>6.3829636755649891E-5</v>
      </c>
      <c r="G35" s="177">
        <f t="shared" si="8"/>
        <v>3.470599500698812E-4</v>
      </c>
      <c r="H35" s="177">
        <f t="shared" si="8"/>
        <v>9.8855243647658487E-5</v>
      </c>
      <c r="I35" s="177">
        <f t="shared" si="8"/>
        <v>0</v>
      </c>
      <c r="J35" s="177">
        <f t="shared" si="8"/>
        <v>0</v>
      </c>
      <c r="K35" s="178">
        <f t="shared" si="8"/>
        <v>8.6323362508148032E-4</v>
      </c>
      <c r="L35" s="174"/>
      <c r="M35" s="178">
        <f>AVERAGE(D54:INDEX(D54:K54,0,MATCH('RFPR cover'!$C$7,$D$6:$K$6,0)))/AVERAGE($D$66:INDEX($D$66:$K$66,0,MATCH('RFPR cover'!$C$7,$D$6:$K$6,0)))</f>
        <v>2.6251305556503264E-4</v>
      </c>
      <c r="N35" s="178">
        <f t="shared" si="10"/>
        <v>3.4818361838406196E-4</v>
      </c>
    </row>
    <row r="36" spans="2:15">
      <c r="B36" s="253" t="str">
        <f t="shared" si="9"/>
        <v>Losses discretionary reward scheme</v>
      </c>
      <c r="C36" s="255" t="s">
        <v>7</v>
      </c>
      <c r="D36" s="176">
        <f t="shared" si="8"/>
        <v>0</v>
      </c>
      <c r="E36" s="177">
        <f t="shared" si="8"/>
        <v>1.8771881914288175E-4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2.5348088689256255E-5</v>
      </c>
      <c r="N36" s="178">
        <f t="shared" si="10"/>
        <v>2.1733121706948193E-5</v>
      </c>
    </row>
    <row r="37" spans="2:15">
      <c r="B37" s="253" t="str">
        <f t="shared" si="9"/>
        <v xml:space="preserve">Network Innovation </v>
      </c>
      <c r="C37" s="255" t="s">
        <v>7</v>
      </c>
      <c r="D37" s="176">
        <f t="shared" si="8"/>
        <v>-1.0628350277220874E-4</v>
      </c>
      <c r="E37" s="177">
        <f t="shared" si="8"/>
        <v>-9.5684773000706238E-5</v>
      </c>
      <c r="F37" s="177">
        <f t="shared" si="8"/>
        <v>-2.5991756596608262E-4</v>
      </c>
      <c r="G37" s="177">
        <f t="shared" si="8"/>
        <v>-2.5297929302661672E-4</v>
      </c>
      <c r="H37" s="177">
        <f t="shared" si="8"/>
        <v>-2.379472069013562E-4</v>
      </c>
      <c r="I37" s="177">
        <f t="shared" si="8"/>
        <v>-2.5265731209524992E-4</v>
      </c>
      <c r="J37" s="177">
        <f t="shared" si="8"/>
        <v>-8.9835690222307189E-5</v>
      </c>
      <c r="K37" s="178">
        <f t="shared" si="8"/>
        <v>-2.0963369599187712E-4</v>
      </c>
      <c r="L37" s="174"/>
      <c r="M37" s="178">
        <f>AVERAGE(D56:INDEX(D56:K56,0,MATCH('RFPR cover'!$C$7,$D$6:$K$6,0)))/AVERAGE($D$66:INDEX($D$66:$K$66,0,MATCH('RFPR cover'!$C$7,$D$6:$K$6,0)))</f>
        <v>-1.8661385080029344E-4</v>
      </c>
      <c r="N37" s="178">
        <f t="shared" si="10"/>
        <v>-1.8989677999174326E-4</v>
      </c>
    </row>
    <row r="38" spans="2:15">
      <c r="B38" s="253" t="str">
        <f>B57</f>
        <v>Penalties and fines</v>
      </c>
      <c r="C38" s="255" t="s">
        <v>7</v>
      </c>
      <c r="D38" s="186">
        <f t="shared" si="8"/>
        <v>-2.0320320503389096E-4</v>
      </c>
      <c r="E38" s="187">
        <f t="shared" si="8"/>
        <v>-1.5872905152298564E-4</v>
      </c>
      <c r="F38" s="187">
        <f t="shared" si="8"/>
        <v>-1.5647078553645411E-4</v>
      </c>
      <c r="G38" s="187">
        <f t="shared" si="8"/>
        <v>-2.1155933387010135E-4</v>
      </c>
      <c r="H38" s="187">
        <f t="shared" si="8"/>
        <v>-2.3198523581756218E-4</v>
      </c>
      <c r="I38" s="187">
        <f t="shared" si="8"/>
        <v>-1.8022074656722298E-4</v>
      </c>
      <c r="J38" s="187">
        <f t="shared" si="8"/>
        <v>-1.3363452741760927E-3</v>
      </c>
      <c r="K38" s="188">
        <f t="shared" si="8"/>
        <v>-1.3745630178333369E-4</v>
      </c>
      <c r="L38" s="174"/>
      <c r="M38" s="188">
        <f>AVERAGE(D57:INDEX(D57:K57,0,MATCH('RFPR cover'!$C$7,$D$6:$K$6,0)))/AVERAGE($D$66:INDEX($D$66:$K$66,0,MATCH('RFPR cover'!$C$7,$D$6:$K$6,0)))</f>
        <v>-3.6460722444396361E-4</v>
      </c>
      <c r="N38" s="188">
        <f t="shared" si="10"/>
        <v>-3.3221254982034872E-4</v>
      </c>
    </row>
    <row r="39" spans="2:15">
      <c r="B39" s="254" t="str">
        <f>B58</f>
        <v>RoRE - Operational performance</v>
      </c>
      <c r="C39" s="255" t="s">
        <v>7</v>
      </c>
      <c r="D39" s="189">
        <f t="shared" ref="D39:K39" si="11">SUM(D29:D38)</f>
        <v>4.8190835679345984E-2</v>
      </c>
      <c r="E39" s="190">
        <f t="shared" si="11"/>
        <v>5.5155160763149587E-2</v>
      </c>
      <c r="F39" s="190">
        <f t="shared" si="11"/>
        <v>5.3894866731894385E-2</v>
      </c>
      <c r="G39" s="190">
        <f t="shared" si="11"/>
        <v>5.75778782879093E-2</v>
      </c>
      <c r="H39" s="190">
        <f t="shared" si="11"/>
        <v>5.0807631508597344E-2</v>
      </c>
      <c r="I39" s="190">
        <f t="shared" si="11"/>
        <v>8.3518329413826309E-2</v>
      </c>
      <c r="J39" s="190">
        <f t="shared" si="11"/>
        <v>3.4176871660525368E-2</v>
      </c>
      <c r="K39" s="191">
        <f t="shared" si="11"/>
        <v>3.9658087247349219E-2</v>
      </c>
      <c r="L39" s="175"/>
      <c r="M39" s="191">
        <f>SUM(M29:M38)</f>
        <v>5.4722033935159016E-2</v>
      </c>
      <c r="N39" s="191">
        <f>SUM(N29:N38)</f>
        <v>5.257371930018765E-2</v>
      </c>
    </row>
    <row r="40" spans="2:15">
      <c r="B40" s="253" t="s">
        <v>456</v>
      </c>
      <c r="C40" s="255" t="s">
        <v>7</v>
      </c>
      <c r="D40" s="176">
        <f>(D59+D60)/D$66</f>
        <v>-1.9095860271636074E-2</v>
      </c>
      <c r="E40" s="177">
        <f t="shared" ref="E40:K40" si="12">(E59+E60)/E$66</f>
        <v>-9.1697463908946564E-3</v>
      </c>
      <c r="F40" s="177">
        <f t="shared" si="12"/>
        <v>4.8369198527572167E-3</v>
      </c>
      <c r="G40" s="177">
        <f t="shared" si="12"/>
        <v>-2.0804852006181111E-3</v>
      </c>
      <c r="H40" s="177">
        <f t="shared" si="12"/>
        <v>-4.9289925040623822E-3</v>
      </c>
      <c r="I40" s="177">
        <f t="shared" si="12"/>
        <v>-9.618346541318875E-3</v>
      </c>
      <c r="J40" s="177">
        <f t="shared" si="12"/>
        <v>3.2548883076865931E-2</v>
      </c>
      <c r="K40" s="178">
        <f t="shared" si="12"/>
        <v>4.934898731840525E-2</v>
      </c>
      <c r="L40" s="174"/>
      <c r="M40" s="178">
        <f>(AVERAGE(D59:INDEX(D59:K59,0,MATCH('RFPR cover'!$C$7,$D$6:$K$6,0)))+AVERAGE(D60:INDEX(D60:K60,0,MATCH('RFPR cover'!$C$7,$D$6:$K$6,0))))/AVERAGE($D$66:INDEX($D$66:$K$66,0,MATCH('RFPR cover'!$C$7,$D$6:$K$6,0)))</f>
        <v>-5.2699771797684082E-4</v>
      </c>
      <c r="N40" s="178">
        <f>(AVERAGE(D59:K59)+AVERAGE(D60:K60))/AVERAGE($D$66:$K$66)</f>
        <v>6.5859661558252958E-3</v>
      </c>
    </row>
    <row r="41" spans="2:15">
      <c r="B41" s="253" t="s">
        <v>457</v>
      </c>
      <c r="C41" s="255" t="s">
        <v>7</v>
      </c>
      <c r="D41" s="176">
        <f>(D61+D62)/D$66</f>
        <v>1.7446737960917595E-3</v>
      </c>
      <c r="E41" s="177">
        <f t="shared" ref="E41:K41" si="13">(E61+E62)/E$66</f>
        <v>1.0673333758319734E-3</v>
      </c>
      <c r="F41" s="177">
        <f t="shared" si="13"/>
        <v>2.1183045263495253E-3</v>
      </c>
      <c r="G41" s="177">
        <f t="shared" si="13"/>
        <v>1.8762435332756694E-3</v>
      </c>
      <c r="H41" s="177">
        <f t="shared" si="13"/>
        <v>1.0901272663746151E-3</v>
      </c>
      <c r="I41" s="177">
        <f t="shared" si="13"/>
        <v>1.1192027011423477E-3</v>
      </c>
      <c r="J41" s="177">
        <f t="shared" si="13"/>
        <v>-2.3746421621939455E-4</v>
      </c>
      <c r="K41" s="178">
        <f t="shared" si="13"/>
        <v>1.1452210657646289E-3</v>
      </c>
      <c r="L41" s="174"/>
      <c r="M41" s="178">
        <f>(AVERAGE(D61:INDEX(D61:K61,0,MATCH('RFPR cover'!$C$7,$D$6:$K$6,0)))+AVERAGE(D62:INDEX(D62:K62,0,MATCH('RFPR cover'!$C$7,$D$6:$K$6,0))))/AVERAGE($D$66:INDEX($D$66:$K$66,0,MATCH('RFPR cover'!$C$7,$D$6:$K$6,0)))</f>
        <v>1.2375350744656265E-3</v>
      </c>
      <c r="N41" s="178">
        <f>(AVERAGE(D61:K61)+AVERAGE(D62:K62))/AVERAGE($D$66:$K$66)</f>
        <v>1.2243698967060877E-3</v>
      </c>
    </row>
    <row r="42" spans="2:15">
      <c r="B42" s="254" t="str">
        <f>B63</f>
        <v>RoRE - including financing and tax</v>
      </c>
      <c r="C42" s="255" t="s">
        <v>7</v>
      </c>
      <c r="D42" s="192">
        <f>SUM(D39:D41)</f>
        <v>3.083964920380167E-2</v>
      </c>
      <c r="E42" s="193">
        <f t="shared" ref="E42:K42" si="14">SUM(E39:E41)</f>
        <v>4.7052747748086904E-2</v>
      </c>
      <c r="F42" s="193">
        <f t="shared" si="14"/>
        <v>6.0850091111001127E-2</v>
      </c>
      <c r="G42" s="193">
        <f t="shared" si="14"/>
        <v>5.7373636620566854E-2</v>
      </c>
      <c r="H42" s="193">
        <f t="shared" si="14"/>
        <v>4.6968766270909575E-2</v>
      </c>
      <c r="I42" s="193">
        <f t="shared" si="14"/>
        <v>7.5019185573649783E-2</v>
      </c>
      <c r="J42" s="193">
        <f t="shared" si="14"/>
        <v>6.6488290521171903E-2</v>
      </c>
      <c r="K42" s="194">
        <f t="shared" si="14"/>
        <v>9.0152295631519094E-2</v>
      </c>
      <c r="L42" s="175"/>
      <c r="M42" s="194">
        <f>SUM(M39:M41)</f>
        <v>5.5432571291647803E-2</v>
      </c>
      <c r="N42" s="194">
        <f>SUM(N39:N41)</f>
        <v>6.0384055352719034E-2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18" t="s">
        <v>395</v>
      </c>
      <c r="C45" s="519"/>
      <c r="D45" s="520"/>
      <c r="E45" s="520"/>
      <c r="F45" s="520"/>
      <c r="G45" s="520"/>
      <c r="H45" s="520"/>
      <c r="I45" s="520"/>
      <c r="J45" s="520"/>
      <c r="K45" s="520"/>
      <c r="L45" s="521"/>
      <c r="M45" s="520"/>
      <c r="N45" s="520"/>
      <c r="O45" s="218"/>
    </row>
    <row r="46" spans="2:15" s="31" customFormat="1">
      <c r="B46" s="523" t="str">
        <f>"Input values provided in "&amp;'RFPR cover'!C14&amp;" prices"</f>
        <v>Input values provided in £m 12/13 prices</v>
      </c>
      <c r="C46" s="522"/>
      <c r="D46" s="522"/>
      <c r="E46" s="522"/>
      <c r="F46" s="522"/>
      <c r="G46" s="522"/>
      <c r="H46" s="522"/>
      <c r="I46" s="522"/>
      <c r="J46" s="522"/>
      <c r="K46" s="522"/>
      <c r="L46" s="522"/>
      <c r="M46" s="522"/>
      <c r="N46" s="522"/>
      <c r="O46" s="522"/>
    </row>
    <row r="48" spans="2:15">
      <c r="B48" s="248" t="s">
        <v>227</v>
      </c>
      <c r="C48" s="337" t="str">
        <f>'RFPR cover'!$C$14</f>
        <v>£m 12/13</v>
      </c>
      <c r="D48" s="179">
        <f>'R9 - RAV'!D50</f>
        <v>31.063193714191307</v>
      </c>
      <c r="E48" s="180">
        <f>'R9 - RAV'!E50</f>
        <v>31.646578185898569</v>
      </c>
      <c r="F48" s="180">
        <f>'R9 - RAV'!F50</f>
        <v>31.994158142275047</v>
      </c>
      <c r="G48" s="180">
        <f>'R9 - RAV'!G50</f>
        <v>32.364631493688307</v>
      </c>
      <c r="H48" s="180">
        <f>'R9 - RAV'!H50</f>
        <v>32.820985682907583</v>
      </c>
      <c r="I48" s="180">
        <f>'R9 - RAV'!I50</f>
        <v>33.253190488984799</v>
      </c>
      <c r="J48" s="180">
        <f>'R9 - RAV'!J50</f>
        <v>33.707771646040179</v>
      </c>
      <c r="K48" s="181">
        <f>'R9 - RAV'!K50</f>
        <v>34.303443156524992</v>
      </c>
      <c r="M48" s="96">
        <f>SUM(D48:INDEX(D48:K48,0,MATCH('RFPR cover'!$C$7,$D$6:$K$6,0)))</f>
        <v>226.85050935398581</v>
      </c>
      <c r="N48" s="96">
        <f>SUM(D48:K48)</f>
        <v>261.15395251051081</v>
      </c>
    </row>
    <row r="49" spans="2:14">
      <c r="B49" s="248" t="s">
        <v>102</v>
      </c>
      <c r="C49" s="337" t="str">
        <f>'RFPR cover'!$C$14</f>
        <v>£m 12/13</v>
      </c>
      <c r="D49" s="252">
        <f>'R4 - Totex'!D35+'R4 - Totex'!D63</f>
        <v>-7.27087511243389</v>
      </c>
      <c r="E49" s="252">
        <f>'R4 - Totex'!E35+'R4 - Totex'!E63</f>
        <v>-2.5350496227894386</v>
      </c>
      <c r="F49" s="252">
        <f>'R4 - Totex'!F35+'R4 - Totex'!F63</f>
        <v>-0.86913319972161318</v>
      </c>
      <c r="G49" s="252">
        <f>'R4 - Totex'!G35+'R4 - Totex'!G63</f>
        <v>2.8180101639119455</v>
      </c>
      <c r="H49" s="252">
        <f>'R4 - Totex'!H35+'R4 - Totex'!H63</f>
        <v>-1.8506757285995983</v>
      </c>
      <c r="I49" s="252">
        <f>'R4 - Totex'!I35+'R4 - Totex'!I63</f>
        <v>23.911226365207561</v>
      </c>
      <c r="J49" s="252">
        <f>'R4 - Totex'!J35+'R4 - Totex'!J63</f>
        <v>-9.7118526210841765</v>
      </c>
      <c r="K49" s="252">
        <f>'R4 - Totex'!K35+'R4 - Totex'!K63</f>
        <v>-8.4346535469795221</v>
      </c>
      <c r="M49" s="96">
        <f>SUM(D49:INDEX(D49:K49,0,MATCH('RFPR cover'!$C$7,$D$6:$K$6,0)))</f>
        <v>4.4916502444907902</v>
      </c>
      <c r="N49" s="96">
        <f>SUM(D49:K49)</f>
        <v>-3.9430033024887319</v>
      </c>
    </row>
    <row r="50" spans="2:14">
      <c r="B50" s="250" t="s">
        <v>110</v>
      </c>
      <c r="C50" s="337" t="str">
        <f>'RFPR cover'!$C$14</f>
        <v>£m 12/13</v>
      </c>
      <c r="D50" s="243">
        <f>'R4 - Totex'!D79</f>
        <v>-0.86626036283610952</v>
      </c>
      <c r="E50" s="182">
        <f>'R4 - Totex'!E79</f>
        <v>-0.81019773780890636</v>
      </c>
      <c r="F50" s="182">
        <f>'R4 - Totex'!F79</f>
        <v>-0.78919084241395188</v>
      </c>
      <c r="G50" s="182">
        <f>'R4 - Totex'!G79</f>
        <v>-0.79061873066036981</v>
      </c>
      <c r="H50" s="182">
        <f>'R4 - Totex'!H79</f>
        <v>-0.74432653414361061</v>
      </c>
      <c r="I50" s="182">
        <f>'R4 - Totex'!I79</f>
        <v>-0.70697274816976396</v>
      </c>
      <c r="J50" s="182">
        <f>'R4 - Totex'!J79</f>
        <v>-0.65350946162011747</v>
      </c>
      <c r="K50" s="183">
        <f>'R4 - Totex'!K79</f>
        <v>-0.66429758885743451</v>
      </c>
      <c r="M50" s="96">
        <f>SUM(D50:INDEX(D50:K50,0,MATCH('RFPR cover'!$C$7,$D$6:$K$6,0)))</f>
        <v>-5.3610764176528294</v>
      </c>
      <c r="N50" s="96">
        <f t="shared" ref="N50:N57" si="15">SUM(D50:K50)</f>
        <v>-6.0253740065102637</v>
      </c>
    </row>
    <row r="51" spans="2:14">
      <c r="B51" s="251" t="str">
        <f>'R5 - Output Incentives'!B39</f>
        <v>Broad measure of customer service</v>
      </c>
      <c r="C51" s="337" t="str">
        <f>'RFPR cover'!$C$14</f>
        <v>£m 12/13</v>
      </c>
      <c r="D51" s="243">
        <f>'R5 - Output Incentives'!D39</f>
        <v>1.2110034753373273</v>
      </c>
      <c r="E51" s="182">
        <f>'R5 - Output Incentives'!E39</f>
        <v>1.9767278568831024</v>
      </c>
      <c r="F51" s="182">
        <f>'R5 - Output Incentives'!F39</f>
        <v>2.0747957793847651</v>
      </c>
      <c r="G51" s="182">
        <f>'R5 - Output Incentives'!G39</f>
        <v>2.1945031390277348</v>
      </c>
      <c r="H51" s="182">
        <f>'R5 - Output Incentives'!H39</f>
        <v>2.6989750268900208</v>
      </c>
      <c r="I51" s="182">
        <f>'R5 - Output Incentives'!I39</f>
        <v>2.5894890000000022</v>
      </c>
      <c r="J51" s="182">
        <f>'R5 - Output Incentives'!J39</f>
        <v>0.70544341567973967</v>
      </c>
      <c r="K51" s="183">
        <f>'R5 - Output Incentives'!K39</f>
        <v>3.2850000000000006</v>
      </c>
      <c r="M51" s="96">
        <f>SUM(D51:INDEX(D51:K51,0,MATCH('RFPR cover'!$C$7,$D$6:$K$6,0)))</f>
        <v>13.450937693202693</v>
      </c>
      <c r="N51" s="96">
        <f t="shared" si="15"/>
        <v>16.735937693202693</v>
      </c>
    </row>
    <row r="52" spans="2:14">
      <c r="B52" s="251" t="str">
        <f>'R5 - Output Incentives'!B40</f>
        <v>Interruptions-related quality of service</v>
      </c>
      <c r="C52" s="337" t="str">
        <f>'RFPR cover'!$C$14</f>
        <v>£m 12/13</v>
      </c>
      <c r="D52" s="243">
        <f>'R5 - Output Incentives'!D40</f>
        <v>10.600476480000001</v>
      </c>
      <c r="E52" s="182">
        <f>'R5 - Output Incentives'!E40</f>
        <v>10.935</v>
      </c>
      <c r="F52" s="182">
        <f>'R5 - Output Incentives'!F40</f>
        <v>10.88982144</v>
      </c>
      <c r="G52" s="182">
        <f>'R5 - Output Incentives'!G40</f>
        <v>10.91963754</v>
      </c>
      <c r="H52" s="182">
        <f>'R5 - Output Incentives'!H40</f>
        <v>9.3658907016769799</v>
      </c>
      <c r="I52" s="182">
        <f>'R5 - Output Incentives'!I40</f>
        <v>9.1810238383489384</v>
      </c>
      <c r="J52" s="182">
        <f>'R5 - Output Incentives'!J40</f>
        <v>6.162017946834057</v>
      </c>
      <c r="K52" s="183">
        <f>'R5 - Output Incentives'!K40</f>
        <v>7.9189805471586681</v>
      </c>
      <c r="M52" s="96">
        <f>SUM(D52:INDEX(D52:K52,0,MATCH('RFPR cover'!$C$7,$D$6:$K$6,0)))</f>
        <v>68.053867946859981</v>
      </c>
      <c r="N52" s="96">
        <f t="shared" si="15"/>
        <v>75.972848494018649</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0.56360440677966106</v>
      </c>
      <c r="E54" s="182">
        <f>'R5 - Output Incentives'!E42</f>
        <v>0.48599999999999999</v>
      </c>
      <c r="F54" s="182">
        <f>'R5 - Output Incentives'!F42</f>
        <v>5.0949000000000147E-2</v>
      </c>
      <c r="G54" s="182">
        <f>'R5 - Output Incentives'!G42</f>
        <v>0.28576800000000024</v>
      </c>
      <c r="H54" s="182">
        <f>'R5 - Output Incentives'!H42</f>
        <v>8.1687723317602573E-2</v>
      </c>
      <c r="I54" s="182">
        <f>'R5 - Output Incentives'!I42</f>
        <v>0</v>
      </c>
      <c r="J54" s="182">
        <f>'R5 - Output Incentives'!J42</f>
        <v>0</v>
      </c>
      <c r="K54" s="183">
        <f>'R5 - Output Incentives'!K42</f>
        <v>0.80294984999999985</v>
      </c>
      <c r="M54" s="96">
        <f>SUM(D54:INDEX(D54:K54,0,MATCH('RFPR cover'!$C$7,$D$6:$K$6,0)))</f>
        <v>1.468009130097264</v>
      </c>
      <c r="N54" s="96">
        <f t="shared" si="15"/>
        <v>2.270958980097264</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-7.7358848412386841E-2</v>
      </c>
      <c r="E56" s="182">
        <f>-'R6 - Innovation'!E28</f>
        <v>-7.2253366150393378E-2</v>
      </c>
      <c r="F56" s="182">
        <f>-'R6 - Innovation'!F28</f>
        <v>-0.20746695017395372</v>
      </c>
      <c r="G56" s="182">
        <f>-'R6 - Innovation'!G28</f>
        <v>-0.2083023022249437</v>
      </c>
      <c r="H56" s="182">
        <f>-'R6 - Innovation'!H28</f>
        <v>-0.19662452778765385</v>
      </c>
      <c r="I56" s="182">
        <f>-'R6 - Innovation'!I28</f>
        <v>-0.20533703719466362</v>
      </c>
      <c r="J56" s="182">
        <f>-'R6 - Innovation'!J28</f>
        <v>-7.622730092111947E-2</v>
      </c>
      <c r="K56" s="183">
        <f>-'R6 - Innovation'!K28</f>
        <v>-0.19499396207571865</v>
      </c>
      <c r="M56" s="96">
        <f>SUM(D56:INDEX(D56:K56,0,MATCH('RFPR cover'!$C$7,$D$6:$K$6,0)))</f>
        <v>-1.0435703328651145</v>
      </c>
      <c r="N56" s="96">
        <f t="shared" si="15"/>
        <v>-1.2385642949408331</v>
      </c>
    </row>
    <row r="57" spans="2:14">
      <c r="B57" s="248" t="s">
        <v>35</v>
      </c>
      <c r="C57" s="337" t="str">
        <f>'RFPR cover'!$C$14</f>
        <v>£m 12/13</v>
      </c>
      <c r="D57" s="244">
        <f>-'R13 - Other Activities '!D8</f>
        <v>-0.1479022193013225</v>
      </c>
      <c r="E57" s="244">
        <f>-'R13 - Other Activities '!E8</f>
        <v>-0.11985928292174858</v>
      </c>
      <c r="F57" s="244">
        <f>-'R13 - Other Activities '!F8</f>
        <v>-0.12489543192631718</v>
      </c>
      <c r="G57" s="244">
        <f>-'R13 - Other Activities '!G8</f>
        <v>-0.174197246640582</v>
      </c>
      <c r="H57" s="244">
        <f>-'R13 - Other Activities '!H8</f>
        <v>-0.19169793182420292</v>
      </c>
      <c r="I57" s="244">
        <f>-'R13 - Other Activities '!I8</f>
        <v>-0.14646714094374966</v>
      </c>
      <c r="J57" s="244">
        <f>-'R13 - Other Activities '!J8</f>
        <v>-1.1339145176828893</v>
      </c>
      <c r="K57" s="244">
        <f>-'R13 - Other Activities '!K8</f>
        <v>-0.12785706405732825</v>
      </c>
      <c r="M57" s="96">
        <f>SUM(D57:INDEX(D57:K57,0,MATCH('RFPR cover'!$C$7,$D$6:$K$6,0)))</f>
        <v>-2.0389337712408122</v>
      </c>
      <c r="N57" s="96">
        <f t="shared" si="15"/>
        <v>-2.1667908352981406</v>
      </c>
    </row>
    <row r="58" spans="2:14">
      <c r="B58" s="249" t="s">
        <v>103</v>
      </c>
      <c r="C58" s="337" t="str">
        <f>'RFPR cover'!$C$14</f>
        <v>£m 12/13</v>
      </c>
      <c r="D58" s="245">
        <f t="shared" ref="D58:K58" si="16">SUM(D48:D57)</f>
        <v>35.075881533324583</v>
      </c>
      <c r="E58" s="144">
        <f t="shared" si="16"/>
        <v>41.648696033111186</v>
      </c>
      <c r="F58" s="144">
        <f t="shared" si="16"/>
        <v>43.019037937423981</v>
      </c>
      <c r="G58" s="144">
        <f t="shared" si="16"/>
        <v>47.409432057102087</v>
      </c>
      <c r="H58" s="144">
        <f t="shared" si="16"/>
        <v>41.984214412437119</v>
      </c>
      <c r="I58" s="144">
        <f t="shared" si="16"/>
        <v>67.876152766233119</v>
      </c>
      <c r="J58" s="144">
        <f t="shared" si="16"/>
        <v>28.99972910724567</v>
      </c>
      <c r="K58" s="145">
        <f t="shared" si="16"/>
        <v>36.888571391713647</v>
      </c>
      <c r="M58" s="143">
        <f>SUM(M48:M57)</f>
        <v>306.01314384687777</v>
      </c>
      <c r="N58" s="145">
        <f>SUM(N48:N57)</f>
        <v>342.90171523859146</v>
      </c>
    </row>
    <row r="59" spans="2:14">
      <c r="B59" s="248" t="s">
        <v>440</v>
      </c>
      <c r="C59" s="337" t="str">
        <f>'RFPR cover'!$C$14</f>
        <v>£m 12/13</v>
      </c>
      <c r="D59" s="243">
        <f>'R7 - Financing'!D88+'R10 - Tax'!D101</f>
        <v>-21.631085269934069</v>
      </c>
      <c r="E59" s="243">
        <f>'R7 - Financing'!E88+'R10 - Tax'!E101</f>
        <v>-12.965129773194802</v>
      </c>
      <c r="F59" s="243">
        <f>'R7 - Financing'!F88+'R10 - Tax'!F101</f>
        <v>0.60508551649970621</v>
      </c>
      <c r="G59" s="243">
        <f>'R7 - Financing'!G88+'R10 - Tax'!G101</f>
        <v>-6.8825766604116936</v>
      </c>
      <c r="H59" s="243">
        <f>'R7 - Financing'!H88+'R10 - Tax'!H101</f>
        <v>-9.497024660093075</v>
      </c>
      <c r="I59" s="243">
        <f>'R7 - Financing'!I88+'R10 - Tax'!I101</f>
        <v>-13.434923267701034</v>
      </c>
      <c r="J59" s="243">
        <f>'R7 - Financing'!J88+'R10 - Tax'!J101</f>
        <v>35.178791531694898</v>
      </c>
      <c r="K59" s="243">
        <f>'R7 - Financing'!K88+'R10 - Tax'!K101</f>
        <v>66.127349148669126</v>
      </c>
      <c r="M59" s="96">
        <f>SUM(D59:INDEX(D59:K59,0,MATCH('RFPR cover'!$C$7,$D$6:$K$6,0)))</f>
        <v>-28.626862583140067</v>
      </c>
      <c r="N59" s="96">
        <f>SUM(D59:K59)</f>
        <v>37.500486565529059</v>
      </c>
    </row>
    <row r="60" spans="2:14">
      <c r="B60" s="248" t="s">
        <v>435</v>
      </c>
      <c r="C60" s="337" t="str">
        <f>'RFPR cover'!$C$14</f>
        <v>£m 12/13</v>
      </c>
      <c r="D60" s="243">
        <f>'R7 - Financing'!D90+'R10 - Tax'!D102</f>
        <v>7.7320913383576446</v>
      </c>
      <c r="E60" s="243">
        <f>'R7 - Financing'!E90+'R10 - Tax'!E102</f>
        <v>6.0408823437457118</v>
      </c>
      <c r="F60" s="243">
        <f>'R7 - Financing'!F90+'R10 - Tax'!F102</f>
        <v>3.2557578488091963</v>
      </c>
      <c r="G60" s="243">
        <f>'R7 - Financing'!G90+'R10 - Tax'!G102</f>
        <v>5.1695121172671277</v>
      </c>
      <c r="H60" s="243">
        <f>'R7 - Financing'!H90+'R10 - Tax'!H102</f>
        <v>5.4240168858016613</v>
      </c>
      <c r="I60" s="243">
        <f>'R7 - Financing'!I90+'R10 - Tax'!I102</f>
        <v>5.6180001589750264</v>
      </c>
      <c r="J60" s="243">
        <f>'R7 - Financing'!J90+'R10 - Tax'!J102</f>
        <v>-7.5604418668029734</v>
      </c>
      <c r="K60" s="243">
        <f>'R7 - Financing'!K90+'R10 - Tax'!K102</f>
        <v>-20.224640063135961</v>
      </c>
      <c r="M60" s="96">
        <f>SUM(D60:INDEX(D60:K60,0,MATCH('RFPR cover'!$C$7,$D$6:$K$6,0)))</f>
        <v>25.679818826153394</v>
      </c>
      <c r="N60" s="96">
        <f>SUM(D60:K60)</f>
        <v>5.4551787630174324</v>
      </c>
    </row>
    <row r="61" spans="2:14">
      <c r="B61" s="248" t="s">
        <v>441</v>
      </c>
      <c r="C61" s="337" t="str">
        <f>'RFPR cover'!$C$14</f>
        <v>£m 12/13</v>
      </c>
      <c r="D61" s="243">
        <f>'R10 - Tax'!D94-'R10 - Tax'!D101</f>
        <v>1.2698674036947262</v>
      </c>
      <c r="E61" s="243">
        <f>'R10 - Tax'!E94-'R10 - Tax'!E101</f>
        <v>0.80596344423531008</v>
      </c>
      <c r="F61" s="243">
        <f>'R10 - Tax'!F94-'R10 - Tax'!F101</f>
        <v>1.6908367773756636</v>
      </c>
      <c r="G61" s="243">
        <f>'R10 - Tax'!G94-'R10 - Tax'!G101</f>
        <v>1.544892638603685</v>
      </c>
      <c r="H61" s="243">
        <f>'R10 - Tax'!H94-'R10 - Tax'!H101</f>
        <v>0.90081225062756953</v>
      </c>
      <c r="I61" s="243">
        <f>'R10 - Tax'!I94-'R10 - Tax'!I101</f>
        <v>0.9095868422212734</v>
      </c>
      <c r="J61" s="243">
        <f>'R10 - Tax'!J94-'R10 - Tax'!J101</f>
        <v>-0.20149292806634245</v>
      </c>
      <c r="K61" s="243">
        <f>'R10 - Tax'!K94-'R10 - Tax'!K101</f>
        <v>1.0652447451705234</v>
      </c>
      <c r="M61" s="96">
        <f>SUM(D61:INDEX(D61:K61,0,MATCH('RFPR cover'!$C$7,$D$6:$K$6,0)))</f>
        <v>6.9204664286918849</v>
      </c>
      <c r="N61" s="96">
        <f>SUM(D61:K61)</f>
        <v>7.9857111738624083</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0</v>
      </c>
      <c r="I62" s="243">
        <f>'R10 - Tax'!I96-'R10 - Tax'!I102</f>
        <v>4.4408920985006262E-15</v>
      </c>
      <c r="J62" s="243">
        <f>'R10 - Tax'!J96-'R10 - Tax'!J102</f>
        <v>0</v>
      </c>
      <c r="K62" s="243">
        <f>'R10 - Tax'!K96-'R10 - Tax'!K102</f>
        <v>0</v>
      </c>
      <c r="M62" s="96">
        <f>SUM(D62:INDEX(D62:K62,0,MATCH('RFPR cover'!$C$7,$D$6:$K$6,0)))</f>
        <v>4.4408920985006262E-15</v>
      </c>
      <c r="N62" s="96">
        <f>SUM(D62:K62)</f>
        <v>4.4408920985006262E-15</v>
      </c>
    </row>
    <row r="63" spans="2:14">
      <c r="B63" s="249" t="s">
        <v>104</v>
      </c>
      <c r="C63" s="337" t="str">
        <f>'RFPR cover'!$C$14</f>
        <v>£m 12/13</v>
      </c>
      <c r="D63" s="246">
        <f>SUM(D58:D62)</f>
        <v>22.446755005442885</v>
      </c>
      <c r="E63" s="147">
        <f t="shared" ref="E63:K63" si="17">SUM(E58:E62)</f>
        <v>35.530412047897407</v>
      </c>
      <c r="F63" s="147">
        <f t="shared" si="17"/>
        <v>48.570718080108549</v>
      </c>
      <c r="G63" s="147">
        <f t="shared" si="17"/>
        <v>47.241260152561203</v>
      </c>
      <c r="H63" s="147">
        <f t="shared" si="17"/>
        <v>38.812018888773274</v>
      </c>
      <c r="I63" s="147">
        <f t="shared" si="17"/>
        <v>60.968816499728391</v>
      </c>
      <c r="J63" s="147">
        <f t="shared" si="17"/>
        <v>56.41658584407125</v>
      </c>
      <c r="K63" s="148">
        <f t="shared" si="17"/>
        <v>83.856525222417332</v>
      </c>
      <c r="M63" s="146">
        <f>SUM(M58:M62)</f>
        <v>309.986566518583</v>
      </c>
      <c r="N63" s="148">
        <f>SUM(N58:N62)</f>
        <v>393.84309174100036</v>
      </c>
    </row>
    <row r="64" spans="2:14">
      <c r="B64" s="248"/>
      <c r="D64" s="415"/>
    </row>
    <row r="65" spans="2:11">
      <c r="B65" s="248" t="s">
        <v>231</v>
      </c>
      <c r="C65" s="337" t="str">
        <f>'RFPR cover'!$C$14</f>
        <v>£m 12/13</v>
      </c>
      <c r="D65" s="242">
        <f>'R9 - RAV'!D46</f>
        <v>517.71989523652178</v>
      </c>
      <c r="E65" s="180">
        <f>'R9 - RAV'!E46</f>
        <v>527.44296976497617</v>
      </c>
      <c r="F65" s="180">
        <f>'R9 - RAV'!F46</f>
        <v>533.23596903791747</v>
      </c>
      <c r="G65" s="180">
        <f>'R9 - RAV'!G46</f>
        <v>539.41052489480512</v>
      </c>
      <c r="H65" s="180">
        <f>'R9 - RAV'!H46</f>
        <v>547.01642804845972</v>
      </c>
      <c r="I65" s="180">
        <f>'R9 - RAV'!I46</f>
        <v>554.21984148308002</v>
      </c>
      <c r="J65" s="180">
        <f>'R9 - RAV'!J46</f>
        <v>561.79619410066971</v>
      </c>
      <c r="K65" s="181">
        <f>'R9 - RAV'!K46</f>
        <v>571.72405260874984</v>
      </c>
    </row>
    <row r="66" spans="2:11">
      <c r="B66" s="248" t="s">
        <v>107</v>
      </c>
      <c r="C66" s="337" t="str">
        <f>'RFPR cover'!$C$14</f>
        <v>£m 12/13</v>
      </c>
      <c r="D66" s="247">
        <f>'R8 - Net Debt'!D62</f>
        <v>727.85377217182588</v>
      </c>
      <c r="E66" s="184">
        <f>'R8 - Net Debt'!E62</f>
        <v>755.11874966626181</v>
      </c>
      <c r="F66" s="184">
        <f>'R8 - Net Debt'!F62</f>
        <v>798.20288175916005</v>
      </c>
      <c r="G66" s="184">
        <f>'R8 - Net Debt'!G62</f>
        <v>823.39664931796449</v>
      </c>
      <c r="H66" s="184">
        <f>'R8 - Net Debt'!H62</f>
        <v>826.33677590998934</v>
      </c>
      <c r="I66" s="184">
        <f>'R8 - Net Debt'!I62</f>
        <v>812.70965598356838</v>
      </c>
      <c r="J66" s="184">
        <f>'R8 - Net Debt'!J62</f>
        <v>848.51912121438113</v>
      </c>
      <c r="K66" s="185">
        <f>'R8 - Net Debt'!K62</f>
        <v>930.16516811912845</v>
      </c>
    </row>
  </sheetData>
  <sheetProtection algorithmName="SHA-512" hashValue="zF8LqW/fENrMtcaTePfkm9gSslbzI/sxaJX4fFL43HaGB8+ekXC5xoYHKxJp0CUfUjVkTgaqzc0wquI18qhBpw==" saltValue="h5Ipbp4tVWpaVLxga0PR4g==" spinCount="100000" sheet="1" objects="1" scenarios="1"/>
  <conditionalFormatting sqref="D5:K6">
    <cfRule type="expression" dxfId="84"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19" activePane="bottomLeft" state="frozen"/>
      <selection pane="bottomLeft"/>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4" t="s">
        <v>119</v>
      </c>
      <c r="B1" s="905"/>
      <c r="C1" s="276"/>
      <c r="D1" s="275"/>
      <c r="E1" s="275"/>
      <c r="F1" s="275"/>
      <c r="G1" s="275"/>
      <c r="H1" s="275"/>
      <c r="I1" s="275"/>
      <c r="J1" s="275"/>
      <c r="K1" s="275"/>
      <c r="L1" s="277"/>
    </row>
    <row r="2" spans="1:12" s="31" customFormat="1" ht="20.25">
      <c r="A2" s="893" t="str">
        <f>'RFPR cover'!C5</f>
        <v>NPgY</v>
      </c>
      <c r="B2" s="906"/>
      <c r="C2" s="135"/>
      <c r="D2" s="29"/>
      <c r="E2" s="29"/>
      <c r="F2" s="29"/>
      <c r="G2" s="29"/>
      <c r="H2" s="29"/>
      <c r="I2" s="27"/>
      <c r="J2" s="27"/>
      <c r="K2" s="27"/>
      <c r="L2" s="124"/>
    </row>
    <row r="3" spans="1:12" s="31" customFormat="1" ht="20.25">
      <c r="A3" s="896">
        <f>'RFPR cover'!C7</f>
        <v>2022</v>
      </c>
      <c r="B3" s="907"/>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0"/>
      <c r="C7" s="153"/>
      <c r="D7" s="50"/>
      <c r="E7" s="50"/>
      <c r="F7" s="50"/>
      <c r="G7" s="50"/>
      <c r="H7" s="50"/>
      <c r="I7" s="50"/>
      <c r="J7" s="50"/>
      <c r="K7" s="50"/>
      <c r="L7" s="58"/>
    </row>
    <row r="8" spans="1:12" s="2" customFormat="1">
      <c r="B8" s="761" t="s">
        <v>154</v>
      </c>
      <c r="C8" s="151"/>
      <c r="D8" s="81"/>
      <c r="E8" s="81"/>
      <c r="F8" s="81"/>
      <c r="G8" s="81"/>
      <c r="H8" s="81"/>
      <c r="I8" s="81"/>
      <c r="J8" s="81"/>
      <c r="K8" s="81"/>
      <c r="L8" s="273"/>
    </row>
    <row r="9" spans="1:12" s="35" customFormat="1">
      <c r="A9" s="2"/>
      <c r="B9" s="762"/>
      <c r="C9" s="139"/>
      <c r="L9" s="58"/>
    </row>
    <row r="10" spans="1:12" s="2" customFormat="1">
      <c r="B10" s="763" t="s">
        <v>388</v>
      </c>
      <c r="C10" s="152" t="str">
        <f>'RFPR cover'!$C$14</f>
        <v>£m 12/13</v>
      </c>
      <c r="D10" s="588">
        <v>323.60000000000002</v>
      </c>
      <c r="E10" s="589">
        <v>322</v>
      </c>
      <c r="F10" s="589">
        <v>322</v>
      </c>
      <c r="G10" s="589">
        <v>322</v>
      </c>
      <c r="H10" s="589">
        <v>322</v>
      </c>
      <c r="I10" s="589">
        <v>322</v>
      </c>
      <c r="J10" s="589">
        <v>322</v>
      </c>
      <c r="K10" s="589"/>
      <c r="L10" s="58"/>
    </row>
    <row r="11" spans="1:12" s="2" customFormat="1">
      <c r="B11" s="763" t="s">
        <v>389</v>
      </c>
      <c r="C11" s="152" t="str">
        <f>'RFPR cover'!$C$14</f>
        <v>£m 12/13</v>
      </c>
      <c r="D11" s="590">
        <v>0</v>
      </c>
      <c r="E11" s="591">
        <v>1.2</v>
      </c>
      <c r="F11" s="591">
        <v>-2.8</v>
      </c>
      <c r="G11" s="591">
        <v>-7.9</v>
      </c>
      <c r="H11" s="591">
        <v>-11.9</v>
      </c>
      <c r="I11" s="591">
        <v>-8.6</v>
      </c>
      <c r="J11" s="591">
        <v>-4.5999999999999996</v>
      </c>
      <c r="K11" s="591"/>
      <c r="L11" s="58"/>
    </row>
    <row r="12" spans="1:12" s="2" customFormat="1">
      <c r="B12" s="763" t="s">
        <v>146</v>
      </c>
      <c r="C12" s="152" t="str">
        <f>'RFPR cover'!$C$14</f>
        <v>£m 12/13</v>
      </c>
      <c r="D12" s="590">
        <v>0</v>
      </c>
      <c r="E12" s="591">
        <v>0</v>
      </c>
      <c r="F12" s="591">
        <v>-7.1184018338814683</v>
      </c>
      <c r="G12" s="591">
        <v>-1.2680552279999584</v>
      </c>
      <c r="H12" s="591">
        <v>0.79936715651976464</v>
      </c>
      <c r="I12" s="591">
        <v>-0.33603996691378851</v>
      </c>
      <c r="J12" s="591">
        <v>-2.9106159510872942</v>
      </c>
      <c r="K12" s="591"/>
      <c r="L12" s="58"/>
    </row>
    <row r="13" spans="1:12" s="2" customFormat="1">
      <c r="B13" s="763" t="s">
        <v>377</v>
      </c>
      <c r="C13" s="153" t="s">
        <v>126</v>
      </c>
      <c r="D13" s="813">
        <v>1.0820000000000001</v>
      </c>
      <c r="E13" s="814">
        <v>1.087</v>
      </c>
      <c r="F13" s="814">
        <v>1.121</v>
      </c>
      <c r="G13" s="814">
        <v>1.159</v>
      </c>
      <c r="H13" s="814">
        <v>1.198</v>
      </c>
      <c r="I13" s="814">
        <v>1.2170000000000001</v>
      </c>
      <c r="J13" s="814">
        <v>1.238</v>
      </c>
      <c r="K13" s="814"/>
      <c r="L13" s="58"/>
    </row>
    <row r="14" spans="1:12" s="2" customFormat="1">
      <c r="B14" s="764" t="s">
        <v>195</v>
      </c>
      <c r="C14" s="267" t="s">
        <v>127</v>
      </c>
      <c r="D14" s="623">
        <f>SUM(D10:D12)*D13</f>
        <v>350.13520000000005</v>
      </c>
      <c r="E14" s="624">
        <f t="shared" ref="E14:K14" si="1">SUM(E10:E12)*E13</f>
        <v>351.3184</v>
      </c>
      <c r="F14" s="624">
        <f t="shared" si="1"/>
        <v>349.84347154421886</v>
      </c>
      <c r="G14" s="624">
        <f t="shared" si="1"/>
        <v>362.57222399074806</v>
      </c>
      <c r="H14" s="624">
        <f t="shared" si="1"/>
        <v>372.45744185351072</v>
      </c>
      <c r="I14" s="624">
        <f t="shared" si="1"/>
        <v>380.99883936026589</v>
      </c>
      <c r="J14" s="624">
        <f t="shared" si="1"/>
        <v>389.33785745255392</v>
      </c>
      <c r="K14" s="625">
        <f t="shared" si="1"/>
        <v>0</v>
      </c>
      <c r="L14" s="58"/>
    </row>
    <row r="15" spans="1:12" s="2" customFormat="1">
      <c r="B15" s="214" t="s">
        <v>130</v>
      </c>
      <c r="C15" s="153" t="s">
        <v>127</v>
      </c>
      <c r="D15" s="592">
        <f>'R5 - Output Incentives'!D102</f>
        <v>8.0071736145861934</v>
      </c>
      <c r="E15" s="593">
        <f>'R5 - Output Incentives'!E102</f>
        <v>12.91239504929672</v>
      </c>
      <c r="F15" s="594">
        <f>'R5 - Output Incentives'!F102</f>
        <v>18.300072702589507</v>
      </c>
      <c r="G15" s="594">
        <f>'R5 - Output Incentives'!G102</f>
        <v>20.096163444317376</v>
      </c>
      <c r="H15" s="594">
        <f>'R5 - Output Incentives'!H102</f>
        <v>20.209826451228658</v>
      </c>
      <c r="I15" s="594">
        <f>'R5 - Output Incentives'!I102</f>
        <v>21.089873035145512</v>
      </c>
      <c r="J15" s="594">
        <f>'R5 - Output Incentives'!J102</f>
        <v>19.362925916889974</v>
      </c>
      <c r="K15" s="595">
        <f>'R5 - Output Incentives'!K102</f>
        <v>19.794952684125466</v>
      </c>
      <c r="L15" s="58"/>
    </row>
    <row r="16" spans="1:12" s="2" customFormat="1">
      <c r="B16" s="765" t="s">
        <v>390</v>
      </c>
      <c r="C16" s="153" t="s">
        <v>127</v>
      </c>
      <c r="D16" s="590">
        <v>0</v>
      </c>
      <c r="E16" s="591">
        <v>0</v>
      </c>
      <c r="F16" s="591">
        <v>0.59087356208055442</v>
      </c>
      <c r="G16" s="591">
        <v>2.3262015593388146</v>
      </c>
      <c r="H16" s="591">
        <v>-6.6216721673126573</v>
      </c>
      <c r="I16" s="591">
        <v>-7.6679877733941977</v>
      </c>
      <c r="J16" s="591">
        <v>-5.2958419405113943</v>
      </c>
      <c r="K16" s="591"/>
      <c r="L16" s="58"/>
    </row>
    <row r="17" spans="2:12" s="2" customFormat="1">
      <c r="B17" s="765" t="s">
        <v>133</v>
      </c>
      <c r="C17" s="153" t="s">
        <v>127</v>
      </c>
      <c r="D17" s="592">
        <f>'R6 - Innovation'!D12</f>
        <v>0.73822394229707533</v>
      </c>
      <c r="E17" s="593">
        <f>'R6 - Innovation'!E12</f>
        <v>0.70427741300225</v>
      </c>
      <c r="F17" s="594">
        <f>'R6 - Innovation'!F12</f>
        <v>2.0979214020467616</v>
      </c>
      <c r="G17" s="594">
        <f>'R6 - Innovation'!G12</f>
        <v>2.1707300613004969</v>
      </c>
      <c r="H17" s="594">
        <f>'R6 - Innovation'!H12</f>
        <v>2.1020787332066373</v>
      </c>
      <c r="I17" s="594">
        <f>'R6 - Innovation'!I12</f>
        <v>2.2218470296678596</v>
      </c>
      <c r="J17" s="594">
        <f>'R6 - Innovation'!J12</f>
        <v>0.87245779299120596</v>
      </c>
      <c r="K17" s="595">
        <f>'R6 - Innovation'!K12</f>
        <v>2.4170381441051219</v>
      </c>
      <c r="L17" s="58"/>
    </row>
    <row r="18" spans="2:12" s="2" customFormat="1">
      <c r="B18" s="765" t="s">
        <v>132</v>
      </c>
      <c r="C18" s="153" t="s">
        <v>127</v>
      </c>
      <c r="D18" s="592">
        <f>'R6 - Innovation'!D17</f>
        <v>1.58060117</v>
      </c>
      <c r="E18" s="593">
        <f>'R6 - Innovation'!E17</f>
        <v>8.3856570000000005E-2</v>
      </c>
      <c r="F18" s="594">
        <f>'R6 - Innovation'!F17</f>
        <v>0.24265197999999999</v>
      </c>
      <c r="G18" s="594">
        <f>'R6 - Innovation'!G17</f>
        <v>0.65832199000000002</v>
      </c>
      <c r="H18" s="594">
        <f>'R6 - Innovation'!H17</f>
        <v>8.9907860000000006E-2</v>
      </c>
      <c r="I18" s="594">
        <f>'R6 - Innovation'!I17</f>
        <v>-0.24241409999999999</v>
      </c>
      <c r="J18" s="594">
        <f>'R6 - Innovation'!J17</f>
        <v>5.3594280000000001E-2</v>
      </c>
      <c r="K18" s="595">
        <f>'R6 - Innovation'!K17</f>
        <v>0</v>
      </c>
      <c r="L18" s="58"/>
    </row>
    <row r="19" spans="2:12" s="2" customFormat="1">
      <c r="B19" s="536" t="s">
        <v>546</v>
      </c>
      <c r="C19" s="153" t="s">
        <v>127</v>
      </c>
      <c r="D19" s="590">
        <v>-10.991663877009819</v>
      </c>
      <c r="E19" s="591">
        <v>-11.798477154550016</v>
      </c>
      <c r="F19" s="591">
        <v>-7.5166364663786425</v>
      </c>
      <c r="G19" s="591">
        <v>0</v>
      </c>
      <c r="H19" s="591">
        <v>0</v>
      </c>
      <c r="I19" s="591">
        <v>0</v>
      </c>
      <c r="J19" s="591">
        <v>0</v>
      </c>
      <c r="K19" s="591"/>
      <c r="L19" s="58"/>
    </row>
    <row r="20" spans="2:12" s="2" customFormat="1">
      <c r="B20" s="536" t="s">
        <v>242</v>
      </c>
      <c r="C20" s="153" t="s">
        <v>127</v>
      </c>
      <c r="D20" s="590"/>
      <c r="E20" s="591"/>
      <c r="F20" s="591"/>
      <c r="G20" s="591"/>
      <c r="H20" s="591"/>
      <c r="I20" s="591"/>
      <c r="J20" s="591"/>
      <c r="K20" s="591"/>
      <c r="L20" s="58"/>
    </row>
    <row r="21" spans="2:12" s="2" customFormat="1">
      <c r="B21" s="536" t="s">
        <v>242</v>
      </c>
      <c r="C21" s="153" t="s">
        <v>127</v>
      </c>
      <c r="D21" s="590"/>
      <c r="E21" s="591"/>
      <c r="F21" s="591"/>
      <c r="G21" s="591"/>
      <c r="H21" s="591"/>
      <c r="I21" s="591"/>
      <c r="J21" s="591"/>
      <c r="K21" s="591"/>
      <c r="L21" s="58"/>
    </row>
    <row r="22" spans="2:12" s="2" customFormat="1">
      <c r="B22" s="536" t="s">
        <v>242</v>
      </c>
      <c r="C22" s="153" t="s">
        <v>127</v>
      </c>
      <c r="D22" s="590"/>
      <c r="E22" s="591"/>
      <c r="F22" s="591"/>
      <c r="G22" s="591"/>
      <c r="H22" s="591"/>
      <c r="I22" s="591"/>
      <c r="J22" s="591"/>
      <c r="K22" s="591"/>
      <c r="L22" s="58"/>
    </row>
    <row r="23" spans="2:12" s="2" customFormat="1">
      <c r="B23" s="536" t="s">
        <v>242</v>
      </c>
      <c r="C23" s="153" t="s">
        <v>127</v>
      </c>
      <c r="D23" s="590"/>
      <c r="E23" s="591"/>
      <c r="F23" s="591"/>
      <c r="G23" s="591"/>
      <c r="H23" s="591"/>
      <c r="I23" s="591"/>
      <c r="J23" s="591"/>
      <c r="K23" s="591"/>
      <c r="L23" s="58"/>
    </row>
    <row r="24" spans="2:12" s="2" customFormat="1">
      <c r="B24" s="536" t="s">
        <v>242</v>
      </c>
      <c r="C24" s="153" t="s">
        <v>127</v>
      </c>
      <c r="D24" s="590"/>
      <c r="E24" s="591"/>
      <c r="F24" s="591"/>
      <c r="G24" s="591"/>
      <c r="H24" s="591"/>
      <c r="I24" s="591"/>
      <c r="J24" s="591"/>
      <c r="K24" s="591"/>
      <c r="L24" s="58"/>
    </row>
    <row r="25" spans="2:12" s="2" customFormat="1">
      <c r="B25" s="765" t="s">
        <v>134</v>
      </c>
      <c r="C25" s="153" t="s">
        <v>127</v>
      </c>
      <c r="D25" s="590">
        <v>-13.587624</v>
      </c>
      <c r="E25" s="591">
        <v>-12.665098202797887</v>
      </c>
      <c r="F25" s="591">
        <v>-0.6775375118742093</v>
      </c>
      <c r="G25" s="591">
        <v>3.1135834761637997</v>
      </c>
      <c r="H25" s="591">
        <v>-1.7706228085388809</v>
      </c>
      <c r="I25" s="591">
        <v>-8.2260012650077101</v>
      </c>
      <c r="J25" s="591">
        <v>-5.4950869304839634</v>
      </c>
      <c r="K25" s="591"/>
      <c r="L25" s="58"/>
    </row>
    <row r="26" spans="2:12" s="2" customFormat="1">
      <c r="B26" s="760" t="s">
        <v>147</v>
      </c>
      <c r="C26" s="153" t="s">
        <v>127</v>
      </c>
      <c r="D26" s="596">
        <f>SUM(D14:D24,-D25)</f>
        <v>363.05715884987347</v>
      </c>
      <c r="E26" s="597">
        <f t="shared" ref="E26:K26" si="2">SUM(E14:E24,-E25)</f>
        <v>365.88555008054686</v>
      </c>
      <c r="F26" s="597">
        <f t="shared" si="2"/>
        <v>364.23589223643125</v>
      </c>
      <c r="G26" s="597">
        <f t="shared" si="2"/>
        <v>384.71005756954094</v>
      </c>
      <c r="H26" s="597">
        <f t="shared" si="2"/>
        <v>390.00820553917214</v>
      </c>
      <c r="I26" s="597">
        <f t="shared" si="2"/>
        <v>404.62615881669274</v>
      </c>
      <c r="J26" s="597">
        <f t="shared" si="2"/>
        <v>409.82608043240771</v>
      </c>
      <c r="K26" s="598">
        <f t="shared" si="2"/>
        <v>22.211990828230586</v>
      </c>
      <c r="L26" s="58"/>
    </row>
    <row r="27" spans="2:12" s="2" customFormat="1">
      <c r="B27" s="226"/>
      <c r="C27" s="139"/>
      <c r="D27" s="55"/>
      <c r="E27" s="55"/>
      <c r="F27" s="55"/>
      <c r="G27" s="61"/>
      <c r="H27" s="61"/>
      <c r="I27" s="61"/>
      <c r="J27" s="61"/>
      <c r="K27" s="61"/>
      <c r="L27" s="58"/>
    </row>
    <row r="28" spans="2:12" s="2" customFormat="1">
      <c r="B28" s="226" t="s">
        <v>149</v>
      </c>
      <c r="C28" s="139"/>
      <c r="D28" s="596">
        <f>IF(ISBLANK(D33),0,D33-D26)</f>
        <v>-0.65227911987341258</v>
      </c>
      <c r="E28" s="597">
        <f t="shared" ref="E28:K28" si="3">IF(ISBLANK(E33),0,E33-E26)</f>
        <v>3.0018438794531335</v>
      </c>
      <c r="F28" s="597">
        <f t="shared" si="3"/>
        <v>-1.7015628564312237</v>
      </c>
      <c r="G28" s="597">
        <f t="shared" si="3"/>
        <v>-7.877025121540953</v>
      </c>
      <c r="H28" s="597">
        <f t="shared" si="3"/>
        <v>-5.2912958791721962</v>
      </c>
      <c r="I28" s="597">
        <f t="shared" si="3"/>
        <v>-18.451760376692732</v>
      </c>
      <c r="J28" s="597">
        <f t="shared" si="3"/>
        <v>3.7585520875923066</v>
      </c>
      <c r="K28" s="598">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1"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2" t="s">
        <v>148</v>
      </c>
      <c r="C33" s="139"/>
      <c r="D33" s="632">
        <v>362.40487973000006</v>
      </c>
      <c r="E33" s="633">
        <v>368.88739396</v>
      </c>
      <c r="F33" s="633">
        <v>362.53432938000003</v>
      </c>
      <c r="G33" s="633">
        <v>376.83303244799998</v>
      </c>
      <c r="H33" s="633">
        <v>384.71690965999994</v>
      </c>
      <c r="I33" s="633">
        <v>386.17439844</v>
      </c>
      <c r="J33" s="633">
        <v>413.58463252000001</v>
      </c>
      <c r="K33" s="634"/>
      <c r="L33" s="58"/>
    </row>
    <row r="34" spans="2:12" s="2" customFormat="1">
      <c r="B34" s="130"/>
      <c r="C34" s="137"/>
      <c r="L34" s="58"/>
    </row>
    <row r="35" spans="2:12" s="2" customFormat="1">
      <c r="B35" s="388" t="s">
        <v>135</v>
      </c>
      <c r="C35" s="137"/>
      <c r="L35" s="58"/>
    </row>
    <row r="36" spans="2:12" s="2" customFormat="1">
      <c r="B36" s="878" t="s">
        <v>136</v>
      </c>
      <c r="C36" s="153" t="s">
        <v>127</v>
      </c>
      <c r="D36" s="588">
        <v>0</v>
      </c>
      <c r="E36" s="589">
        <v>0</v>
      </c>
      <c r="F36" s="589">
        <v>0</v>
      </c>
      <c r="G36" s="589">
        <v>0</v>
      </c>
      <c r="H36" s="589">
        <v>0</v>
      </c>
      <c r="I36" s="589">
        <v>0</v>
      </c>
      <c r="J36" s="589">
        <v>0</v>
      </c>
      <c r="K36" s="599"/>
      <c r="L36" s="58"/>
    </row>
    <row r="37" spans="2:12" s="2" customFormat="1">
      <c r="B37" s="878" t="s">
        <v>137</v>
      </c>
      <c r="C37" s="153" t="s">
        <v>127</v>
      </c>
      <c r="D37" s="590">
        <v>2.5524942113331468</v>
      </c>
      <c r="E37" s="591">
        <v>2.3887561700000002</v>
      </c>
      <c r="F37" s="591">
        <v>2.16304644</v>
      </c>
      <c r="G37" s="591">
        <v>1.9253897398000002</v>
      </c>
      <c r="H37" s="591">
        <v>1.7323604595700006</v>
      </c>
      <c r="I37" s="591">
        <v>1.5978079299999999</v>
      </c>
      <c r="J37" s="591">
        <v>1.4255976099999998</v>
      </c>
      <c r="K37" s="600"/>
      <c r="L37" s="58"/>
    </row>
    <row r="38" spans="2:12" s="2" customFormat="1">
      <c r="B38" s="878" t="s">
        <v>138</v>
      </c>
      <c r="C38" s="153" t="s">
        <v>127</v>
      </c>
      <c r="D38" s="590">
        <v>60.231381491653153</v>
      </c>
      <c r="E38" s="591">
        <v>55.159448353309173</v>
      </c>
      <c r="F38" s="591">
        <v>45.655768879999997</v>
      </c>
      <c r="G38" s="591">
        <v>44.598520148499375</v>
      </c>
      <c r="H38" s="591">
        <v>45.695885457312052</v>
      </c>
      <c r="I38" s="591">
        <v>41.675843793774277</v>
      </c>
      <c r="J38" s="591">
        <v>49.842442613413567</v>
      </c>
      <c r="K38" s="600"/>
      <c r="L38" s="58"/>
    </row>
    <row r="39" spans="2:12" s="2" customFormat="1">
      <c r="B39" s="878" t="s">
        <v>139</v>
      </c>
      <c r="C39" s="153" t="s">
        <v>127</v>
      </c>
      <c r="D39" s="590">
        <v>0</v>
      </c>
      <c r="E39" s="591">
        <v>0</v>
      </c>
      <c r="F39" s="591">
        <v>0</v>
      </c>
      <c r="G39" s="591">
        <v>0</v>
      </c>
      <c r="H39" s="591">
        <v>0</v>
      </c>
      <c r="I39" s="591">
        <v>0</v>
      </c>
      <c r="J39" s="591">
        <v>0</v>
      </c>
      <c r="K39" s="600"/>
      <c r="L39" s="58"/>
    </row>
    <row r="40" spans="2:12" s="2" customFormat="1">
      <c r="B40" s="878" t="s">
        <v>140</v>
      </c>
      <c r="C40" s="153" t="s">
        <v>127</v>
      </c>
      <c r="D40" s="590">
        <v>0</v>
      </c>
      <c r="E40" s="591">
        <v>0</v>
      </c>
      <c r="F40" s="591">
        <v>0</v>
      </c>
      <c r="G40" s="591">
        <v>0</v>
      </c>
      <c r="H40" s="591">
        <v>0</v>
      </c>
      <c r="I40" s="591">
        <v>0</v>
      </c>
      <c r="J40" s="591">
        <v>0</v>
      </c>
      <c r="K40" s="600"/>
      <c r="L40" s="58"/>
    </row>
    <row r="41" spans="2:12" s="2" customFormat="1">
      <c r="B41" s="878" t="s">
        <v>141</v>
      </c>
      <c r="C41" s="153" t="s">
        <v>127</v>
      </c>
      <c r="D41" s="590">
        <v>11.611213620000003</v>
      </c>
      <c r="E41" s="591">
        <v>14.010810109999996</v>
      </c>
      <c r="F41" s="591">
        <v>16.137005279999997</v>
      </c>
      <c r="G41" s="591">
        <v>13.146760080000004</v>
      </c>
      <c r="H41" s="591">
        <v>12.536018910000001</v>
      </c>
      <c r="I41" s="591">
        <v>13.041164690000002</v>
      </c>
      <c r="J41" s="591">
        <v>14.575526219999997</v>
      </c>
      <c r="K41" s="600"/>
      <c r="L41" s="58"/>
    </row>
    <row r="42" spans="2:12" s="2" customFormat="1">
      <c r="B42" s="878" t="s">
        <v>142</v>
      </c>
      <c r="C42" s="153" t="s">
        <v>127</v>
      </c>
      <c r="D42" s="590">
        <v>0</v>
      </c>
      <c r="E42" s="591">
        <v>4.3020000000000003E-2</v>
      </c>
      <c r="F42" s="591">
        <v>5.3775000000000003E-2</v>
      </c>
      <c r="G42" s="591">
        <v>7.17E-2</v>
      </c>
      <c r="H42" s="591">
        <v>7.17E-2</v>
      </c>
      <c r="I42" s="591">
        <v>0</v>
      </c>
      <c r="J42" s="591">
        <v>0</v>
      </c>
      <c r="K42" s="600"/>
      <c r="L42" s="58"/>
    </row>
    <row r="43" spans="2:12" s="2" customFormat="1">
      <c r="B43" s="879" t="s">
        <v>143</v>
      </c>
      <c r="C43" s="153" t="s">
        <v>127</v>
      </c>
      <c r="D43" s="601">
        <v>0</v>
      </c>
      <c r="E43" s="602">
        <v>0</v>
      </c>
      <c r="F43" s="602">
        <v>0</v>
      </c>
      <c r="G43" s="602">
        <v>0</v>
      </c>
      <c r="H43" s="602">
        <v>0</v>
      </c>
      <c r="I43" s="602">
        <v>0</v>
      </c>
      <c r="J43" s="602">
        <v>0</v>
      </c>
      <c r="K43" s="603"/>
      <c r="L43" s="58"/>
    </row>
    <row r="44" spans="2:12" s="2" customFormat="1">
      <c r="B44" s="877" t="s">
        <v>527</v>
      </c>
      <c r="C44" s="153" t="s">
        <v>127</v>
      </c>
      <c r="D44" s="601"/>
      <c r="E44" s="602"/>
      <c r="F44" s="602"/>
      <c r="G44" s="602"/>
      <c r="H44" s="602"/>
      <c r="I44" s="602"/>
      <c r="J44" s="602"/>
      <c r="K44" s="603"/>
      <c r="L44" s="58"/>
    </row>
    <row r="45" spans="2:12" s="2" customFormat="1">
      <c r="B45" s="388" t="s">
        <v>175</v>
      </c>
      <c r="C45" s="153" t="s">
        <v>127</v>
      </c>
      <c r="D45" s="604">
        <f>SUM(D36:D44)</f>
        <v>74.395089322986308</v>
      </c>
      <c r="E45" s="605">
        <f t="shared" ref="E45:K45" si="4">SUM(E36:E44)</f>
        <v>71.602034633309174</v>
      </c>
      <c r="F45" s="605">
        <f t="shared" si="4"/>
        <v>64.009595599999997</v>
      </c>
      <c r="G45" s="605">
        <f t="shared" si="4"/>
        <v>59.742369968299379</v>
      </c>
      <c r="H45" s="605">
        <f t="shared" si="4"/>
        <v>60.035964826882058</v>
      </c>
      <c r="I45" s="605">
        <f t="shared" si="4"/>
        <v>56.314816413774281</v>
      </c>
      <c r="J45" s="605">
        <f t="shared" si="4"/>
        <v>65.843566443413565</v>
      </c>
      <c r="K45" s="606">
        <f t="shared" si="4"/>
        <v>0</v>
      </c>
      <c r="L45" s="58"/>
    </row>
    <row r="46" spans="2:12" s="2" customFormat="1">
      <c r="B46" s="130"/>
      <c r="C46" s="137"/>
      <c r="L46" s="58"/>
    </row>
    <row r="47" spans="2:12" s="2" customFormat="1">
      <c r="B47" s="388" t="s">
        <v>144</v>
      </c>
      <c r="C47" s="137"/>
      <c r="L47" s="54"/>
    </row>
    <row r="48" spans="2:12" s="2" customFormat="1">
      <c r="B48" s="536" t="s">
        <v>547</v>
      </c>
      <c r="C48" s="153" t="s">
        <v>127</v>
      </c>
      <c r="D48" s="607">
        <v>23.504256774583396</v>
      </c>
      <c r="E48" s="608">
        <v>25.306005000000003</v>
      </c>
      <c r="F48" s="608">
        <v>27.096811999999996</v>
      </c>
      <c r="G48" s="608">
        <v>28.538512000000001</v>
      </c>
      <c r="H48" s="608">
        <v>31.774156999999999</v>
      </c>
      <c r="I48" s="608">
        <v>32.835915999999997</v>
      </c>
      <c r="J48" s="608">
        <v>34.487904999999998</v>
      </c>
      <c r="K48" s="609"/>
      <c r="L48" s="58"/>
    </row>
    <row r="49" spans="2:12" s="2" customFormat="1">
      <c r="B49" s="536" t="s">
        <v>548</v>
      </c>
      <c r="C49" s="153" t="s">
        <v>127</v>
      </c>
      <c r="D49" s="610">
        <v>-47.772511000000002</v>
      </c>
      <c r="E49" s="611">
        <v>-44.899661000000002</v>
      </c>
      <c r="F49" s="611">
        <v>-33.842848064187116</v>
      </c>
      <c r="G49" s="611">
        <v>-32.048763157899366</v>
      </c>
      <c r="H49" s="611">
        <v>-32.034719102332055</v>
      </c>
      <c r="I49" s="611">
        <v>-31.501392213774388</v>
      </c>
      <c r="J49" s="611">
        <v>-35.198602973413642</v>
      </c>
      <c r="K49" s="612"/>
      <c r="L49" s="58"/>
    </row>
    <row r="50" spans="2:12" s="2" customFormat="1">
      <c r="B50" s="536" t="s">
        <v>549</v>
      </c>
      <c r="C50" s="153" t="s">
        <v>127</v>
      </c>
      <c r="D50" s="610">
        <v>-4.9345660000000002</v>
      </c>
      <c r="E50" s="611">
        <v>-3.6859109999999999</v>
      </c>
      <c r="F50" s="611">
        <v>-5.4199263300000018</v>
      </c>
      <c r="G50" s="611">
        <v>-4.9620084400000009</v>
      </c>
      <c r="H50" s="611">
        <v>-5.8404820900000001</v>
      </c>
      <c r="I50" s="611">
        <v>-2.7484283099998899</v>
      </c>
      <c r="J50" s="611">
        <v>-6.6465127599999381</v>
      </c>
      <c r="K50" s="612"/>
      <c r="L50" s="58"/>
    </row>
    <row r="51" spans="2:12" s="2" customFormat="1">
      <c r="B51" s="925" t="s">
        <v>591</v>
      </c>
      <c r="C51" s="153" t="s">
        <v>127</v>
      </c>
      <c r="D51" s="610"/>
      <c r="E51" s="611"/>
      <c r="F51" s="611"/>
      <c r="G51" s="611"/>
      <c r="H51" s="611">
        <v>0.18095</v>
      </c>
      <c r="I51" s="611">
        <v>0</v>
      </c>
      <c r="J51" s="611">
        <v>1.9751000000000001E-2</v>
      </c>
      <c r="K51" s="612"/>
      <c r="L51" s="58"/>
    </row>
    <row r="52" spans="2:12" s="2" customFormat="1">
      <c r="B52" s="925" t="s">
        <v>550</v>
      </c>
      <c r="C52" s="153" t="s">
        <v>127</v>
      </c>
      <c r="D52" s="610"/>
      <c r="E52" s="611"/>
      <c r="F52" s="611"/>
      <c r="G52" s="611">
        <v>0.61933064999999987</v>
      </c>
      <c r="H52" s="611">
        <v>0.61873101999999991</v>
      </c>
      <c r="I52" s="611">
        <v>0.16127408000000001</v>
      </c>
      <c r="J52" s="611">
        <v>1.5549999999999999E-5</v>
      </c>
      <c r="K52" s="612"/>
      <c r="L52" s="58"/>
    </row>
    <row r="53" spans="2:12" s="2" customFormat="1">
      <c r="B53" s="536" t="s">
        <v>242</v>
      </c>
      <c r="C53" s="153" t="s">
        <v>127</v>
      </c>
      <c r="D53" s="610"/>
      <c r="E53" s="611"/>
      <c r="F53" s="611"/>
      <c r="G53" s="611"/>
      <c r="H53" s="611"/>
      <c r="I53" s="611"/>
      <c r="J53" s="611"/>
      <c r="K53" s="612"/>
      <c r="L53" s="58"/>
    </row>
    <row r="54" spans="2:12" s="2" customFormat="1">
      <c r="B54" s="536" t="s">
        <v>242</v>
      </c>
      <c r="C54" s="153" t="s">
        <v>127</v>
      </c>
      <c r="D54" s="610"/>
      <c r="E54" s="611"/>
      <c r="F54" s="611"/>
      <c r="G54" s="611"/>
      <c r="H54" s="611"/>
      <c r="I54" s="611"/>
      <c r="J54" s="611"/>
      <c r="K54" s="612"/>
      <c r="L54" s="58"/>
    </row>
    <row r="55" spans="2:12" s="2" customFormat="1">
      <c r="B55" s="536" t="s">
        <v>242</v>
      </c>
      <c r="C55" s="153" t="s">
        <v>127</v>
      </c>
      <c r="D55" s="610"/>
      <c r="E55" s="611"/>
      <c r="F55" s="611"/>
      <c r="G55" s="611"/>
      <c r="H55" s="611"/>
      <c r="I55" s="611"/>
      <c r="J55" s="611"/>
      <c r="K55" s="612"/>
      <c r="L55" s="58"/>
    </row>
    <row r="56" spans="2:12" s="2" customFormat="1">
      <c r="B56" s="536" t="s">
        <v>242</v>
      </c>
      <c r="C56" s="153" t="s">
        <v>127</v>
      </c>
      <c r="D56" s="610"/>
      <c r="E56" s="611"/>
      <c r="F56" s="611"/>
      <c r="G56" s="611"/>
      <c r="H56" s="611"/>
      <c r="I56" s="611"/>
      <c r="J56" s="611"/>
      <c r="K56" s="612"/>
      <c r="L56" s="58"/>
    </row>
    <row r="57" spans="2:12" s="2" customFormat="1">
      <c r="B57" s="536" t="s">
        <v>242</v>
      </c>
      <c r="C57" s="153" t="s">
        <v>127</v>
      </c>
      <c r="D57" s="610"/>
      <c r="E57" s="611"/>
      <c r="F57" s="611"/>
      <c r="G57" s="611"/>
      <c r="H57" s="611"/>
      <c r="I57" s="611"/>
      <c r="J57" s="611"/>
      <c r="K57" s="612"/>
      <c r="L57" s="58"/>
    </row>
    <row r="58" spans="2:12" s="2" customFormat="1">
      <c r="B58" s="536" t="s">
        <v>242</v>
      </c>
      <c r="C58" s="153" t="s">
        <v>127</v>
      </c>
      <c r="D58" s="610"/>
      <c r="E58" s="611"/>
      <c r="F58" s="611"/>
      <c r="G58" s="611"/>
      <c r="H58" s="611"/>
      <c r="I58" s="611"/>
      <c r="J58" s="611"/>
      <c r="K58" s="612"/>
      <c r="L58" s="58"/>
    </row>
    <row r="59" spans="2:12" s="2" customFormat="1">
      <c r="B59" s="536" t="s">
        <v>242</v>
      </c>
      <c r="C59" s="153" t="s">
        <v>127</v>
      </c>
      <c r="D59" s="610"/>
      <c r="E59" s="611"/>
      <c r="F59" s="611"/>
      <c r="G59" s="611"/>
      <c r="H59" s="611"/>
      <c r="I59" s="611"/>
      <c r="J59" s="611"/>
      <c r="K59" s="612"/>
      <c r="L59" s="58"/>
    </row>
    <row r="60" spans="2:12" s="2" customFormat="1">
      <c r="B60" s="536" t="s">
        <v>242</v>
      </c>
      <c r="C60" s="153" t="s">
        <v>127</v>
      </c>
      <c r="D60" s="610"/>
      <c r="E60" s="611"/>
      <c r="F60" s="611"/>
      <c r="G60" s="611"/>
      <c r="H60" s="611"/>
      <c r="I60" s="611"/>
      <c r="J60" s="611"/>
      <c r="K60" s="612"/>
      <c r="L60" s="58"/>
    </row>
    <row r="61" spans="2:12" s="2" customFormat="1">
      <c r="B61" s="536" t="s">
        <v>242</v>
      </c>
      <c r="C61" s="153" t="s">
        <v>127</v>
      </c>
      <c r="D61" s="610"/>
      <c r="E61" s="611"/>
      <c r="F61" s="611"/>
      <c r="G61" s="611"/>
      <c r="H61" s="611"/>
      <c r="I61" s="611"/>
      <c r="J61" s="611"/>
      <c r="K61" s="612"/>
      <c r="L61" s="58"/>
    </row>
    <row r="62" spans="2:12" s="2" customFormat="1">
      <c r="B62" s="536" t="s">
        <v>242</v>
      </c>
      <c r="C62" s="153" t="s">
        <v>127</v>
      </c>
      <c r="D62" s="610"/>
      <c r="E62" s="611"/>
      <c r="F62" s="611"/>
      <c r="G62" s="611"/>
      <c r="H62" s="611"/>
      <c r="I62" s="611"/>
      <c r="J62" s="611"/>
      <c r="K62" s="612"/>
      <c r="L62" s="58"/>
    </row>
    <row r="63" spans="2:12" s="2" customFormat="1">
      <c r="B63" s="766" t="s">
        <v>153</v>
      </c>
      <c r="C63" s="153" t="s">
        <v>127</v>
      </c>
      <c r="D63" s="613"/>
      <c r="E63" s="614"/>
      <c r="F63" s="615"/>
      <c r="G63" s="614"/>
      <c r="H63" s="614"/>
      <c r="I63" s="614"/>
      <c r="J63" s="614"/>
      <c r="K63" s="616"/>
      <c r="L63" s="58"/>
    </row>
    <row r="64" spans="2:12" s="2" customFormat="1">
      <c r="B64" s="762" t="s">
        <v>176</v>
      </c>
      <c r="C64" s="153" t="s">
        <v>127</v>
      </c>
      <c r="D64" s="596">
        <f t="shared" ref="D64:K64" si="5">SUM(D48:D63)</f>
        <v>-29.202820225416605</v>
      </c>
      <c r="E64" s="597">
        <f t="shared" si="5"/>
        <v>-23.279567</v>
      </c>
      <c r="F64" s="597">
        <f t="shared" si="5"/>
        <v>-12.165962394187122</v>
      </c>
      <c r="G64" s="597">
        <f t="shared" si="5"/>
        <v>-7.8529289478993665</v>
      </c>
      <c r="H64" s="597">
        <f t="shared" si="5"/>
        <v>-5.3013631723320556</v>
      </c>
      <c r="I64" s="597">
        <f t="shared" si="5"/>
        <v>-1.2526304437742799</v>
      </c>
      <c r="J64" s="597">
        <f t="shared" si="5"/>
        <v>-7.3374441834135826</v>
      </c>
      <c r="K64" s="598">
        <f t="shared" si="5"/>
        <v>0</v>
      </c>
      <c r="L64" s="58"/>
    </row>
    <row r="65" spans="1:12" s="2" customFormat="1">
      <c r="B65" s="226"/>
      <c r="C65" s="139"/>
      <c r="D65" s="56"/>
      <c r="E65" s="56"/>
      <c r="F65" s="56"/>
      <c r="G65" s="56"/>
      <c r="H65" s="56"/>
      <c r="I65" s="56"/>
      <c r="J65" s="56"/>
      <c r="K65" s="56"/>
      <c r="L65" s="58"/>
    </row>
    <row r="66" spans="1:12" s="2" customFormat="1">
      <c r="B66" s="762" t="s">
        <v>145</v>
      </c>
      <c r="C66" s="153" t="s">
        <v>127</v>
      </c>
      <c r="D66" s="617">
        <f t="shared" ref="D66:K66" si="6">D33+D45+D64</f>
        <v>407.59714882756981</v>
      </c>
      <c r="E66" s="618">
        <f t="shared" si="6"/>
        <v>417.2098615933092</v>
      </c>
      <c r="F66" s="618">
        <f t="shared" si="6"/>
        <v>414.3779625858129</v>
      </c>
      <c r="G66" s="618">
        <f t="shared" si="6"/>
        <v>428.72247346839998</v>
      </c>
      <c r="H66" s="618">
        <f t="shared" si="6"/>
        <v>439.45151131454992</v>
      </c>
      <c r="I66" s="618">
        <f t="shared" si="6"/>
        <v>441.23658440999998</v>
      </c>
      <c r="J66" s="618">
        <f t="shared" si="6"/>
        <v>472.09075478</v>
      </c>
      <c r="K66" s="619">
        <f t="shared" si="6"/>
        <v>0</v>
      </c>
      <c r="L66" s="58"/>
    </row>
    <row r="67" spans="1:12" s="2" customFormat="1">
      <c r="B67" s="762" t="s">
        <v>193</v>
      </c>
      <c r="C67" s="153" t="s">
        <v>127</v>
      </c>
      <c r="D67" s="620">
        <v>407.62961705458349</v>
      </c>
      <c r="E67" s="621">
        <v>417.21253992999999</v>
      </c>
      <c r="F67" s="621">
        <v>414.37080744000008</v>
      </c>
      <c r="G67" s="621">
        <v>428.68229551000002</v>
      </c>
      <c r="H67" s="621">
        <v>439.41224025999998</v>
      </c>
      <c r="I67" s="621">
        <v>441.26615902999998</v>
      </c>
      <c r="J67" s="621">
        <v>472.09072474923437</v>
      </c>
      <c r="K67" s="622"/>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67"/>
      <c r="C71" s="151"/>
      <c r="D71" s="81"/>
      <c r="E71" s="81"/>
      <c r="F71" s="81"/>
      <c r="G71" s="81"/>
      <c r="H71" s="81"/>
      <c r="I71" s="81"/>
      <c r="J71" s="81"/>
      <c r="K71" s="81"/>
      <c r="L71" s="273"/>
    </row>
  </sheetData>
  <sheetProtection algorithmName="SHA-512" hashValue="JOAlI21NyNxtwiVizZR7rqa3msfFlXXv7n6VyYVMq/d3VsKvO7+eiVv3sD8IKKh3mRCWENEtsPKLcY32/G8G4w==" saltValue="5WUIJ5Wp+HujXfT+yMwwPQ==" spinCount="100000" sheet="1" objects="1" scenarios="1"/>
  <conditionalFormatting sqref="D6:K6">
    <cfRule type="expression" dxfId="83" priority="12">
      <formula>AND(D$5="Actuals",E$5="Forecast")</formula>
    </cfRule>
  </conditionalFormatting>
  <conditionalFormatting sqref="D5:K5">
    <cfRule type="expression" dxfId="82" priority="5">
      <formula>AND(D$5="Actuals",E$5="Forecast")</formula>
    </cfRule>
  </conditionalFormatting>
  <conditionalFormatting sqref="D33:K33 D36:K45 D28:H28 D66:K68 D48:K64">
    <cfRule type="expression" dxfId="81" priority="4">
      <formula>D$5="Forecast"</formula>
    </cfRule>
  </conditionalFormatting>
  <conditionalFormatting sqref="I28:K28 I10:K26">
    <cfRule type="expression" dxfId="80" priority="3">
      <formula>I$5="Forecast"</formula>
    </cfRule>
  </conditionalFormatting>
  <conditionalFormatting sqref="H10:H26">
    <cfRule type="expression" dxfId="79" priority="2">
      <formula>H$5="Forecast"</formula>
    </cfRule>
  </conditionalFormatting>
  <conditionalFormatting sqref="G10:G26">
    <cfRule type="expression" dxfId="78" priority="1">
      <formula>G$5="Forecast"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N8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08" t="s">
        <v>307</v>
      </c>
      <c r="B1" s="909"/>
      <c r="C1" s="149"/>
      <c r="D1" s="122"/>
      <c r="E1" s="122"/>
      <c r="F1" s="122"/>
      <c r="G1" s="122"/>
      <c r="H1" s="122"/>
      <c r="I1" s="122"/>
      <c r="J1" s="122"/>
      <c r="K1" s="122"/>
      <c r="L1" s="123"/>
    </row>
    <row r="2" spans="1:12" s="31" customFormat="1" ht="20.25">
      <c r="A2" s="893" t="str">
        <f>'RFPR cover'!C5</f>
        <v>NPgY</v>
      </c>
      <c r="B2" s="885"/>
      <c r="C2" s="135"/>
      <c r="D2" s="29"/>
      <c r="E2" s="29"/>
      <c r="F2" s="29"/>
      <c r="G2" s="29"/>
      <c r="H2" s="29"/>
      <c r="I2" s="27"/>
      <c r="J2" s="27"/>
      <c r="K2" s="27"/>
      <c r="L2" s="124"/>
    </row>
    <row r="3" spans="1:12" s="31" customFormat="1" ht="20.25">
      <c r="A3" s="910">
        <f>'RFPR cover'!C7</f>
        <v>2022</v>
      </c>
      <c r="B3" s="911"/>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Actuals</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88">
        <v>253.85916764499984</v>
      </c>
      <c r="E9" s="589">
        <v>224.29936980000008</v>
      </c>
      <c r="F9" s="589">
        <v>212.1</v>
      </c>
      <c r="G9" s="589">
        <v>226.9764982066153</v>
      </c>
      <c r="H9" s="589">
        <v>255.74958706724968</v>
      </c>
      <c r="I9" s="589">
        <v>254.17233028678527</v>
      </c>
      <c r="J9" s="589">
        <v>274.86182554605188</v>
      </c>
      <c r="K9" s="599"/>
    </row>
    <row r="10" spans="1:12" s="2" customFormat="1">
      <c r="B10" s="130" t="s">
        <v>160</v>
      </c>
      <c r="C10" s="153" t="s">
        <v>127</v>
      </c>
      <c r="D10" s="590">
        <v>0</v>
      </c>
      <c r="E10" s="591">
        <v>0</v>
      </c>
      <c r="F10" s="591">
        <v>0</v>
      </c>
      <c r="G10" s="591">
        <v>0</v>
      </c>
      <c r="H10" s="591">
        <v>0</v>
      </c>
      <c r="I10" s="591">
        <v>6.8830539319230692E-3</v>
      </c>
      <c r="J10" s="591">
        <v>9.6661042829116507E-3</v>
      </c>
      <c r="K10" s="600"/>
    </row>
    <row r="11" spans="1:12" s="2" customFormat="1" ht="29.25" customHeight="1">
      <c r="B11" s="131" t="s">
        <v>454</v>
      </c>
      <c r="C11" s="153" t="s">
        <v>127</v>
      </c>
      <c r="D11" s="590">
        <v>-0.21508875999999999</v>
      </c>
      <c r="E11" s="591">
        <v>-0.78934152000000002</v>
      </c>
      <c r="F11" s="591">
        <v>-0.4157114400000001</v>
      </c>
      <c r="G11" s="591">
        <v>-0.5</v>
      </c>
      <c r="H11" s="591">
        <v>-0.4</v>
      </c>
      <c r="I11" s="591">
        <v>-0.106</v>
      </c>
      <c r="J11" s="591">
        <v>-0.42499999999999999</v>
      </c>
      <c r="K11" s="600"/>
    </row>
    <row r="12" spans="1:12" s="2" customFormat="1">
      <c r="B12" s="130" t="s">
        <v>161</v>
      </c>
      <c r="C12" s="153" t="s">
        <v>127</v>
      </c>
      <c r="D12" s="590">
        <v>-57.690527619999969</v>
      </c>
      <c r="E12" s="591">
        <v>-55.585312789999996</v>
      </c>
      <c r="F12" s="591">
        <v>-43.690434969999956</v>
      </c>
      <c r="G12" s="591">
        <v>-39.501131359999995</v>
      </c>
      <c r="H12" s="591">
        <v>-42.291037140000007</v>
      </c>
      <c r="I12" s="591">
        <v>-42.73019253541645</v>
      </c>
      <c r="J12" s="591">
        <v>-48.537244085416205</v>
      </c>
      <c r="K12" s="600"/>
    </row>
    <row r="13" spans="1:12" s="2" customFormat="1">
      <c r="B13" s="130" t="s">
        <v>162</v>
      </c>
      <c r="C13" s="153" t="s">
        <v>127</v>
      </c>
      <c r="D13" s="590">
        <v>-3.3035140099999998</v>
      </c>
      <c r="E13" s="591">
        <v>-2.4723702800000003</v>
      </c>
      <c r="F13" s="591">
        <v>-2.0259090899999999</v>
      </c>
      <c r="G13" s="591">
        <v>-1.27738295</v>
      </c>
      <c r="H13" s="591">
        <v>-1.59848631</v>
      </c>
      <c r="I13" s="591">
        <v>-1.6</v>
      </c>
      <c r="J13" s="591">
        <v>-2.2999999999999998</v>
      </c>
      <c r="K13" s="600"/>
    </row>
    <row r="14" spans="1:12" s="2" customFormat="1">
      <c r="B14" s="130" t="s">
        <v>163</v>
      </c>
      <c r="C14" s="153" t="s">
        <v>127</v>
      </c>
      <c r="D14" s="626">
        <v>0</v>
      </c>
      <c r="E14" s="627">
        <v>0</v>
      </c>
      <c r="F14" s="627">
        <v>0</v>
      </c>
      <c r="G14" s="627">
        <v>0</v>
      </c>
      <c r="H14" s="591">
        <v>0</v>
      </c>
      <c r="I14" s="627">
        <v>0</v>
      </c>
      <c r="J14" s="627">
        <v>0</v>
      </c>
      <c r="K14" s="628"/>
    </row>
    <row r="15" spans="1:12" s="2" customFormat="1">
      <c r="A15" s="3">
        <v>1</v>
      </c>
      <c r="B15" s="856" t="s">
        <v>242</v>
      </c>
      <c r="C15" s="153" t="s">
        <v>127</v>
      </c>
      <c r="D15" s="588"/>
      <c r="E15" s="589"/>
      <c r="F15" s="589"/>
      <c r="G15" s="589"/>
      <c r="H15" s="589"/>
      <c r="I15" s="589"/>
      <c r="J15" s="589"/>
      <c r="K15" s="599"/>
    </row>
    <row r="16" spans="1:12" s="2" customFormat="1">
      <c r="A16" s="3">
        <v>2</v>
      </c>
      <c r="B16" s="856" t="s">
        <v>242</v>
      </c>
      <c r="C16" s="153" t="s">
        <v>127</v>
      </c>
      <c r="D16" s="590"/>
      <c r="E16" s="591"/>
      <c r="F16" s="591"/>
      <c r="G16" s="591"/>
      <c r="H16" s="591"/>
      <c r="I16" s="591"/>
      <c r="J16" s="591"/>
      <c r="K16" s="600"/>
    </row>
    <row r="17" spans="1:11" s="2" customFormat="1">
      <c r="A17" s="3">
        <v>3</v>
      </c>
      <c r="B17" s="856" t="s">
        <v>242</v>
      </c>
      <c r="C17" s="153" t="s">
        <v>127</v>
      </c>
      <c r="D17" s="590"/>
      <c r="E17" s="591"/>
      <c r="F17" s="591"/>
      <c r="G17" s="591"/>
      <c r="H17" s="591"/>
      <c r="I17" s="591"/>
      <c r="J17" s="591"/>
      <c r="K17" s="600"/>
    </row>
    <row r="18" spans="1:11" s="2" customFormat="1">
      <c r="B18" s="12" t="s">
        <v>164</v>
      </c>
      <c r="C18" s="153" t="s">
        <v>127</v>
      </c>
      <c r="D18" s="629">
        <f>SUM(D9:D17)</f>
        <v>192.65003725499989</v>
      </c>
      <c r="E18" s="630">
        <f t="shared" ref="E18:K18" si="1">SUM(E9:E17)</f>
        <v>165.45234521000009</v>
      </c>
      <c r="F18" s="630">
        <f t="shared" si="1"/>
        <v>165.96794450000004</v>
      </c>
      <c r="G18" s="630">
        <f t="shared" si="1"/>
        <v>185.69798389661531</v>
      </c>
      <c r="H18" s="630">
        <f t="shared" si="1"/>
        <v>211.46006361724966</v>
      </c>
      <c r="I18" s="630">
        <f t="shared" si="1"/>
        <v>209.74302080530074</v>
      </c>
      <c r="J18" s="630">
        <f t="shared" si="1"/>
        <v>223.60924756491858</v>
      </c>
      <c r="K18" s="631">
        <f t="shared" si="1"/>
        <v>0</v>
      </c>
    </row>
    <row r="19" spans="1:11" s="2" customFormat="1">
      <c r="B19" s="130" t="s">
        <v>165</v>
      </c>
      <c r="C19" s="153" t="s">
        <v>127</v>
      </c>
      <c r="D19" s="632">
        <v>123.928846135</v>
      </c>
      <c r="E19" s="633">
        <v>120.94205091000001</v>
      </c>
      <c r="F19" s="633">
        <v>127.09161473605067</v>
      </c>
      <c r="G19" s="633">
        <v>133.01642267446709</v>
      </c>
      <c r="H19" s="633">
        <v>131.81593217</v>
      </c>
      <c r="I19" s="633">
        <v>134.57726431</v>
      </c>
      <c r="J19" s="633">
        <v>128.17997146224428</v>
      </c>
      <c r="K19" s="634"/>
    </row>
    <row r="20" spans="1:11" s="2" customFormat="1">
      <c r="A20" s="3">
        <v>1</v>
      </c>
      <c r="B20" s="856" t="s">
        <v>242</v>
      </c>
      <c r="C20" s="153" t="s">
        <v>127</v>
      </c>
      <c r="D20" s="588"/>
      <c r="E20" s="589"/>
      <c r="F20" s="589"/>
      <c r="G20" s="589"/>
      <c r="H20" s="589"/>
      <c r="I20" s="589"/>
      <c r="J20" s="589"/>
      <c r="K20" s="599"/>
    </row>
    <row r="21" spans="1:11" s="2" customFormat="1">
      <c r="A21" s="3">
        <v>2</v>
      </c>
      <c r="B21" s="856" t="s">
        <v>242</v>
      </c>
      <c r="C21" s="153" t="s">
        <v>127</v>
      </c>
      <c r="D21" s="590"/>
      <c r="E21" s="591"/>
      <c r="F21" s="591"/>
      <c r="G21" s="591"/>
      <c r="H21" s="591"/>
      <c r="I21" s="591"/>
      <c r="J21" s="591"/>
      <c r="K21" s="600"/>
    </row>
    <row r="22" spans="1:11" s="2" customFormat="1">
      <c r="A22" s="3">
        <v>3</v>
      </c>
      <c r="B22" s="856" t="s">
        <v>242</v>
      </c>
      <c r="C22" s="153" t="s">
        <v>127</v>
      </c>
      <c r="D22" s="590"/>
      <c r="E22" s="591"/>
      <c r="F22" s="591"/>
      <c r="G22" s="591"/>
      <c r="H22" s="591"/>
      <c r="I22" s="591"/>
      <c r="J22" s="591"/>
      <c r="K22" s="600"/>
    </row>
    <row r="23" spans="1:11" s="2" customFormat="1">
      <c r="B23" s="12" t="s">
        <v>166</v>
      </c>
      <c r="C23" s="153" t="s">
        <v>127</v>
      </c>
      <c r="D23" s="604">
        <f>SUM(D18:D22)</f>
        <v>316.57888338999987</v>
      </c>
      <c r="E23" s="605">
        <f t="shared" ref="E23:K23" si="2">SUM(E18:E22)</f>
        <v>286.39439612000012</v>
      </c>
      <c r="F23" s="605">
        <f t="shared" si="2"/>
        <v>293.05955923605075</v>
      </c>
      <c r="G23" s="605">
        <f t="shared" si="2"/>
        <v>318.71440657108241</v>
      </c>
      <c r="H23" s="605">
        <f t="shared" si="2"/>
        <v>343.27599578724966</v>
      </c>
      <c r="I23" s="605">
        <f t="shared" si="2"/>
        <v>344.32028511530075</v>
      </c>
      <c r="J23" s="605">
        <f t="shared" si="2"/>
        <v>351.78921902716286</v>
      </c>
      <c r="K23" s="606">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6.5" customHeight="1">
      <c r="A26" s="3">
        <v>1</v>
      </c>
      <c r="B26" s="921" t="s">
        <v>551</v>
      </c>
      <c r="C26" s="153" t="s">
        <v>127</v>
      </c>
      <c r="D26" s="588">
        <v>6.354969285688326</v>
      </c>
      <c r="E26" s="589">
        <v>8.094216225000002</v>
      </c>
      <c r="F26" s="589">
        <v>9.5626619549999994</v>
      </c>
      <c r="G26" s="589">
        <v>5.1060997700000001</v>
      </c>
      <c r="H26" s="589">
        <v>6.2344733800000007</v>
      </c>
      <c r="I26" s="589">
        <v>7.5306202200000003</v>
      </c>
      <c r="J26" s="589">
        <v>6.5</v>
      </c>
      <c r="K26" s="599"/>
    </row>
    <row r="27" spans="1:11" s="2" customFormat="1" ht="60.75" customHeight="1">
      <c r="A27" s="3">
        <v>2</v>
      </c>
      <c r="B27" s="921" t="s">
        <v>552</v>
      </c>
      <c r="C27" s="153" t="s">
        <v>127</v>
      </c>
      <c r="D27" s="590">
        <v>8.4992940000000017E-2</v>
      </c>
      <c r="E27" s="591">
        <v>3.7637198401328287E-2</v>
      </c>
      <c r="F27" s="591">
        <v>8.8637290909090449E-3</v>
      </c>
      <c r="G27" s="591">
        <v>-0.24296385999999992</v>
      </c>
      <c r="H27" s="591">
        <v>0.18600000000000003</v>
      </c>
      <c r="I27" s="591">
        <v>-0.30866399999999999</v>
      </c>
      <c r="J27" s="589">
        <v>-8.8604085714285574E-3</v>
      </c>
      <c r="K27" s="600"/>
    </row>
    <row r="28" spans="1:11" s="2" customFormat="1" ht="31.5" customHeight="1">
      <c r="A28" s="3">
        <v>3</v>
      </c>
      <c r="B28" s="921" t="s">
        <v>553</v>
      </c>
      <c r="C28" s="153" t="s">
        <v>127</v>
      </c>
      <c r="D28" s="590">
        <v>0.72271016999999993</v>
      </c>
      <c r="E28" s="591">
        <v>-4.3931635000000017E-2</v>
      </c>
      <c r="F28" s="591">
        <v>0.46542402499999996</v>
      </c>
      <c r="G28" s="591">
        <v>0.61866771000000009</v>
      </c>
      <c r="H28" s="591">
        <v>0.83428144500000012</v>
      </c>
      <c r="I28" s="591">
        <v>0.49023184999999997</v>
      </c>
      <c r="J28" s="591">
        <v>0.5</v>
      </c>
      <c r="K28" s="600"/>
    </row>
    <row r="29" spans="1:11" s="2" customFormat="1" ht="32.25" customHeight="1">
      <c r="A29" s="3">
        <v>4</v>
      </c>
      <c r="B29" s="921" t="s">
        <v>554</v>
      </c>
      <c r="C29" s="153" t="s">
        <v>127</v>
      </c>
      <c r="D29" s="590"/>
      <c r="E29" s="591">
        <v>-0.3416056268677003</v>
      </c>
      <c r="F29" s="591">
        <v>-0.55312807999999991</v>
      </c>
      <c r="G29" s="591">
        <v>-0.35541862499999999</v>
      </c>
      <c r="H29" s="591">
        <v>-0.17661592321611205</v>
      </c>
      <c r="I29" s="591">
        <v>-1.312067875994341E-2</v>
      </c>
      <c r="J29" s="591">
        <v>-0.3</v>
      </c>
      <c r="K29" s="600"/>
    </row>
    <row r="30" spans="1:11" s="2" customFormat="1" ht="32.25" customHeight="1">
      <c r="A30" s="3">
        <v>5</v>
      </c>
      <c r="B30" s="921" t="s">
        <v>555</v>
      </c>
      <c r="C30" s="153" t="s">
        <v>127</v>
      </c>
      <c r="D30" s="590">
        <v>-1.58060117</v>
      </c>
      <c r="E30" s="591">
        <v>-8.3856570000000005E-2</v>
      </c>
      <c r="F30" s="591">
        <v>-0.24265197999999999</v>
      </c>
      <c r="G30" s="591">
        <v>-0.65832199000000002</v>
      </c>
      <c r="H30" s="591">
        <v>-8.9907860000000006E-2</v>
      </c>
      <c r="I30" s="591">
        <v>0.24241405000000002</v>
      </c>
      <c r="J30" s="591">
        <v>0</v>
      </c>
      <c r="K30" s="600"/>
    </row>
    <row r="31" spans="1:11" s="2" customFormat="1" ht="27.75" customHeight="1">
      <c r="A31" s="3">
        <v>6</v>
      </c>
      <c r="B31" s="921" t="s">
        <v>556</v>
      </c>
      <c r="C31" s="153" t="s">
        <v>127</v>
      </c>
      <c r="D31" s="590">
        <v>-4.1711802216431897</v>
      </c>
      <c r="E31" s="591">
        <v>-4.641256496632006</v>
      </c>
      <c r="F31" s="591">
        <v>-5.4660625298644341</v>
      </c>
      <c r="G31" s="591">
        <v>-6.1694980458901396</v>
      </c>
      <c r="H31" s="591">
        <v>-6.2946931534253512</v>
      </c>
      <c r="I31" s="591">
        <v>-6.4026399552674436</v>
      </c>
      <c r="J31" s="591">
        <v>-7.6999999999999993</v>
      </c>
      <c r="K31" s="600"/>
    </row>
    <row r="32" spans="1:11" s="2" customFormat="1" ht="16.5" customHeight="1">
      <c r="A32" s="3">
        <v>7</v>
      </c>
      <c r="B32" s="920" t="s">
        <v>557</v>
      </c>
      <c r="C32" s="153" t="s">
        <v>127</v>
      </c>
      <c r="D32" s="590">
        <v>-1.7262299999999998E-2</v>
      </c>
      <c r="E32" s="591"/>
      <c r="F32" s="591"/>
      <c r="G32" s="591"/>
      <c r="H32" s="591"/>
      <c r="I32" s="591"/>
      <c r="J32" s="591"/>
      <c r="K32" s="600"/>
    </row>
    <row r="33" spans="1:11" s="2" customFormat="1" ht="15.75" customHeight="1">
      <c r="A33" s="3">
        <v>8</v>
      </c>
      <c r="B33" s="920" t="s">
        <v>593</v>
      </c>
      <c r="C33" s="153" t="s">
        <v>127</v>
      </c>
      <c r="D33" s="590"/>
      <c r="E33" s="591">
        <v>-0.2</v>
      </c>
      <c r="F33" s="591"/>
      <c r="G33" s="591"/>
      <c r="H33" s="591">
        <v>0.43735992410792995</v>
      </c>
      <c r="I33" s="591">
        <v>0.36487431850000007</v>
      </c>
      <c r="J33" s="591">
        <v>0.8</v>
      </c>
      <c r="K33" s="600"/>
    </row>
    <row r="34" spans="1:11" s="2" customFormat="1" ht="19.5" customHeight="1">
      <c r="A34" s="3">
        <v>9</v>
      </c>
      <c r="B34" s="921" t="s">
        <v>558</v>
      </c>
      <c r="C34" s="153" t="s">
        <v>127</v>
      </c>
      <c r="D34" s="590"/>
      <c r="E34" s="591"/>
      <c r="F34" s="591">
        <v>0.2665882186224135</v>
      </c>
      <c r="G34" s="591">
        <v>0.27919838097348892</v>
      </c>
      <c r="H34" s="591">
        <v>0.32003129687985488</v>
      </c>
      <c r="I34" s="591">
        <v>0.31146756609120374</v>
      </c>
      <c r="J34" s="591">
        <v>1.3</v>
      </c>
      <c r="K34" s="600"/>
    </row>
    <row r="35" spans="1:11" s="2" customFormat="1" ht="15.75" customHeight="1">
      <c r="A35" s="3">
        <v>10</v>
      </c>
      <c r="B35" s="921" t="s">
        <v>559</v>
      </c>
      <c r="C35" s="153" t="s">
        <v>127</v>
      </c>
      <c r="D35" s="590"/>
      <c r="E35" s="591"/>
      <c r="F35" s="591">
        <v>-4.605533648668212E-2</v>
      </c>
      <c r="G35" s="591">
        <v>-0.24160684040296318</v>
      </c>
      <c r="H35" s="591">
        <v>-0.43932940036648516</v>
      </c>
      <c r="I35" s="591">
        <v>-0.73342329185339117</v>
      </c>
      <c r="J35" s="591">
        <v>-0.7</v>
      </c>
      <c r="K35" s="600"/>
    </row>
    <row r="36" spans="1:11" s="2" customFormat="1" ht="15" customHeight="1">
      <c r="A36" s="3">
        <v>11</v>
      </c>
      <c r="B36" s="920" t="s">
        <v>560</v>
      </c>
      <c r="C36" s="153" t="s">
        <v>127</v>
      </c>
      <c r="D36" s="590"/>
      <c r="E36" s="591"/>
      <c r="F36" s="591"/>
      <c r="G36" s="591">
        <v>-0.61951065000000005</v>
      </c>
      <c r="H36" s="591">
        <v>-0.62203774999999994</v>
      </c>
      <c r="I36" s="591">
        <v>-5.300003000000001E-2</v>
      </c>
      <c r="J36" s="591"/>
      <c r="K36" s="600"/>
    </row>
    <row r="37" spans="1:11" s="2" customFormat="1" ht="15" customHeight="1">
      <c r="A37" s="3">
        <v>12</v>
      </c>
      <c r="B37" s="920" t="s">
        <v>561</v>
      </c>
      <c r="C37" s="153" t="s">
        <v>127</v>
      </c>
      <c r="D37" s="590"/>
      <c r="E37" s="591"/>
      <c r="F37" s="591"/>
      <c r="G37" s="591">
        <v>-1.350951</v>
      </c>
      <c r="H37" s="591">
        <v>-1.5260333799999999</v>
      </c>
      <c r="I37" s="591">
        <v>-1.6605797499999999</v>
      </c>
      <c r="J37" s="591">
        <v>-3.1</v>
      </c>
      <c r="K37" s="600"/>
    </row>
    <row r="38" spans="1:11" s="2" customFormat="1" ht="15.75" customHeight="1">
      <c r="A38" s="3">
        <v>13</v>
      </c>
      <c r="B38" s="921" t="s">
        <v>592</v>
      </c>
      <c r="C38" s="153" t="s">
        <v>127</v>
      </c>
      <c r="D38" s="590"/>
      <c r="E38" s="591"/>
      <c r="F38" s="591"/>
      <c r="G38" s="591"/>
      <c r="H38" s="591">
        <v>2.5514745699999999</v>
      </c>
      <c r="I38" s="591">
        <v>2.5151102999999999</v>
      </c>
      <c r="J38" s="591">
        <v>2.7</v>
      </c>
      <c r="K38" s="600"/>
    </row>
    <row r="39" spans="1:11" s="2" customFormat="1">
      <c r="A39" s="3">
        <v>14</v>
      </c>
      <c r="B39" s="927" t="s">
        <v>603</v>
      </c>
      <c r="C39" s="153" t="s">
        <v>127</v>
      </c>
      <c r="D39" s="590"/>
      <c r="E39" s="591"/>
      <c r="F39" s="591"/>
      <c r="G39" s="591"/>
      <c r="H39" s="591"/>
      <c r="I39" s="591"/>
      <c r="J39" s="591">
        <v>-0.61519999999999997</v>
      </c>
      <c r="K39" s="600"/>
    </row>
    <row r="40" spans="1:11" s="2" customFormat="1">
      <c r="A40" s="3">
        <v>15</v>
      </c>
      <c r="B40" s="927" t="s">
        <v>604</v>
      </c>
      <c r="C40" s="153" t="s">
        <v>127</v>
      </c>
      <c r="D40" s="590"/>
      <c r="E40" s="591"/>
      <c r="F40" s="591"/>
      <c r="G40" s="591"/>
      <c r="H40" s="591"/>
      <c r="I40" s="591"/>
      <c r="J40" s="591">
        <v>-1.9</v>
      </c>
      <c r="K40" s="600"/>
    </row>
    <row r="41" spans="1:11" s="2" customFormat="1">
      <c r="A41" s="3">
        <v>16</v>
      </c>
      <c r="B41" s="937" t="s">
        <v>562</v>
      </c>
      <c r="C41" s="153" t="s">
        <v>127</v>
      </c>
      <c r="D41" s="590">
        <v>0.22260574363929209</v>
      </c>
      <c r="E41" s="591">
        <v>-6.8545294660850686E-2</v>
      </c>
      <c r="F41" s="591">
        <v>4.6622096311352834E-3</v>
      </c>
      <c r="G41" s="591">
        <v>-0.45333515404558966</v>
      </c>
      <c r="H41" s="591">
        <v>-0.68204664137402915</v>
      </c>
      <c r="I41" s="591">
        <v>-0.43406487280464034</v>
      </c>
      <c r="J41" s="591">
        <v>0.35295418135814316</v>
      </c>
      <c r="K41" s="600"/>
    </row>
    <row r="42" spans="1:11" s="2" customFormat="1">
      <c r="A42" s="3">
        <v>17</v>
      </c>
      <c r="B42" s="513" t="s">
        <v>242</v>
      </c>
      <c r="C42" s="153" t="s">
        <v>127</v>
      </c>
      <c r="D42" s="590"/>
      <c r="E42" s="591"/>
      <c r="F42" s="591"/>
      <c r="G42" s="591"/>
      <c r="H42" s="591"/>
      <c r="I42" s="591"/>
      <c r="J42" s="591"/>
      <c r="K42" s="600"/>
    </row>
    <row r="43" spans="1:11" s="2" customFormat="1">
      <c r="A43" s="3">
        <v>18</v>
      </c>
      <c r="B43" s="513" t="s">
        <v>242</v>
      </c>
      <c r="C43" s="153" t="s">
        <v>127</v>
      </c>
      <c r="D43" s="590"/>
      <c r="E43" s="591"/>
      <c r="F43" s="591"/>
      <c r="G43" s="591"/>
      <c r="H43" s="591"/>
      <c r="I43" s="591"/>
      <c r="J43" s="591"/>
      <c r="K43" s="600"/>
    </row>
    <row r="44" spans="1:11" s="2" customFormat="1">
      <c r="A44" s="3">
        <v>19</v>
      </c>
      <c r="B44" s="513" t="s">
        <v>242</v>
      </c>
      <c r="C44" s="153" t="s">
        <v>127</v>
      </c>
      <c r="D44" s="590"/>
      <c r="E44" s="591"/>
      <c r="F44" s="591"/>
      <c r="G44" s="591"/>
      <c r="H44" s="591"/>
      <c r="I44" s="591"/>
      <c r="J44" s="591"/>
      <c r="K44" s="600"/>
    </row>
    <row r="45" spans="1:11" s="2" customFormat="1">
      <c r="A45" s="3">
        <v>20</v>
      </c>
      <c r="B45" s="513" t="s">
        <v>242</v>
      </c>
      <c r="C45" s="153" t="s">
        <v>127</v>
      </c>
      <c r="D45" s="590"/>
      <c r="E45" s="591"/>
      <c r="F45" s="591"/>
      <c r="G45" s="591"/>
      <c r="H45" s="591"/>
      <c r="I45" s="591"/>
      <c r="J45" s="591"/>
      <c r="K45" s="600"/>
    </row>
    <row r="46" spans="1:11" s="2" customFormat="1">
      <c r="B46" s="12" t="s">
        <v>400</v>
      </c>
      <c r="C46" s="153" t="s">
        <v>127</v>
      </c>
      <c r="D46" s="604">
        <f>SUM(D26:D45)</f>
        <v>1.6162344476844281</v>
      </c>
      <c r="E46" s="605">
        <f t="shared" ref="E46:K46" si="3">SUM(E26:E45)</f>
        <v>2.7526578002407724</v>
      </c>
      <c r="F46" s="605">
        <f t="shared" si="3"/>
        <v>4.0003022109933406</v>
      </c>
      <c r="G46" s="605">
        <f t="shared" si="3"/>
        <v>-4.0876403043652036</v>
      </c>
      <c r="H46" s="605">
        <f t="shared" si="3"/>
        <v>0.73295650760580777</v>
      </c>
      <c r="I46" s="605">
        <f t="shared" si="3"/>
        <v>1.8492257259057849</v>
      </c>
      <c r="J46" s="605">
        <f t="shared" si="3"/>
        <v>-2.1711062272132846</v>
      </c>
      <c r="K46" s="606">
        <f t="shared" si="3"/>
        <v>0</v>
      </c>
    </row>
    <row r="47" spans="1:11" s="2" customFormat="1">
      <c r="C47" s="137"/>
      <c r="D47" s="53"/>
      <c r="E47" s="52"/>
      <c r="F47" s="52"/>
      <c r="G47" s="52"/>
      <c r="H47" s="52"/>
      <c r="I47" s="52"/>
      <c r="J47" s="52"/>
      <c r="K47" s="52"/>
    </row>
    <row r="48" spans="1:11" s="2" customFormat="1">
      <c r="B48" s="12" t="s">
        <v>446</v>
      </c>
      <c r="C48" s="153" t="s">
        <v>127</v>
      </c>
      <c r="D48" s="604">
        <f>D46+D23</f>
        <v>318.19511783768428</v>
      </c>
      <c r="E48" s="605">
        <f t="shared" ref="E48:K48" si="4">E46+E23</f>
        <v>289.14705392024092</v>
      </c>
      <c r="F48" s="605">
        <f t="shared" si="4"/>
        <v>297.05986144704411</v>
      </c>
      <c r="G48" s="605">
        <f t="shared" si="4"/>
        <v>314.6267662667172</v>
      </c>
      <c r="H48" s="605">
        <f t="shared" si="4"/>
        <v>344.00895229485548</v>
      </c>
      <c r="I48" s="605">
        <f t="shared" si="4"/>
        <v>346.16951084120655</v>
      </c>
      <c r="J48" s="605">
        <f t="shared" si="4"/>
        <v>349.61811279994959</v>
      </c>
      <c r="K48" s="606">
        <f t="shared" si="4"/>
        <v>0</v>
      </c>
    </row>
    <row r="49" spans="1:14" s="2" customFormat="1">
      <c r="B49" s="2" t="s">
        <v>401</v>
      </c>
      <c r="C49" s="153" t="s">
        <v>127</v>
      </c>
      <c r="D49" s="588">
        <v>318.19511783768428</v>
      </c>
      <c r="E49" s="589">
        <v>289.14705392024092</v>
      </c>
      <c r="F49" s="589">
        <v>297.05986144704411</v>
      </c>
      <c r="G49" s="589">
        <v>314.6267662667172</v>
      </c>
      <c r="H49" s="589">
        <v>344.00895229485548</v>
      </c>
      <c r="I49" s="589">
        <v>346.16951084120655</v>
      </c>
      <c r="J49" s="589">
        <v>349.61811279994959</v>
      </c>
      <c r="K49" s="599"/>
      <c r="N49" s="934"/>
    </row>
    <row r="50" spans="1:14" s="2" customFormat="1">
      <c r="C50" s="137" t="s">
        <v>404</v>
      </c>
      <c r="D50" s="635" t="str">
        <f>IF(D$5="Actuals",IF(ABS(D48-D49)&lt;1,"OK","ERROR"),"N/A")</f>
        <v>OK</v>
      </c>
      <c r="E50" s="636" t="str">
        <f t="shared" ref="E50:K50" si="5">IF(E$5="Actuals",IF(ABS(E48-E49)&lt;1,"OK","ERROR"),"N/A")</f>
        <v>OK</v>
      </c>
      <c r="F50" s="636" t="str">
        <f t="shared" si="5"/>
        <v>OK</v>
      </c>
      <c r="G50" s="636" t="str">
        <f t="shared" si="5"/>
        <v>OK</v>
      </c>
      <c r="H50" s="636" t="str">
        <f t="shared" si="5"/>
        <v>OK</v>
      </c>
      <c r="I50" s="636" t="str">
        <f t="shared" si="5"/>
        <v>OK</v>
      </c>
      <c r="J50" s="636" t="str">
        <f t="shared" si="5"/>
        <v>OK</v>
      </c>
      <c r="K50" s="637" t="str">
        <f t="shared" si="5"/>
        <v>N/A</v>
      </c>
    </row>
    <row r="51" spans="1:14" s="2" customFormat="1">
      <c r="B51" s="2" t="s">
        <v>84</v>
      </c>
      <c r="C51" s="137"/>
      <c r="D51" s="54"/>
    </row>
    <row r="52" spans="1:14" s="2" customFormat="1">
      <c r="B52" s="12" t="s">
        <v>402</v>
      </c>
      <c r="C52" s="153"/>
      <c r="D52" s="54"/>
    </row>
    <row r="53" spans="1:14" s="2" customFormat="1">
      <c r="A53" s="3">
        <v>1</v>
      </c>
      <c r="B53" s="512" t="s">
        <v>563</v>
      </c>
      <c r="C53" s="153" t="s">
        <v>127</v>
      </c>
      <c r="D53" s="588">
        <v>16.932072223808355</v>
      </c>
      <c r="E53" s="589">
        <v>18.308966734015566</v>
      </c>
      <c r="F53" s="589">
        <v>23.255566839386265</v>
      </c>
      <c r="G53" s="589">
        <v>18.301203804037776</v>
      </c>
      <c r="H53" s="589">
        <v>16.16995063586856</v>
      </c>
      <c r="I53" s="589">
        <v>18.408048287232013</v>
      </c>
      <c r="J53" s="589">
        <v>18.334837160386137</v>
      </c>
      <c r="K53" s="599"/>
    </row>
    <row r="54" spans="1:14" s="2" customFormat="1">
      <c r="A54" s="3">
        <v>2</v>
      </c>
      <c r="B54" s="512" t="s">
        <v>564</v>
      </c>
      <c r="C54" s="153" t="s">
        <v>127</v>
      </c>
      <c r="D54" s="590">
        <v>0.82024882477452832</v>
      </c>
      <c r="E54" s="591">
        <v>0.78253045889138895</v>
      </c>
      <c r="F54" s="591">
        <v>2.3310237800519578</v>
      </c>
      <c r="G54" s="591">
        <v>2.4119222903338851</v>
      </c>
      <c r="H54" s="591">
        <v>2.3356430368962631</v>
      </c>
      <c r="I54" s="591">
        <v>2.4687189218531769</v>
      </c>
      <c r="J54" s="591">
        <v>0.96939754776800657</v>
      </c>
      <c r="K54" s="600"/>
    </row>
    <row r="55" spans="1:14" s="2" customFormat="1">
      <c r="A55" s="3">
        <v>3</v>
      </c>
      <c r="B55" s="512" t="s">
        <v>565</v>
      </c>
      <c r="C55" s="153" t="s">
        <v>127</v>
      </c>
      <c r="D55" s="590">
        <v>-1.7352047652160335E-4</v>
      </c>
      <c r="E55" s="591">
        <v>0</v>
      </c>
      <c r="F55" s="591">
        <v>0</v>
      </c>
      <c r="G55" s="591">
        <v>0</v>
      </c>
      <c r="H55" s="591">
        <v>0</v>
      </c>
      <c r="I55" s="591">
        <v>0</v>
      </c>
      <c r="J55" s="591">
        <v>0</v>
      </c>
      <c r="K55" s="600"/>
    </row>
    <row r="56" spans="1:14" s="2" customFormat="1">
      <c r="A56" s="3">
        <v>4</v>
      </c>
      <c r="B56" s="512" t="s">
        <v>566</v>
      </c>
      <c r="C56" s="153" t="s">
        <v>127</v>
      </c>
      <c r="D56" s="590">
        <v>40.811600793399997</v>
      </c>
      <c r="E56" s="591">
        <v>43.28493699545718</v>
      </c>
      <c r="F56" s="591">
        <v>42.51579210538857</v>
      </c>
      <c r="G56" s="591">
        <v>44.588145163153911</v>
      </c>
      <c r="H56" s="591">
        <v>46.025052264999999</v>
      </c>
      <c r="I56" s="591">
        <v>48.621910977650565</v>
      </c>
      <c r="J56" s="591">
        <v>47.333534763333326</v>
      </c>
      <c r="K56" s="600"/>
    </row>
    <row r="57" spans="1:14" s="2" customFormat="1">
      <c r="A57" s="3">
        <v>5</v>
      </c>
      <c r="B57" s="512" t="s">
        <v>567</v>
      </c>
      <c r="C57" s="153" t="s">
        <v>127</v>
      </c>
      <c r="D57" s="590">
        <v>8.7221531546560858</v>
      </c>
      <c r="E57" s="591">
        <v>5.3860793592417942</v>
      </c>
      <c r="F57" s="591">
        <v>6.643722624590243</v>
      </c>
      <c r="G57" s="591">
        <v>8.1697690688501883</v>
      </c>
      <c r="H57" s="591">
        <v>7.8426402354700917</v>
      </c>
      <c r="I57" s="591">
        <v>8.3919567616778448</v>
      </c>
      <c r="J57" s="591">
        <v>2.6959617419047617</v>
      </c>
      <c r="K57" s="600"/>
    </row>
    <row r="58" spans="1:14" s="2" customFormat="1">
      <c r="A58" s="3">
        <v>6</v>
      </c>
      <c r="B58" s="512" t="s">
        <v>568</v>
      </c>
      <c r="C58" s="153" t="s">
        <v>127</v>
      </c>
      <c r="D58" s="590">
        <v>0.54367578254965276</v>
      </c>
      <c r="E58" s="591">
        <v>0.16936976129734344</v>
      </c>
      <c r="F58" s="591">
        <v>0.21151716670100493</v>
      </c>
      <c r="G58" s="591">
        <v>0.19372553597901679</v>
      </c>
      <c r="H58" s="591">
        <v>0.50822711323820857</v>
      </c>
      <c r="I58" s="591">
        <v>1.0967061168964523</v>
      </c>
      <c r="J58" s="591">
        <v>1.2285761945351119</v>
      </c>
      <c r="K58" s="600"/>
    </row>
    <row r="59" spans="1:14" s="2" customFormat="1">
      <c r="A59" s="3">
        <v>7</v>
      </c>
      <c r="B59" s="512" t="s">
        <v>569</v>
      </c>
      <c r="C59" s="153" t="s">
        <v>127</v>
      </c>
      <c r="D59" s="590">
        <v>0.22753745999999997</v>
      </c>
      <c r="E59" s="591">
        <v>0.78934152000000002</v>
      </c>
      <c r="F59" s="591">
        <v>0.4157114400000001</v>
      </c>
      <c r="G59" s="591">
        <v>0.79135485999999999</v>
      </c>
      <c r="H59" s="591">
        <v>0.61099999999999999</v>
      </c>
      <c r="I59" s="591">
        <v>0.42266399999999998</v>
      </c>
      <c r="J59" s="591">
        <v>0.41854045000000001</v>
      </c>
      <c r="K59" s="600"/>
    </row>
    <row r="60" spans="1:14" s="2" customFormat="1">
      <c r="A60" s="3">
        <v>8</v>
      </c>
      <c r="B60" s="512" t="s">
        <v>570</v>
      </c>
      <c r="C60" s="153" t="s">
        <v>127</v>
      </c>
      <c r="D60" s="590">
        <v>0.60478721000000013</v>
      </c>
      <c r="E60" s="591">
        <v>0.61419069000000004</v>
      </c>
      <c r="F60" s="591">
        <v>0.66206239</v>
      </c>
      <c r="G60" s="591">
        <v>0.54632916000000009</v>
      </c>
      <c r="H60" s="591">
        <v>1.1765418499999996</v>
      </c>
      <c r="I60" s="591">
        <v>1.0368289100000001</v>
      </c>
      <c r="J60" s="591">
        <v>0.17094960000000015</v>
      </c>
      <c r="K60" s="600"/>
    </row>
    <row r="61" spans="1:14" s="2" customFormat="1">
      <c r="A61" s="3">
        <v>9</v>
      </c>
      <c r="B61" s="512" t="s">
        <v>242</v>
      </c>
      <c r="C61" s="153" t="s">
        <v>127</v>
      </c>
      <c r="D61" s="590"/>
      <c r="E61" s="591"/>
      <c r="F61" s="591"/>
      <c r="G61" s="591"/>
      <c r="H61" s="591"/>
      <c r="I61" s="591"/>
      <c r="J61" s="591"/>
      <c r="K61" s="600"/>
    </row>
    <row r="62" spans="1:14" s="2" customFormat="1">
      <c r="A62" s="3">
        <v>10</v>
      </c>
      <c r="B62" s="512" t="s">
        <v>242</v>
      </c>
      <c r="C62" s="153" t="s">
        <v>127</v>
      </c>
      <c r="D62" s="590"/>
      <c r="E62" s="591"/>
      <c r="F62" s="591"/>
      <c r="G62" s="591"/>
      <c r="H62" s="591"/>
      <c r="I62" s="591"/>
      <c r="J62" s="591"/>
      <c r="K62" s="600"/>
    </row>
    <row r="63" spans="1:14" s="2" customFormat="1">
      <c r="A63" s="3">
        <v>11</v>
      </c>
      <c r="B63" s="512" t="s">
        <v>242</v>
      </c>
      <c r="C63" s="153" t="s">
        <v>127</v>
      </c>
      <c r="D63" s="590"/>
      <c r="E63" s="591"/>
      <c r="F63" s="591"/>
      <c r="G63" s="591"/>
      <c r="H63" s="591"/>
      <c r="I63" s="591"/>
      <c r="J63" s="591"/>
      <c r="K63" s="600"/>
    </row>
    <row r="64" spans="1:14" s="2" customFormat="1">
      <c r="A64" s="3">
        <v>12</v>
      </c>
      <c r="B64" s="512" t="s">
        <v>242</v>
      </c>
      <c r="C64" s="153" t="s">
        <v>127</v>
      </c>
      <c r="D64" s="590"/>
      <c r="E64" s="591"/>
      <c r="F64" s="591"/>
      <c r="G64" s="591"/>
      <c r="H64" s="591"/>
      <c r="I64" s="591"/>
      <c r="J64" s="591"/>
      <c r="K64" s="600"/>
    </row>
    <row r="65" spans="1:11" s="2" customFormat="1">
      <c r="A65" s="3">
        <v>13</v>
      </c>
      <c r="B65" s="512" t="s">
        <v>242</v>
      </c>
      <c r="C65" s="153" t="s">
        <v>127</v>
      </c>
      <c r="D65" s="590"/>
      <c r="E65" s="591"/>
      <c r="F65" s="591"/>
      <c r="G65" s="591"/>
      <c r="H65" s="591"/>
      <c r="I65" s="591"/>
      <c r="J65" s="591"/>
      <c r="K65" s="600"/>
    </row>
    <row r="66" spans="1:11" s="2" customFormat="1">
      <c r="A66" s="3">
        <v>14</v>
      </c>
      <c r="B66" s="512" t="s">
        <v>242</v>
      </c>
      <c r="C66" s="153" t="s">
        <v>127</v>
      </c>
      <c r="D66" s="590"/>
      <c r="E66" s="591"/>
      <c r="F66" s="591"/>
      <c r="G66" s="591"/>
      <c r="H66" s="591"/>
      <c r="I66" s="591"/>
      <c r="J66" s="591"/>
      <c r="K66" s="600"/>
    </row>
    <row r="67" spans="1:11" s="2" customFormat="1">
      <c r="A67" s="3">
        <v>15</v>
      </c>
      <c r="B67" s="512" t="s">
        <v>242</v>
      </c>
      <c r="C67" s="153" t="s">
        <v>127</v>
      </c>
      <c r="D67" s="590"/>
      <c r="E67" s="591"/>
      <c r="F67" s="591"/>
      <c r="G67" s="591"/>
      <c r="H67" s="591"/>
      <c r="I67" s="591"/>
      <c r="J67" s="591"/>
      <c r="K67" s="600"/>
    </row>
    <row r="68" spans="1:11" s="2" customFormat="1">
      <c r="A68" s="3">
        <v>16</v>
      </c>
      <c r="B68" s="512" t="s">
        <v>242</v>
      </c>
      <c r="C68" s="153" t="s">
        <v>127</v>
      </c>
      <c r="D68" s="590"/>
      <c r="E68" s="591"/>
      <c r="F68" s="591"/>
      <c r="G68" s="591"/>
      <c r="H68" s="591"/>
      <c r="I68" s="591"/>
      <c r="J68" s="591"/>
      <c r="K68" s="600"/>
    </row>
    <row r="69" spans="1:11" s="2" customFormat="1">
      <c r="A69" s="3">
        <v>17</v>
      </c>
      <c r="B69" s="512" t="s">
        <v>242</v>
      </c>
      <c r="C69" s="153" t="s">
        <v>127</v>
      </c>
      <c r="D69" s="590"/>
      <c r="E69" s="591"/>
      <c r="F69" s="591"/>
      <c r="G69" s="591"/>
      <c r="H69" s="591"/>
      <c r="I69" s="591"/>
      <c r="J69" s="591"/>
      <c r="K69" s="600"/>
    </row>
    <row r="70" spans="1:11" s="2" customFormat="1">
      <c r="A70" s="3">
        <v>18</v>
      </c>
      <c r="B70" s="512" t="s">
        <v>242</v>
      </c>
      <c r="C70" s="153" t="s">
        <v>127</v>
      </c>
      <c r="D70" s="590"/>
      <c r="E70" s="591"/>
      <c r="F70" s="591"/>
      <c r="G70" s="591"/>
      <c r="H70" s="591"/>
      <c r="I70" s="591"/>
      <c r="J70" s="591"/>
      <c r="K70" s="600"/>
    </row>
    <row r="71" spans="1:11" s="2" customFormat="1">
      <c r="A71" s="3">
        <v>19</v>
      </c>
      <c r="B71" s="512" t="s">
        <v>242</v>
      </c>
      <c r="C71" s="153" t="s">
        <v>127</v>
      </c>
      <c r="D71" s="590"/>
      <c r="E71" s="591"/>
      <c r="F71" s="591"/>
      <c r="G71" s="591"/>
      <c r="H71" s="591"/>
      <c r="I71" s="591"/>
      <c r="J71" s="591"/>
      <c r="K71" s="600"/>
    </row>
    <row r="72" spans="1:11" s="2" customFormat="1">
      <c r="A72" s="3">
        <v>20</v>
      </c>
      <c r="B72" s="512" t="s">
        <v>242</v>
      </c>
      <c r="C72" s="153" t="s">
        <v>127</v>
      </c>
      <c r="D72" s="590"/>
      <c r="E72" s="591"/>
      <c r="F72" s="591"/>
      <c r="G72" s="591"/>
      <c r="H72" s="591"/>
      <c r="I72" s="591"/>
      <c r="J72" s="591"/>
      <c r="K72" s="600"/>
    </row>
    <row r="73" spans="1:11" s="2" customFormat="1">
      <c r="A73" s="3">
        <v>21</v>
      </c>
      <c r="B73" s="512" t="s">
        <v>242</v>
      </c>
      <c r="C73" s="153" t="s">
        <v>127</v>
      </c>
      <c r="D73" s="590"/>
      <c r="E73" s="591"/>
      <c r="F73" s="591"/>
      <c r="G73" s="591"/>
      <c r="H73" s="591"/>
      <c r="I73" s="591"/>
      <c r="J73" s="591"/>
      <c r="K73" s="600"/>
    </row>
    <row r="74" spans="1:11" s="2" customFormat="1">
      <c r="A74" s="3">
        <v>22</v>
      </c>
      <c r="B74" s="512" t="s">
        <v>242</v>
      </c>
      <c r="C74" s="153" t="s">
        <v>127</v>
      </c>
      <c r="D74" s="590"/>
      <c r="E74" s="591"/>
      <c r="F74" s="591"/>
      <c r="G74" s="591"/>
      <c r="H74" s="591"/>
      <c r="I74" s="591"/>
      <c r="J74" s="591"/>
      <c r="K74" s="600"/>
    </row>
    <row r="75" spans="1:11" s="2" customFormat="1">
      <c r="A75" s="3">
        <v>23</v>
      </c>
      <c r="B75" s="512" t="s">
        <v>242</v>
      </c>
      <c r="C75" s="153" t="s">
        <v>127</v>
      </c>
      <c r="D75" s="590"/>
      <c r="E75" s="591"/>
      <c r="F75" s="591"/>
      <c r="G75" s="591"/>
      <c r="H75" s="591"/>
      <c r="I75" s="591"/>
      <c r="J75" s="591"/>
      <c r="K75" s="600"/>
    </row>
    <row r="76" spans="1:11" s="2" customFormat="1">
      <c r="A76" s="3">
        <v>24</v>
      </c>
      <c r="B76" s="512" t="s">
        <v>242</v>
      </c>
      <c r="C76" s="153" t="s">
        <v>127</v>
      </c>
      <c r="D76" s="590"/>
      <c r="E76" s="591"/>
      <c r="F76" s="591"/>
      <c r="G76" s="591"/>
      <c r="H76" s="591"/>
      <c r="I76" s="591"/>
      <c r="J76" s="591"/>
      <c r="K76" s="600"/>
    </row>
    <row r="77" spans="1:11" s="2" customFormat="1">
      <c r="A77" s="3">
        <v>25</v>
      </c>
      <c r="B77" s="512" t="s">
        <v>242</v>
      </c>
      <c r="C77" s="153" t="s">
        <v>127</v>
      </c>
      <c r="D77" s="626"/>
      <c r="E77" s="627"/>
      <c r="F77" s="627"/>
      <c r="G77" s="627"/>
      <c r="H77" s="627"/>
      <c r="I77" s="627"/>
      <c r="J77" s="627"/>
      <c r="K77" s="628"/>
    </row>
    <row r="78" spans="1:11" s="2" customFormat="1">
      <c r="B78" s="12" t="s">
        <v>170</v>
      </c>
      <c r="C78" s="153" t="s">
        <v>127</v>
      </c>
      <c r="D78" s="604">
        <f>SUM(D53:D77)</f>
        <v>68.661901928712084</v>
      </c>
      <c r="E78" s="605">
        <f t="shared" ref="E78:K78" si="6">SUM(E53:E77)</f>
        <v>69.335415518903275</v>
      </c>
      <c r="F78" s="605">
        <f t="shared" si="6"/>
        <v>76.035396346118034</v>
      </c>
      <c r="G78" s="605">
        <f t="shared" si="6"/>
        <v>75.002449882354767</v>
      </c>
      <c r="H78" s="605">
        <f t="shared" si="6"/>
        <v>74.669055136473133</v>
      </c>
      <c r="I78" s="605">
        <f t="shared" si="6"/>
        <v>80.446833975310057</v>
      </c>
      <c r="J78" s="605">
        <f t="shared" si="6"/>
        <v>71.151797457927344</v>
      </c>
      <c r="K78" s="606">
        <f t="shared" si="6"/>
        <v>0</v>
      </c>
    </row>
    <row r="79" spans="1:11" s="2" customFormat="1">
      <c r="C79" s="137"/>
      <c r="D79" s="53"/>
      <c r="E79" s="52"/>
      <c r="F79" s="52"/>
      <c r="G79" s="52"/>
      <c r="H79" s="52"/>
      <c r="I79" s="52"/>
      <c r="J79" s="52"/>
      <c r="K79" s="52"/>
    </row>
    <row r="80" spans="1:11" s="2" customFormat="1">
      <c r="B80" s="12" t="s">
        <v>403</v>
      </c>
      <c r="C80" s="153" t="s">
        <v>127</v>
      </c>
      <c r="D80" s="604">
        <f>D48-D78</f>
        <v>249.53321590897218</v>
      </c>
      <c r="E80" s="605">
        <f t="shared" ref="E80:K80" si="7">E48-E78</f>
        <v>219.81163840133763</v>
      </c>
      <c r="F80" s="605">
        <f t="shared" si="7"/>
        <v>221.02446510092608</v>
      </c>
      <c r="G80" s="605">
        <f t="shared" si="7"/>
        <v>239.62431638436243</v>
      </c>
      <c r="H80" s="605">
        <f t="shared" si="7"/>
        <v>269.33989715838231</v>
      </c>
      <c r="I80" s="605">
        <f t="shared" si="7"/>
        <v>265.72267686589646</v>
      </c>
      <c r="J80" s="605">
        <f t="shared" si="7"/>
        <v>278.46631534202226</v>
      </c>
      <c r="K80" s="606">
        <f t="shared" si="7"/>
        <v>0</v>
      </c>
    </row>
    <row r="81" spans="2:14" s="2" customFormat="1">
      <c r="B81" s="12" t="s">
        <v>488</v>
      </c>
      <c r="C81" s="153" t="s">
        <v>127</v>
      </c>
      <c r="D81" s="638">
        <f>'R4 - Totex'!D90+'R4 - Totex'!D118</f>
        <v>249.53321590897215</v>
      </c>
      <c r="E81" s="639">
        <f>'R4 - Totex'!E90+'R4 - Totex'!E118</f>
        <v>219.81163840133766</v>
      </c>
      <c r="F81" s="639">
        <f>'R4 - Totex'!F90+'R4 - Totex'!F118</f>
        <v>221.02446510092605</v>
      </c>
      <c r="G81" s="639">
        <f>'R4 - Totex'!G90+'R4 - Totex'!G118</f>
        <v>239.62431638436237</v>
      </c>
      <c r="H81" s="639">
        <f>'R4 - Totex'!H90+'R4 - Totex'!H118</f>
        <v>269.33989715838243</v>
      </c>
      <c r="I81" s="639">
        <f>'R4 - Totex'!I90+'R4 - Totex'!I118</f>
        <v>265.72267686589652</v>
      </c>
      <c r="J81" s="639">
        <f>'R4 - Totex'!J90+'R4 - Totex'!J118</f>
        <v>278.47089299202219</v>
      </c>
      <c r="K81" s="639">
        <f>'R4 - Totex'!K90+'R4 - Totex'!K118</f>
        <v>320.00219006846794</v>
      </c>
      <c r="M81" s="933"/>
      <c r="N81" s="933"/>
    </row>
    <row r="82" spans="2:14" s="2" customFormat="1">
      <c r="C82" s="137" t="s">
        <v>404</v>
      </c>
      <c r="D82" s="566" t="str">
        <f>IF(D$5="Actuals",IF(ABS(D80-('R4 - Totex'!D90+'R4 - Totex'!D118))&lt;'RFPR cover'!$F$14,"OK","Error"),"N/A")</f>
        <v>OK</v>
      </c>
      <c r="E82" s="566" t="str">
        <f>IF(E$5="Actuals",IF(ABS(E80-('R4 - Totex'!E90+'R4 - Totex'!E118))&lt;'RFPR cover'!$F$14,"OK","Error"),"N/A")</f>
        <v>OK</v>
      </c>
      <c r="F82" s="566" t="str">
        <f>IF(F$5="Actuals",IF(ABS(F80-('R4 - Totex'!F90+'R4 - Totex'!F118))&lt;'RFPR cover'!$F$14,"OK","Error"),"N/A")</f>
        <v>OK</v>
      </c>
      <c r="G82" s="566" t="str">
        <f>IF(G$5="Actuals",IF(ABS(G80-('R4 - Totex'!G90+'R4 - Totex'!G118))&lt;'RFPR cover'!$F$14,"OK","Error"),"N/A")</f>
        <v>OK</v>
      </c>
      <c r="H82" s="566" t="str">
        <f>IF(H$5="Actuals",IF(ABS(H80-('R4 - Totex'!H90+'R4 - Totex'!H118))&lt;'RFPR cover'!$F$14,"OK","Error"),"N/A")</f>
        <v>OK</v>
      </c>
      <c r="I82" s="566" t="str">
        <f>IF(I$5="Actuals",IF(ABS(I80-('R4 - Totex'!I90+'R4 - Totex'!I118))&lt;'RFPR cover'!$F$14,"OK","Error"),"N/A")</f>
        <v>OK</v>
      </c>
      <c r="J82" s="566" t="str">
        <f>IF(J$5="Actuals",IF(ABS(J80-('R4 - Totex'!J90+'R4 - Totex'!J118))&lt;'RFPR cover'!$F$14,"OK","Error"),"N/A")</f>
        <v>OK</v>
      </c>
      <c r="K82" s="566" t="str">
        <f>IF(K$5="Actuals",IF(ABS(K80-('R4 - Totex'!K90+'R4 - Totex'!K118))&lt;'RFPR cover'!$F$14,"OK","Error"),"N/A")</f>
        <v>N/A</v>
      </c>
    </row>
    <row r="83" spans="2:14" s="2" customFormat="1">
      <c r="C83" s="137"/>
    </row>
    <row r="84" spans="2:14">
      <c r="D84" s="216"/>
      <c r="E84" s="216"/>
      <c r="F84" s="216"/>
      <c r="G84" s="216"/>
      <c r="H84" s="216"/>
      <c r="I84" s="216"/>
      <c r="J84" s="216"/>
      <c r="K84" s="216"/>
    </row>
    <row r="85" spans="2:14">
      <c r="D85" s="216"/>
      <c r="E85" s="216"/>
      <c r="F85" s="216"/>
      <c r="G85" s="216"/>
      <c r="H85" s="216"/>
      <c r="I85" s="216"/>
      <c r="J85" s="216"/>
      <c r="K85" s="216"/>
    </row>
    <row r="86" spans="2:14">
      <c r="D86" s="216"/>
      <c r="E86" s="216"/>
      <c r="F86" s="216"/>
      <c r="G86" s="216"/>
      <c r="H86" s="216"/>
      <c r="I86" s="216"/>
      <c r="J86" s="216"/>
      <c r="K86" s="216"/>
    </row>
  </sheetData>
  <sheetProtection algorithmName="SHA-512" hashValue="3NUDcl59qJrxuIzUERaa0DFRRHFyeVoEqyqrjpZLo2wU5JHjgQ8QGL/sqBQAoWjK0wibXfcAkr4Mpa8skpbm6w==" saltValue="SXMqzJ3bnIY5IgRFrTdt+g==" spinCount="100000" sheet="1" objects="1" scenarios="1"/>
  <conditionalFormatting sqref="D6:J6">
    <cfRule type="expression" dxfId="77" priority="24">
      <formula>AND(D$5="Actuals",E$5="N/A")</formula>
    </cfRule>
  </conditionalFormatting>
  <conditionalFormatting sqref="D5:K5">
    <cfRule type="expression" dxfId="76" priority="15">
      <formula>AND(D$5="Actuals",E$5="N/A")</formula>
    </cfRule>
  </conditionalFormatting>
  <conditionalFormatting sqref="D48:K48 D53:K78 D80:K80 D82:K82 D18:K19 D23:K23 H26:K26 D50:K50 D49:H49 J49:K49 D9:K14 I27:K31 H32:K39 D42:K46 J41:K41 D40:K40">
    <cfRule type="expression" dxfId="75" priority="10">
      <formula>D$5="N/A"</formula>
    </cfRule>
  </conditionalFormatting>
  <conditionalFormatting sqref="D15:K17">
    <cfRule type="expression" dxfId="74" priority="9">
      <formula>D$5="N/A"</formula>
    </cfRule>
  </conditionalFormatting>
  <conditionalFormatting sqref="D20:K22">
    <cfRule type="expression" dxfId="73" priority="8">
      <formula>D$5="N/A"</formula>
    </cfRule>
  </conditionalFormatting>
  <conditionalFormatting sqref="D26:G38">
    <cfRule type="expression" dxfId="72" priority="7">
      <formula>D$5="N/A"</formula>
    </cfRule>
  </conditionalFormatting>
  <conditionalFormatting sqref="H27:H30">
    <cfRule type="expression" dxfId="71" priority="6">
      <formula>H$5="N/A"</formula>
    </cfRule>
  </conditionalFormatting>
  <conditionalFormatting sqref="H31">
    <cfRule type="expression" dxfId="70" priority="5">
      <formula>H$5="N/A"</formula>
    </cfRule>
  </conditionalFormatting>
  <conditionalFormatting sqref="D39:G39">
    <cfRule type="expression" dxfId="69" priority="4">
      <formula>D$5="N/A"</formula>
    </cfRule>
  </conditionalFormatting>
  <conditionalFormatting sqref="I49">
    <cfRule type="expression" dxfId="68" priority="3">
      <formula>I$5="N/A"</formula>
    </cfRule>
  </conditionalFormatting>
  <conditionalFormatting sqref="H41:I41">
    <cfRule type="expression" dxfId="67" priority="2">
      <formula>H$5="N/A"</formula>
    </cfRule>
  </conditionalFormatting>
  <conditionalFormatting sqref="D41:G41">
    <cfRule type="expression" dxfId="66" priority="1">
      <formula>D$5="N/A"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90" t="s">
        <v>99</v>
      </c>
      <c r="B1" s="912"/>
      <c r="C1" s="279"/>
      <c r="D1" s="257"/>
      <c r="E1" s="257"/>
      <c r="F1" s="257"/>
      <c r="G1" s="257"/>
      <c r="H1" s="257"/>
      <c r="I1" s="258"/>
      <c r="J1" s="258"/>
      <c r="K1" s="259"/>
      <c r="L1" s="259"/>
      <c r="M1" s="259"/>
      <c r="N1" s="259"/>
      <c r="O1" s="358"/>
    </row>
    <row r="2" spans="1:20" s="31" customFormat="1" ht="20.25">
      <c r="A2" s="893" t="str">
        <f>'RFPR cover'!C5</f>
        <v>NPgY</v>
      </c>
      <c r="B2" s="906"/>
      <c r="C2" s="135"/>
      <c r="D2" s="29"/>
      <c r="E2" s="29"/>
      <c r="F2" s="29"/>
      <c r="G2" s="29"/>
      <c r="H2" s="29"/>
      <c r="I2" s="27"/>
      <c r="J2" s="27"/>
      <c r="K2" s="27"/>
      <c r="L2" s="27"/>
      <c r="M2" s="27"/>
      <c r="N2" s="27"/>
      <c r="O2" s="124"/>
    </row>
    <row r="3" spans="1:20" s="31" customFormat="1" ht="20.25">
      <c r="A3" s="896">
        <f>'RFPR cover'!C7</f>
        <v>2022</v>
      </c>
      <c r="B3" s="907"/>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20" ht="27.75" customHeight="1">
      <c r="B6" s="768"/>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c r="N6" s="120" t="s">
        <v>308</v>
      </c>
    </row>
    <row r="7" spans="1:20" s="35" customFormat="1">
      <c r="B7" s="769"/>
      <c r="C7" s="159"/>
      <c r="D7" s="58"/>
      <c r="E7" s="58"/>
      <c r="F7" s="58"/>
      <c r="G7" s="58"/>
      <c r="H7" s="58"/>
      <c r="I7" s="58"/>
      <c r="J7" s="58"/>
      <c r="K7" s="58"/>
      <c r="L7" s="58"/>
      <c r="M7" s="58"/>
      <c r="N7" s="58"/>
    </row>
    <row r="8" spans="1:20" s="35" customFormat="1">
      <c r="B8" s="770" t="s">
        <v>391</v>
      </c>
      <c r="C8" s="290"/>
      <c r="D8" s="320"/>
      <c r="E8" s="320"/>
      <c r="F8" s="320"/>
      <c r="G8" s="320"/>
      <c r="H8" s="320"/>
      <c r="I8" s="320"/>
      <c r="J8" s="320"/>
      <c r="K8" s="320"/>
      <c r="L8" s="320"/>
      <c r="M8" s="320"/>
      <c r="N8" s="320"/>
    </row>
    <row r="9" spans="1:20" s="35" customFormat="1">
      <c r="B9" s="769"/>
      <c r="C9" s="159"/>
      <c r="D9" s="58"/>
      <c r="E9" s="58"/>
      <c r="F9" s="58"/>
      <c r="G9" s="58"/>
      <c r="H9" s="58"/>
      <c r="I9" s="58"/>
      <c r="J9" s="58"/>
      <c r="K9" s="58"/>
      <c r="L9" s="58"/>
      <c r="M9" s="58"/>
      <c r="N9" s="58"/>
    </row>
    <row r="10" spans="1:20">
      <c r="A10" s="35"/>
      <c r="B10" s="771" t="str">
        <f>Data!B48</f>
        <v>Totex</v>
      </c>
      <c r="C10" s="151"/>
      <c r="D10" s="82"/>
      <c r="E10" s="82"/>
      <c r="F10" s="82"/>
      <c r="G10" s="82"/>
      <c r="H10" s="82"/>
      <c r="I10" s="82"/>
      <c r="J10" s="82"/>
      <c r="K10" s="82"/>
      <c r="L10" s="82"/>
      <c r="M10" s="82"/>
      <c r="N10" s="82"/>
    </row>
    <row r="11" spans="1:20" s="35" customFormat="1">
      <c r="B11" s="772"/>
      <c r="C11" s="139"/>
      <c r="D11" s="319"/>
      <c r="E11" s="319"/>
      <c r="F11" s="319"/>
      <c r="G11" s="319"/>
      <c r="H11" s="319"/>
      <c r="I11" s="319"/>
      <c r="J11" s="319"/>
      <c r="K11" s="319"/>
      <c r="L11" s="319"/>
      <c r="M11" s="319"/>
      <c r="N11" s="319"/>
    </row>
    <row r="12" spans="1:20">
      <c r="A12" s="35"/>
      <c r="B12" s="304" t="s">
        <v>34</v>
      </c>
      <c r="C12" s="156" t="str">
        <f>'RFPR cover'!$C$14</f>
        <v>£m 12/13</v>
      </c>
      <c r="D12" s="576">
        <v>235.33837099570127</v>
      </c>
      <c r="E12" s="477">
        <v>202.95862752780192</v>
      </c>
      <c r="F12" s="477">
        <v>196.7173054206101</v>
      </c>
      <c r="G12" s="477">
        <v>206.94819634935783</v>
      </c>
      <c r="H12" s="477">
        <v>226.74196894195339</v>
      </c>
      <c r="I12" s="477">
        <v>221.01627973961467</v>
      </c>
      <c r="J12" s="477">
        <v>218.97192340490369</v>
      </c>
      <c r="K12" s="477">
        <v>232.34488690170841</v>
      </c>
      <c r="L12" s="108">
        <f>SUM(D12:INDEX(D12:K12,0,MATCH('RFPR cover'!$C$7,$D$6:$K$6,0)))</f>
        <v>1508.6926723799429</v>
      </c>
      <c r="M12" s="109">
        <f>SUM(D12:K12)</f>
        <v>1741.0375592816513</v>
      </c>
      <c r="N12" s="63"/>
      <c r="O12" s="63"/>
    </row>
    <row r="13" spans="1:20" ht="25.5">
      <c r="A13" s="35"/>
      <c r="B13" s="773" t="s">
        <v>500</v>
      </c>
      <c r="C13" s="156" t="str">
        <f>'RFPR cover'!$C$14</f>
        <v>£m 12/13</v>
      </c>
      <c r="D13" s="584">
        <v>241.69120703154249</v>
      </c>
      <c r="E13" s="478">
        <v>227.88259046629412</v>
      </c>
      <c r="F13" s="478">
        <v>224.08281015871196</v>
      </c>
      <c r="G13" s="478">
        <v>226.16507296440759</v>
      </c>
      <c r="H13" s="478">
        <v>214.92618749514878</v>
      </c>
      <c r="I13" s="478">
        <v>204.49049333226708</v>
      </c>
      <c r="J13" s="478">
        <v>190.40709502734043</v>
      </c>
      <c r="K13" s="478">
        <v>194.91091398791622</v>
      </c>
      <c r="L13" s="106">
        <f>SUM(D13:INDEX(D13:K13,0,MATCH('RFPR cover'!$C$7,$D$6:$K$6,0)))</f>
        <v>1529.6454564757123</v>
      </c>
      <c r="M13" s="107">
        <f>SUM(D13:K13)</f>
        <v>1724.5563704636286</v>
      </c>
      <c r="N13" s="63"/>
      <c r="O13" s="63"/>
    </row>
    <row r="14" spans="1:20">
      <c r="A14" s="35"/>
      <c r="B14" s="774" t="s">
        <v>194</v>
      </c>
      <c r="C14" s="156" t="str">
        <f>'RFPR cover'!$C$14</f>
        <v>£m 12/13</v>
      </c>
      <c r="D14" s="103">
        <f>D13-D12</f>
        <v>6.3528360358412215</v>
      </c>
      <c r="E14" s="104">
        <f t="shared" ref="E14:M14" si="1">E13-E12</f>
        <v>24.923962938492195</v>
      </c>
      <c r="F14" s="104">
        <f t="shared" si="1"/>
        <v>27.365504738101862</v>
      </c>
      <c r="G14" s="104">
        <f t="shared" si="1"/>
        <v>19.216876615049756</v>
      </c>
      <c r="H14" s="104">
        <f t="shared" si="1"/>
        <v>-11.815781446804607</v>
      </c>
      <c r="I14" s="104">
        <f t="shared" si="1"/>
        <v>-16.525786407347596</v>
      </c>
      <c r="J14" s="104">
        <f t="shared" si="1"/>
        <v>-28.564828377563259</v>
      </c>
      <c r="K14" s="104">
        <f t="shared" si="1"/>
        <v>-37.433972913792189</v>
      </c>
      <c r="L14" s="103">
        <f t="shared" si="1"/>
        <v>20.952784095769402</v>
      </c>
      <c r="M14" s="105">
        <f t="shared" si="1"/>
        <v>-16.481188818022702</v>
      </c>
      <c r="N14" s="63"/>
      <c r="O14" s="981"/>
      <c r="P14" s="981"/>
      <c r="Q14" s="981"/>
      <c r="R14"/>
      <c r="S14"/>
      <c r="T14"/>
    </row>
    <row r="15" spans="1:20">
      <c r="A15" s="35"/>
      <c r="B15" s="774"/>
      <c r="C15" s="156"/>
      <c r="D15" s="59"/>
      <c r="E15" s="59"/>
      <c r="F15" s="59"/>
      <c r="G15" s="59"/>
      <c r="H15" s="59"/>
      <c r="I15" s="59"/>
      <c r="J15" s="59"/>
      <c r="K15" s="59"/>
      <c r="L15" s="59"/>
      <c r="M15" s="59"/>
      <c r="O15" s="64"/>
      <c r="P15" s="64"/>
      <c r="Q15" s="64"/>
      <c r="R15"/>
      <c r="S15"/>
      <c r="T15"/>
    </row>
    <row r="16" spans="1:20">
      <c r="A16" s="35"/>
      <c r="B16" s="768"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68"/>
      <c r="O17"/>
      <c r="P17"/>
      <c r="Q17"/>
      <c r="R17"/>
      <c r="S17"/>
      <c r="T17"/>
    </row>
    <row r="18" spans="1:20">
      <c r="A18" s="35"/>
      <c r="B18" s="775" t="s">
        <v>182</v>
      </c>
      <c r="C18" s="160" t="str">
        <f>'RFPR cover'!$C$14</f>
        <v>£m 12/13</v>
      </c>
      <c r="D18" s="96">
        <f>D14*D16</f>
        <v>2.8051771188268813</v>
      </c>
      <c r="E18" s="97">
        <f t="shared" ref="E18:K18" si="2">E14*E16</f>
        <v>11.00549898519291</v>
      </c>
      <c r="F18" s="97">
        <f t="shared" si="2"/>
        <v>12.083593422430738</v>
      </c>
      <c r="G18" s="97">
        <f t="shared" si="2"/>
        <v>8.4854610242933486</v>
      </c>
      <c r="H18" s="97">
        <f t="shared" si="2"/>
        <v>-5.2174114944313166</v>
      </c>
      <c r="I18" s="97">
        <f t="shared" si="2"/>
        <v>-7.2971752519618152</v>
      </c>
      <c r="J18" s="97">
        <f t="shared" si="2"/>
        <v>-12.613170325172224</v>
      </c>
      <c r="K18" s="97">
        <f t="shared" si="2"/>
        <v>-16.52945608734732</v>
      </c>
      <c r="L18" s="96">
        <f>SUM(D18:INDEX(D18:K18,0,MATCH('RFPR cover'!$C$7,$D$6:$K$6,0)))</f>
        <v>9.251973479178524</v>
      </c>
      <c r="M18" s="98">
        <f>SUM(D18:K18)</f>
        <v>-7.2774826081687962</v>
      </c>
      <c r="O18"/>
      <c r="P18"/>
      <c r="Q18"/>
      <c r="R18"/>
      <c r="S18"/>
      <c r="T18"/>
    </row>
    <row r="19" spans="1:20">
      <c r="A19" s="35"/>
      <c r="B19" s="775" t="s">
        <v>279</v>
      </c>
      <c r="C19" s="160" t="str">
        <f>'RFPR cover'!$C$14</f>
        <v>£m 12/13</v>
      </c>
      <c r="D19" s="93">
        <f>D14*(1-D16)</f>
        <v>3.5476589170143402</v>
      </c>
      <c r="E19" s="94">
        <f t="shared" ref="E19:K19" si="3">E14*(1-E16)</f>
        <v>13.918463953299286</v>
      </c>
      <c r="F19" s="94">
        <f t="shared" si="3"/>
        <v>15.281911315671124</v>
      </c>
      <c r="G19" s="94">
        <f t="shared" si="3"/>
        <v>10.731415590756407</v>
      </c>
      <c r="H19" s="94">
        <f t="shared" si="3"/>
        <v>-6.5983699523732904</v>
      </c>
      <c r="I19" s="94">
        <f t="shared" si="3"/>
        <v>-9.2286111553857797</v>
      </c>
      <c r="J19" s="94">
        <f t="shared" si="3"/>
        <v>-15.951658052391036</v>
      </c>
      <c r="K19" s="94">
        <f t="shared" si="3"/>
        <v>-20.904516826444869</v>
      </c>
      <c r="L19" s="93">
        <f>SUM(D19:INDEX(D19:K19,0,MATCH('RFPR cover'!$C$7,$D$6:$K$6,0)))</f>
        <v>11.700810616591053</v>
      </c>
      <c r="M19" s="95">
        <f>SUM(D19:K19)</f>
        <v>-9.2037062098538165</v>
      </c>
      <c r="O19"/>
      <c r="P19"/>
      <c r="Q19"/>
      <c r="R19"/>
      <c r="S19"/>
      <c r="T19"/>
    </row>
    <row r="20" spans="1:20">
      <c r="A20" s="35"/>
      <c r="B20" s="768"/>
      <c r="O20"/>
      <c r="P20"/>
      <c r="Q20"/>
      <c r="R20"/>
      <c r="S20"/>
      <c r="T20"/>
    </row>
    <row r="21" spans="1:20">
      <c r="A21" s="35"/>
      <c r="B21" s="776" t="s">
        <v>181</v>
      </c>
      <c r="N21" s="63"/>
      <c r="O21"/>
      <c r="P21"/>
      <c r="Q21"/>
      <c r="R21"/>
      <c r="S21"/>
      <c r="T21"/>
    </row>
    <row r="22" spans="1:20">
      <c r="A22" s="270" t="s">
        <v>150</v>
      </c>
      <c r="B22" s="766" t="s">
        <v>571</v>
      </c>
      <c r="C22" s="156" t="s">
        <v>158</v>
      </c>
      <c r="D22" s="576"/>
      <c r="E22" s="577"/>
      <c r="F22" s="577"/>
      <c r="G22" s="577"/>
      <c r="H22" s="577"/>
      <c r="I22" s="577"/>
      <c r="J22" s="577">
        <v>3.3393799999999998</v>
      </c>
      <c r="K22" s="577">
        <v>3.6154260000000003</v>
      </c>
      <c r="L22" s="578">
        <f>SUM(D22:INDEX(D22:K22,0,MATCH('RFPR cover'!$C$7,$D$6:$K$6,0)))</f>
        <v>3.3393799999999998</v>
      </c>
      <c r="M22" s="579">
        <f t="shared" ref="M22:M27" si="4">SUM(D22:K22)</f>
        <v>6.9548059999999996</v>
      </c>
      <c r="N22" s="567" t="s">
        <v>596</v>
      </c>
      <c r="O22"/>
      <c r="P22"/>
      <c r="Q22"/>
      <c r="R22"/>
      <c r="S22"/>
      <c r="T22"/>
    </row>
    <row r="23" spans="1:20">
      <c r="A23" s="270" t="s">
        <v>151</v>
      </c>
      <c r="B23" s="766" t="s">
        <v>572</v>
      </c>
      <c r="C23" s="156" t="s">
        <v>158</v>
      </c>
      <c r="D23" s="580"/>
      <c r="E23" s="581"/>
      <c r="F23" s="581"/>
      <c r="G23" s="581"/>
      <c r="H23" s="581"/>
      <c r="I23" s="581"/>
      <c r="J23" s="581">
        <v>1.092349995493447</v>
      </c>
      <c r="K23" s="581">
        <v>1.373248780028125</v>
      </c>
      <c r="L23" s="582">
        <f>SUM(D23:INDEX(D23:K23,0,MATCH('RFPR cover'!$C$7,$D$6:$K$6,0)))</f>
        <v>1.092349995493447</v>
      </c>
      <c r="M23" s="583">
        <f t="shared" si="4"/>
        <v>2.4655987755215723</v>
      </c>
      <c r="N23" s="568" t="s">
        <v>597</v>
      </c>
      <c r="O23"/>
      <c r="P23"/>
      <c r="Q23"/>
      <c r="R23"/>
      <c r="S23"/>
      <c r="T23"/>
    </row>
    <row r="24" spans="1:20">
      <c r="A24" s="270" t="s">
        <v>152</v>
      </c>
      <c r="B24" s="766" t="s">
        <v>590</v>
      </c>
      <c r="C24" s="156" t="s">
        <v>158</v>
      </c>
      <c r="D24" s="580">
        <v>0</v>
      </c>
      <c r="E24" s="581">
        <v>0</v>
      </c>
      <c r="F24" s="581">
        <v>0</v>
      </c>
      <c r="G24" s="581">
        <v>0</v>
      </c>
      <c r="H24" s="581">
        <v>0</v>
      </c>
      <c r="I24" s="581">
        <v>0</v>
      </c>
      <c r="J24" s="581">
        <v>0</v>
      </c>
      <c r="K24" s="581">
        <v>0</v>
      </c>
      <c r="L24" s="582">
        <f>SUM(D24:INDEX(D24:K24,0,MATCH('RFPR cover'!$C$7,$D$6:$K$6,0)))</f>
        <v>0</v>
      </c>
      <c r="M24" s="583">
        <f t="shared" si="4"/>
        <v>0</v>
      </c>
      <c r="N24" s="568" t="s">
        <v>598</v>
      </c>
      <c r="O24"/>
      <c r="P24"/>
      <c r="Q24"/>
      <c r="R24"/>
      <c r="S24" s="65"/>
      <c r="T24"/>
    </row>
    <row r="25" spans="1:20">
      <c r="A25" s="270" t="s">
        <v>167</v>
      </c>
      <c r="B25" s="766" t="s">
        <v>573</v>
      </c>
      <c r="C25" s="156" t="str">
        <f>'RFPR cover'!$C$14</f>
        <v>£m 12/13</v>
      </c>
      <c r="D25" s="580">
        <v>-19.372880664383057</v>
      </c>
      <c r="E25" s="581">
        <v>-29.463507176824997</v>
      </c>
      <c r="F25" s="581">
        <v>-28.921872145536916</v>
      </c>
      <c r="G25" s="581">
        <v>-14.170631489057484</v>
      </c>
      <c r="H25" s="581">
        <v>8.5017538769843384</v>
      </c>
      <c r="I25" s="581">
        <v>59.343910716177049</v>
      </c>
      <c r="J25" s="581">
        <v>6.7419655958529852</v>
      </c>
      <c r="K25" s="581">
        <f>-SUM(D25:J25)</f>
        <v>17.341261286788086</v>
      </c>
      <c r="L25" s="582">
        <f>SUM(D25:INDEX(D25:K25,0,MATCH('RFPR cover'!$C$7,$D$6:$K$6,0)))</f>
        <v>-17.341261286788086</v>
      </c>
      <c r="M25" s="583">
        <f t="shared" si="4"/>
        <v>0</v>
      </c>
      <c r="N25" s="568" t="s">
        <v>599</v>
      </c>
      <c r="O25"/>
      <c r="P25" s="744"/>
      <c r="Q25"/>
      <c r="R25"/>
      <c r="S25"/>
      <c r="T25"/>
    </row>
    <row r="26" spans="1:20">
      <c r="A26" s="270" t="s">
        <v>168</v>
      </c>
      <c r="B26" s="766" t="s">
        <v>241</v>
      </c>
      <c r="C26" s="156" t="str">
        <f>'RFPR cover'!$C$14</f>
        <v>£m 12/13</v>
      </c>
      <c r="D26" s="580"/>
      <c r="E26" s="581"/>
      <c r="F26" s="581"/>
      <c r="G26" s="581"/>
      <c r="H26" s="581"/>
      <c r="I26" s="581"/>
      <c r="J26" s="581"/>
      <c r="K26" s="581"/>
      <c r="L26" s="582">
        <f>SUM(D26:INDEX(D26:K26,0,MATCH('RFPR cover'!$C$7,$D$6:$K$6,0)))</f>
        <v>0</v>
      </c>
      <c r="M26" s="583">
        <f t="shared" si="4"/>
        <v>0</v>
      </c>
      <c r="N26" s="568"/>
      <c r="O26"/>
      <c r="P26"/>
      <c r="Q26"/>
      <c r="R26"/>
      <c r="S26"/>
      <c r="T26"/>
    </row>
    <row r="27" spans="1:20">
      <c r="A27" s="270" t="s">
        <v>169</v>
      </c>
      <c r="B27" s="766" t="s">
        <v>241</v>
      </c>
      <c r="C27" s="156" t="str">
        <f>'RFPR cover'!$C$14</f>
        <v>£m 12/13</v>
      </c>
      <c r="D27" s="584"/>
      <c r="E27" s="585"/>
      <c r="F27" s="585"/>
      <c r="G27" s="585"/>
      <c r="H27" s="585"/>
      <c r="I27" s="585"/>
      <c r="J27" s="585"/>
      <c r="K27" s="585"/>
      <c r="L27" s="586">
        <f>SUM(D27:INDEX(D27:K27,0,MATCH('RFPR cover'!$C$7,$D$6:$K$6,0)))</f>
        <v>0</v>
      </c>
      <c r="M27" s="587">
        <f t="shared" si="4"/>
        <v>0</v>
      </c>
      <c r="N27" s="569"/>
      <c r="O27"/>
      <c r="P27"/>
      <c r="Q27"/>
      <c r="R27"/>
      <c r="S27"/>
      <c r="T27"/>
    </row>
    <row r="28" spans="1:20">
      <c r="A28" s="35"/>
      <c r="B28" s="776" t="s">
        <v>189</v>
      </c>
      <c r="C28" s="156" t="str">
        <f>'RFPR cover'!$C$14</f>
        <v>£m 12/13</v>
      </c>
      <c r="D28" s="103">
        <f>SUM(D22:D27)</f>
        <v>-19.372880664383057</v>
      </c>
      <c r="E28" s="104">
        <f t="shared" ref="E28:K28" si="5">SUM(E22:E27)</f>
        <v>-29.463507176824997</v>
      </c>
      <c r="F28" s="104">
        <f t="shared" si="5"/>
        <v>-28.921872145536916</v>
      </c>
      <c r="G28" s="104">
        <f t="shared" si="5"/>
        <v>-14.170631489057484</v>
      </c>
      <c r="H28" s="104">
        <f t="shared" si="5"/>
        <v>8.5017538769843384</v>
      </c>
      <c r="I28" s="104">
        <f t="shared" si="5"/>
        <v>59.343910716177049</v>
      </c>
      <c r="J28" s="104">
        <f t="shared" si="5"/>
        <v>11.173695591346432</v>
      </c>
      <c r="K28" s="104">
        <f t="shared" si="5"/>
        <v>22.329936066816209</v>
      </c>
      <c r="L28" s="103">
        <f>SUM(D28:INDEX(D28:K28,0,MATCH('RFPR cover'!$C$7,$D$6:$K$6,0)))</f>
        <v>-12.909531291294639</v>
      </c>
      <c r="M28" s="105">
        <f>SUM(D28:K28)</f>
        <v>9.4204047755215701</v>
      </c>
      <c r="N28" s="63"/>
    </row>
    <row r="29" spans="1:20">
      <c r="A29" s="35"/>
      <c r="B29" s="768"/>
    </row>
    <row r="30" spans="1:20">
      <c r="A30" s="35"/>
      <c r="B30" s="775" t="s">
        <v>197</v>
      </c>
      <c r="C30" s="160" t="str">
        <f>'RFPR cover'!$C$14</f>
        <v>£m 12/13</v>
      </c>
      <c r="D30" s="96">
        <f t="shared" ref="D30:K30" si="6">D28*D16</f>
        <v>-8.5543466349348272</v>
      </c>
      <c r="E30" s="97">
        <f t="shared" si="6"/>
        <v>-13.009993600736273</v>
      </c>
      <c r="F30" s="97">
        <f t="shared" si="6"/>
        <v>-12.770827630144177</v>
      </c>
      <c r="G30" s="97">
        <f t="shared" si="6"/>
        <v>-6.2572260622130225</v>
      </c>
      <c r="H30" s="97">
        <f t="shared" si="6"/>
        <v>3.7540596532106463</v>
      </c>
      <c r="I30" s="97">
        <f t="shared" si="6"/>
        <v>26.20407319558371</v>
      </c>
      <c r="J30" s="97">
        <f t="shared" si="6"/>
        <v>4.9338901600395726</v>
      </c>
      <c r="K30" s="97">
        <f t="shared" si="6"/>
        <v>9.8600727873508625</v>
      </c>
      <c r="L30" s="96">
        <f>SUM(D30:INDEX(D30:K30,0,MATCH('RFPR cover'!$C$7,$D$6:$K$6,0)))</f>
        <v>-5.7003709191943717</v>
      </c>
      <c r="M30" s="98">
        <f>SUM(D30:K30)</f>
        <v>4.1597018681564908</v>
      </c>
    </row>
    <row r="31" spans="1:20">
      <c r="A31" s="35"/>
      <c r="B31" s="775" t="s">
        <v>306</v>
      </c>
      <c r="C31" s="160" t="str">
        <f>'RFPR cover'!$C$14</f>
        <v>£m 12/13</v>
      </c>
      <c r="D31" s="93">
        <f t="shared" ref="D31:K31" si="7">D28*(1-D16)</f>
        <v>-10.81853402944823</v>
      </c>
      <c r="E31" s="94">
        <f t="shared" si="7"/>
        <v>-16.453513576088724</v>
      </c>
      <c r="F31" s="94">
        <f t="shared" si="7"/>
        <v>-16.151044515392737</v>
      </c>
      <c r="G31" s="94">
        <f t="shared" si="7"/>
        <v>-7.913405426844462</v>
      </c>
      <c r="H31" s="94">
        <f t="shared" si="7"/>
        <v>4.7476942237736921</v>
      </c>
      <c r="I31" s="94">
        <f t="shared" si="7"/>
        <v>33.139837520593339</v>
      </c>
      <c r="J31" s="94">
        <f t="shared" si="7"/>
        <v>6.2398054313068592</v>
      </c>
      <c r="K31" s="94">
        <f t="shared" si="7"/>
        <v>12.469863279465347</v>
      </c>
      <c r="L31" s="93">
        <f>SUM(D31:INDEX(D31:K31,0,MATCH('RFPR cover'!$C$7,$D$6:$K$6,0)))</f>
        <v>-7.2091603721002677</v>
      </c>
      <c r="M31" s="95">
        <f>SUM(D31:K31)</f>
        <v>5.2607029073650793</v>
      </c>
    </row>
    <row r="32" spans="1:20">
      <c r="A32" s="35"/>
      <c r="B32" s="768"/>
    </row>
    <row r="33" spans="1:20">
      <c r="A33" s="35"/>
      <c r="B33" s="776" t="s">
        <v>180</v>
      </c>
    </row>
    <row r="34" spans="1:20">
      <c r="A34" s="35"/>
      <c r="B34" s="768" t="s">
        <v>179</v>
      </c>
      <c r="C34" s="156" t="str">
        <f>'RFPR cover'!$C$14</f>
        <v>£m 12/13</v>
      </c>
      <c r="D34" s="96">
        <f>D18+D30</f>
        <v>-5.7491695161079459</v>
      </c>
      <c r="E34" s="97">
        <f t="shared" ref="E34:K34" si="8">E18+E30</f>
        <v>-2.0044946155433632</v>
      </c>
      <c r="F34" s="97">
        <f t="shared" si="8"/>
        <v>-0.68723420771343946</v>
      </c>
      <c r="G34" s="97">
        <f t="shared" si="8"/>
        <v>2.2282349620803261</v>
      </c>
      <c r="H34" s="97">
        <f t="shared" si="8"/>
        <v>-1.4633518412206703</v>
      </c>
      <c r="I34" s="97">
        <f t="shared" si="8"/>
        <v>18.906897943621896</v>
      </c>
      <c r="J34" s="97">
        <f t="shared" si="8"/>
        <v>-7.679280165132651</v>
      </c>
      <c r="K34" s="97">
        <f t="shared" si="8"/>
        <v>-6.6693832999964577</v>
      </c>
      <c r="L34" s="96">
        <f>SUM(D34:INDEX(D34:K34,0,MATCH('RFPR cover'!$C$7,$D$6:$K$6,0)))</f>
        <v>3.5516025599841523</v>
      </c>
      <c r="M34" s="98">
        <f>SUM(D34:K34)</f>
        <v>-3.1177807400123054</v>
      </c>
    </row>
    <row r="35" spans="1:20">
      <c r="A35" s="35"/>
      <c r="B35" s="768" t="s">
        <v>279</v>
      </c>
      <c r="C35" s="156" t="str">
        <f>'RFPR cover'!$C$14</f>
        <v>£m 12/13</v>
      </c>
      <c r="D35" s="99">
        <f>D19+D31</f>
        <v>-7.27087511243389</v>
      </c>
      <c r="E35" s="100">
        <f t="shared" ref="E35:K35" si="9">E19+E31</f>
        <v>-2.5350496227894386</v>
      </c>
      <c r="F35" s="100">
        <f t="shared" si="9"/>
        <v>-0.86913319972161318</v>
      </c>
      <c r="G35" s="100">
        <f t="shared" si="9"/>
        <v>2.8180101639119455</v>
      </c>
      <c r="H35" s="100">
        <f t="shared" si="9"/>
        <v>-1.8506757285995983</v>
      </c>
      <c r="I35" s="100">
        <f t="shared" si="9"/>
        <v>23.911226365207561</v>
      </c>
      <c r="J35" s="100">
        <f t="shared" si="9"/>
        <v>-9.7118526210841765</v>
      </c>
      <c r="K35" s="100">
        <f t="shared" si="9"/>
        <v>-8.4346535469795221</v>
      </c>
      <c r="L35" s="99">
        <f>SUM(D35:INDEX(D35:K35,0,MATCH('RFPR cover'!$C$7,$D$6:$K$6,0)))</f>
        <v>4.4916502444907902</v>
      </c>
      <c r="M35" s="101">
        <f>SUM(D35:K35)</f>
        <v>-3.9430033024887319</v>
      </c>
    </row>
    <row r="36" spans="1:20">
      <c r="A36" s="35"/>
      <c r="B36" s="776" t="s">
        <v>11</v>
      </c>
      <c r="C36" s="157" t="str">
        <f>'RFPR cover'!$C$14</f>
        <v>£m 12/13</v>
      </c>
      <c r="D36" s="140">
        <f>SUM(D34:D35)</f>
        <v>-13.020044628541836</v>
      </c>
      <c r="E36" s="141">
        <f t="shared" ref="E36:K36" si="10">SUM(E34:E35)</f>
        <v>-4.5395442383328017</v>
      </c>
      <c r="F36" s="141">
        <f t="shared" si="10"/>
        <v>-1.5563674074350526</v>
      </c>
      <c r="G36" s="141">
        <f t="shared" si="10"/>
        <v>5.0462451259922716</v>
      </c>
      <c r="H36" s="141">
        <f t="shared" si="10"/>
        <v>-3.3140275698202686</v>
      </c>
      <c r="I36" s="141">
        <f t="shared" si="10"/>
        <v>42.818124308829454</v>
      </c>
      <c r="J36" s="141">
        <f t="shared" si="10"/>
        <v>-17.391132786216829</v>
      </c>
      <c r="K36" s="141">
        <f t="shared" si="10"/>
        <v>-15.10403684697598</v>
      </c>
      <c r="L36" s="140">
        <f>SUM(D36:INDEX(D36:K36,0,MATCH('RFPR cover'!$C$7,$D$6:$K$6,0)))</f>
        <v>8.043252804474939</v>
      </c>
      <c r="M36" s="142">
        <f>SUM(D36:K36)</f>
        <v>-7.0607840425010409</v>
      </c>
    </row>
    <row r="37" spans="1:20">
      <c r="A37" s="35"/>
      <c r="B37" s="768"/>
    </row>
    <row r="38" spans="1:20">
      <c r="A38" s="35"/>
      <c r="B38" s="771" t="str">
        <f>Data!B51</f>
        <v>n/a</v>
      </c>
      <c r="C38" s="151"/>
      <c r="D38" s="82"/>
      <c r="E38" s="82"/>
      <c r="F38" s="82"/>
      <c r="G38" s="82"/>
      <c r="H38" s="82"/>
      <c r="I38" s="82"/>
      <c r="J38" s="82"/>
      <c r="K38" s="82"/>
      <c r="L38" s="82"/>
      <c r="M38" s="82"/>
      <c r="N38" s="82"/>
    </row>
    <row r="39" spans="1:20" s="35" customFormat="1">
      <c r="B39" s="769"/>
      <c r="C39" s="139"/>
      <c r="D39" s="319"/>
      <c r="E39" s="319"/>
      <c r="F39" s="319"/>
      <c r="G39" s="319"/>
      <c r="H39" s="319"/>
      <c r="I39" s="319"/>
      <c r="J39" s="319"/>
      <c r="K39" s="319"/>
      <c r="L39" s="319"/>
      <c r="M39" s="319"/>
      <c r="N39" s="319"/>
    </row>
    <row r="40" spans="1:20">
      <c r="A40" s="35"/>
      <c r="B40" s="304" t="s">
        <v>34</v>
      </c>
      <c r="C40" s="156" t="str">
        <f>'RFPR cover'!$C$14</f>
        <v>£m 12/13</v>
      </c>
      <c r="D40" s="643"/>
      <c r="E40" s="644"/>
      <c r="F40" s="644"/>
      <c r="G40" s="644"/>
      <c r="H40" s="644"/>
      <c r="I40" s="644"/>
      <c r="J40" s="644"/>
      <c r="K40" s="644"/>
      <c r="L40" s="645">
        <f>SUM(D40:INDEX(D40:K40,0,MATCH('RFPR cover'!$C$7,$D$6:$K$6,0)))</f>
        <v>0</v>
      </c>
      <c r="M40" s="646">
        <f>SUM(D40:K40)</f>
        <v>0</v>
      </c>
      <c r="N40" s="347"/>
      <c r="O40" s="63"/>
    </row>
    <row r="41" spans="1:20" ht="25.5">
      <c r="A41" s="35"/>
      <c r="B41" s="773" t="s">
        <v>500</v>
      </c>
      <c r="C41" s="156" t="str">
        <f>'RFPR cover'!$C$14</f>
        <v>£m 12/13</v>
      </c>
      <c r="D41" s="647"/>
      <c r="E41" s="648"/>
      <c r="F41" s="648"/>
      <c r="G41" s="648"/>
      <c r="H41" s="648"/>
      <c r="I41" s="648"/>
      <c r="J41" s="648"/>
      <c r="K41" s="648"/>
      <c r="L41" s="649">
        <f>SUM(D41:INDEX(D41:K41,0,MATCH('RFPR cover'!$C$7,$D$6:$K$6,0)))</f>
        <v>0</v>
      </c>
      <c r="M41" s="650">
        <f>SUM(D41:K41)</f>
        <v>0</v>
      </c>
      <c r="N41" s="347"/>
      <c r="O41" s="63"/>
    </row>
    <row r="42" spans="1:20">
      <c r="A42" s="35"/>
      <c r="B42" s="774"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81"/>
      <c r="P42" s="981"/>
      <c r="Q42" s="981"/>
      <c r="R42"/>
      <c r="S42"/>
      <c r="T42"/>
    </row>
    <row r="43" spans="1:20">
      <c r="A43" s="35"/>
      <c r="B43" s="774"/>
      <c r="C43" s="156"/>
      <c r="D43" s="59"/>
      <c r="E43" s="59"/>
      <c r="F43" s="59"/>
      <c r="G43" s="59"/>
      <c r="H43" s="59"/>
      <c r="I43" s="59"/>
      <c r="J43" s="59"/>
      <c r="K43" s="59"/>
      <c r="L43" s="59"/>
      <c r="M43" s="59"/>
      <c r="N43" s="344"/>
      <c r="O43" s="64"/>
      <c r="P43" s="64"/>
      <c r="Q43" s="64"/>
      <c r="R43"/>
      <c r="S43"/>
      <c r="T43"/>
    </row>
    <row r="44" spans="1:20">
      <c r="A44" s="35"/>
      <c r="B44" s="768"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68"/>
      <c r="N45" s="346"/>
      <c r="O45"/>
      <c r="P45"/>
      <c r="Q45"/>
      <c r="R45"/>
      <c r="S45"/>
      <c r="T45"/>
    </row>
    <row r="46" spans="1:20">
      <c r="A46" s="35"/>
      <c r="B46" s="775"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0">
        <f>SUM(D46:K46)</f>
        <v>0</v>
      </c>
      <c r="N46" s="348"/>
      <c r="O46"/>
      <c r="P46"/>
      <c r="Q46"/>
      <c r="R46"/>
      <c r="S46"/>
      <c r="T46"/>
    </row>
    <row r="47" spans="1:20">
      <c r="A47" s="35"/>
      <c r="B47" s="775" t="s">
        <v>279</v>
      </c>
      <c r="C47" s="160" t="str">
        <f>'RFPR cover'!$C$14</f>
        <v>£m 12/13</v>
      </c>
      <c r="D47" s="572">
        <f>D42*(1-D44)</f>
        <v>0</v>
      </c>
      <c r="E47" s="573">
        <f t="shared" ref="E47:K47" si="13">E42*(1-E44)</f>
        <v>0</v>
      </c>
      <c r="F47" s="573">
        <f t="shared" si="13"/>
        <v>0</v>
      </c>
      <c r="G47" s="573">
        <f t="shared" si="13"/>
        <v>0</v>
      </c>
      <c r="H47" s="573">
        <f t="shared" si="13"/>
        <v>0</v>
      </c>
      <c r="I47" s="573">
        <f t="shared" si="13"/>
        <v>0</v>
      </c>
      <c r="J47" s="573">
        <f t="shared" si="13"/>
        <v>0</v>
      </c>
      <c r="K47" s="573">
        <f t="shared" si="13"/>
        <v>0</v>
      </c>
      <c r="L47" s="574">
        <f>SUM(D47:INDEX(D47:K47,0,MATCH('RFPR cover'!$C$7,$D$6:$K$6,0)))</f>
        <v>0</v>
      </c>
      <c r="M47" s="575">
        <f>SUM(D47:K47)</f>
        <v>0</v>
      </c>
      <c r="N47" s="348"/>
      <c r="O47"/>
      <c r="P47"/>
      <c r="Q47"/>
      <c r="R47"/>
      <c r="S47"/>
      <c r="T47"/>
    </row>
    <row r="48" spans="1:20">
      <c r="A48" s="35"/>
      <c r="B48" s="768"/>
      <c r="N48" s="346"/>
      <c r="O48"/>
      <c r="P48"/>
      <c r="Q48"/>
      <c r="R48"/>
      <c r="S48"/>
      <c r="T48"/>
    </row>
    <row r="49" spans="1:20">
      <c r="A49" s="35"/>
      <c r="B49" s="776" t="s">
        <v>181</v>
      </c>
      <c r="N49" s="346"/>
      <c r="O49"/>
      <c r="P49"/>
      <c r="Q49"/>
      <c r="R49"/>
      <c r="S49"/>
      <c r="T49"/>
    </row>
    <row r="50" spans="1:20">
      <c r="A50" s="270" t="s">
        <v>150</v>
      </c>
      <c r="B50" s="766" t="s">
        <v>241</v>
      </c>
      <c r="C50" s="156" t="str">
        <f>'RFPR cover'!$C$14</f>
        <v>£m 12/13</v>
      </c>
      <c r="D50" s="576"/>
      <c r="E50" s="577"/>
      <c r="F50" s="577"/>
      <c r="G50" s="577"/>
      <c r="H50" s="577"/>
      <c r="I50" s="577"/>
      <c r="J50" s="577"/>
      <c r="K50" s="577"/>
      <c r="L50" s="651">
        <f>SUM(D50:INDEX(D50:K50,0,MATCH('RFPR cover'!$C$7,$D$6:$K$6,0)))</f>
        <v>0</v>
      </c>
      <c r="M50" s="652">
        <f t="shared" ref="M50:M56" si="14">SUM(D50:K50)</f>
        <v>0</v>
      </c>
      <c r="N50" s="567"/>
      <c r="O50"/>
      <c r="P50"/>
      <c r="Q50"/>
      <c r="R50"/>
      <c r="S50"/>
      <c r="T50"/>
    </row>
    <row r="51" spans="1:20">
      <c r="A51" s="270" t="s">
        <v>151</v>
      </c>
      <c r="B51" s="766" t="s">
        <v>241</v>
      </c>
      <c r="C51" s="156" t="str">
        <f>'RFPR cover'!$C$14</f>
        <v>£m 12/13</v>
      </c>
      <c r="D51" s="580"/>
      <c r="E51" s="581"/>
      <c r="F51" s="581"/>
      <c r="G51" s="581"/>
      <c r="H51" s="581"/>
      <c r="I51" s="581"/>
      <c r="J51" s="581"/>
      <c r="K51" s="581"/>
      <c r="L51" s="653">
        <f>SUM(D51:INDEX(D51:K51,0,MATCH('RFPR cover'!$C$7,$D$6:$K$6,0)))</f>
        <v>0</v>
      </c>
      <c r="M51" s="654">
        <f t="shared" si="14"/>
        <v>0</v>
      </c>
      <c r="N51" s="568"/>
      <c r="O51"/>
      <c r="P51"/>
      <c r="Q51"/>
      <c r="R51"/>
      <c r="S51"/>
      <c r="T51"/>
    </row>
    <row r="52" spans="1:20">
      <c r="A52" s="270" t="s">
        <v>152</v>
      </c>
      <c r="B52" s="766" t="s">
        <v>241</v>
      </c>
      <c r="C52" s="156" t="str">
        <f>'RFPR cover'!$C$14</f>
        <v>£m 12/13</v>
      </c>
      <c r="D52" s="580"/>
      <c r="E52" s="581"/>
      <c r="F52" s="581"/>
      <c r="G52" s="581"/>
      <c r="H52" s="581"/>
      <c r="I52" s="581"/>
      <c r="J52" s="581"/>
      <c r="K52" s="581"/>
      <c r="L52" s="653">
        <f>SUM(D52:INDEX(D52:K52,0,MATCH('RFPR cover'!$C$7,$D$6:$K$6,0)))</f>
        <v>0</v>
      </c>
      <c r="M52" s="654">
        <f t="shared" si="14"/>
        <v>0</v>
      </c>
      <c r="N52" s="568"/>
      <c r="O52"/>
      <c r="P52"/>
      <c r="Q52"/>
      <c r="R52"/>
      <c r="S52" s="65"/>
      <c r="T52"/>
    </row>
    <row r="53" spans="1:20">
      <c r="A53" s="270" t="s">
        <v>167</v>
      </c>
      <c r="B53" s="766" t="s">
        <v>241</v>
      </c>
      <c r="C53" s="156" t="str">
        <f>'RFPR cover'!$C$14</f>
        <v>£m 12/13</v>
      </c>
      <c r="D53" s="580"/>
      <c r="E53" s="581"/>
      <c r="F53" s="581"/>
      <c r="G53" s="581"/>
      <c r="H53" s="581"/>
      <c r="I53" s="581"/>
      <c r="J53" s="581"/>
      <c r="K53" s="581"/>
      <c r="L53" s="653">
        <f>SUM(D53:INDEX(D53:K53,0,MATCH('RFPR cover'!$C$7,$D$6:$K$6,0)))</f>
        <v>0</v>
      </c>
      <c r="M53" s="654">
        <f t="shared" si="14"/>
        <v>0</v>
      </c>
      <c r="N53" s="568"/>
      <c r="O53"/>
      <c r="P53"/>
      <c r="Q53"/>
      <c r="R53"/>
      <c r="S53"/>
      <c r="T53"/>
    </row>
    <row r="54" spans="1:20">
      <c r="A54" s="270" t="s">
        <v>168</v>
      </c>
      <c r="B54" s="766" t="s">
        <v>241</v>
      </c>
      <c r="C54" s="156" t="str">
        <f>'RFPR cover'!$C$14</f>
        <v>£m 12/13</v>
      </c>
      <c r="D54" s="580"/>
      <c r="E54" s="581"/>
      <c r="F54" s="581"/>
      <c r="G54" s="581"/>
      <c r="H54" s="581"/>
      <c r="I54" s="581"/>
      <c r="J54" s="581"/>
      <c r="K54" s="581"/>
      <c r="L54" s="653">
        <f>SUM(D54:INDEX(D54:K54,0,MATCH('RFPR cover'!$C$7,$D$6:$K$6,0)))</f>
        <v>0</v>
      </c>
      <c r="M54" s="654">
        <f t="shared" si="14"/>
        <v>0</v>
      </c>
      <c r="N54" s="568"/>
      <c r="O54"/>
      <c r="P54"/>
      <c r="Q54"/>
      <c r="R54"/>
      <c r="S54"/>
      <c r="T54"/>
    </row>
    <row r="55" spans="1:20">
      <c r="A55" s="270" t="s">
        <v>169</v>
      </c>
      <c r="B55" s="766" t="s">
        <v>241</v>
      </c>
      <c r="C55" s="156" t="str">
        <f>'RFPR cover'!$C$14</f>
        <v>£m 12/13</v>
      </c>
      <c r="D55" s="584"/>
      <c r="E55" s="585"/>
      <c r="F55" s="585"/>
      <c r="G55" s="585"/>
      <c r="H55" s="585"/>
      <c r="I55" s="585"/>
      <c r="J55" s="585"/>
      <c r="K55" s="585"/>
      <c r="L55" s="655">
        <f>SUM(D55:INDEX(D55:K55,0,MATCH('RFPR cover'!$C$7,$D$6:$K$6,0)))</f>
        <v>0</v>
      </c>
      <c r="M55" s="656">
        <f t="shared" si="14"/>
        <v>0</v>
      </c>
      <c r="N55" s="569"/>
      <c r="O55"/>
      <c r="P55"/>
      <c r="Q55"/>
      <c r="R55"/>
      <c r="S55"/>
      <c r="T55"/>
    </row>
    <row r="56" spans="1:20">
      <c r="A56" s="35"/>
      <c r="B56" s="776"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68"/>
      <c r="N57" s="346"/>
    </row>
    <row r="58" spans="1:20">
      <c r="A58" s="35"/>
      <c r="B58" s="775"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0">
        <f>SUM(D58:K58)</f>
        <v>0</v>
      </c>
      <c r="N58" s="348"/>
    </row>
    <row r="59" spans="1:20">
      <c r="A59" s="35"/>
      <c r="B59" s="775"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1">
        <f>SUM(D59:K59)</f>
        <v>0</v>
      </c>
      <c r="N59" s="348"/>
    </row>
    <row r="60" spans="1:20">
      <c r="A60" s="35"/>
      <c r="B60" s="768"/>
      <c r="N60" s="346"/>
    </row>
    <row r="61" spans="1:20">
      <c r="A61" s="35"/>
      <c r="B61" s="776" t="s">
        <v>180</v>
      </c>
      <c r="N61" s="346"/>
    </row>
    <row r="62" spans="1:20">
      <c r="A62" s="35"/>
      <c r="B62" s="768"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0">
        <f>SUM(D62:K62)</f>
        <v>0</v>
      </c>
      <c r="N62" s="348"/>
    </row>
    <row r="63" spans="1:20">
      <c r="A63" s="35"/>
      <c r="B63" s="768"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1">
        <f>SUM(D63:K63)</f>
        <v>0</v>
      </c>
      <c r="N63" s="348"/>
    </row>
    <row r="64" spans="1:20">
      <c r="A64" s="35"/>
      <c r="B64" s="776"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76"/>
      <c r="C65" s="157"/>
      <c r="D65" s="157"/>
      <c r="E65" s="157"/>
      <c r="F65" s="157"/>
      <c r="G65" s="157"/>
      <c r="H65" s="157"/>
      <c r="I65" s="157"/>
      <c r="J65" s="157"/>
      <c r="K65" s="157"/>
      <c r="L65" s="157"/>
      <c r="M65" s="157"/>
    </row>
    <row r="66" spans="1:20">
      <c r="A66" s="35"/>
      <c r="B66" s="771" t="s">
        <v>256</v>
      </c>
      <c r="C66" s="151"/>
      <c r="D66" s="82"/>
      <c r="E66" s="82"/>
      <c r="F66" s="82"/>
      <c r="G66" s="82"/>
      <c r="H66" s="82"/>
      <c r="I66" s="82"/>
      <c r="J66" s="82"/>
      <c r="K66" s="82"/>
      <c r="L66" s="82"/>
      <c r="M66" s="82"/>
      <c r="N66" s="82"/>
    </row>
    <row r="67" spans="1:20">
      <c r="A67" s="35"/>
      <c r="B67" s="768"/>
      <c r="O67"/>
      <c r="P67"/>
      <c r="Q67"/>
      <c r="R67"/>
      <c r="S67"/>
      <c r="T67"/>
    </row>
    <row r="68" spans="1:20">
      <c r="A68" s="35"/>
      <c r="B68" s="776" t="s">
        <v>180</v>
      </c>
    </row>
    <row r="69" spans="1:20">
      <c r="A69" s="35"/>
      <c r="B69" s="768" t="s">
        <v>179</v>
      </c>
      <c r="C69" s="156" t="str">
        <f>'RFPR cover'!$C$14</f>
        <v>£m 12/13</v>
      </c>
      <c r="D69" s="96">
        <f>D34+D62</f>
        <v>-5.7491695161079459</v>
      </c>
      <c r="E69" s="97">
        <f t="shared" ref="E69:K69" si="21">E34+E62</f>
        <v>-2.0044946155433632</v>
      </c>
      <c r="F69" s="97">
        <f t="shared" si="21"/>
        <v>-0.68723420771343946</v>
      </c>
      <c r="G69" s="97">
        <f t="shared" si="21"/>
        <v>2.2282349620803261</v>
      </c>
      <c r="H69" s="97">
        <f t="shared" si="21"/>
        <v>-1.4633518412206703</v>
      </c>
      <c r="I69" s="97">
        <f t="shared" si="21"/>
        <v>18.906897943621896</v>
      </c>
      <c r="J69" s="97">
        <f t="shared" si="21"/>
        <v>-7.679280165132651</v>
      </c>
      <c r="K69" s="97">
        <f t="shared" si="21"/>
        <v>-6.6693832999964577</v>
      </c>
      <c r="L69" s="96">
        <f>SUM(D69:INDEX(D69:K69,0,MATCH('RFPR cover'!$C$7,$D$6:$K$6,0)))</f>
        <v>3.5516025599841523</v>
      </c>
      <c r="M69" s="98">
        <f>SUM(D69:K69)</f>
        <v>-3.1177807400123054</v>
      </c>
    </row>
    <row r="70" spans="1:20">
      <c r="A70" s="35"/>
      <c r="B70" s="768" t="s">
        <v>279</v>
      </c>
      <c r="C70" s="156" t="str">
        <f>'RFPR cover'!$C$14</f>
        <v>£m 12/13</v>
      </c>
      <c r="D70" s="514">
        <f t="shared" ref="D70:K70" si="22">D35+D63</f>
        <v>-7.27087511243389</v>
      </c>
      <c r="E70" s="515">
        <f t="shared" si="22"/>
        <v>-2.5350496227894386</v>
      </c>
      <c r="F70" s="515">
        <f t="shared" si="22"/>
        <v>-0.86913319972161318</v>
      </c>
      <c r="G70" s="515">
        <f t="shared" si="22"/>
        <v>2.8180101639119455</v>
      </c>
      <c r="H70" s="515">
        <f t="shared" si="22"/>
        <v>-1.8506757285995983</v>
      </c>
      <c r="I70" s="515">
        <f t="shared" si="22"/>
        <v>23.911226365207561</v>
      </c>
      <c r="J70" s="515">
        <f t="shared" si="22"/>
        <v>-9.7118526210841765</v>
      </c>
      <c r="K70" s="515">
        <f t="shared" si="22"/>
        <v>-8.4346535469795221</v>
      </c>
      <c r="L70" s="514">
        <f>SUM(D70:INDEX(D70:K70,0,MATCH('RFPR cover'!$C$7,$D$6:$K$6,0)))</f>
        <v>4.4916502444907902</v>
      </c>
      <c r="M70" s="516">
        <f>SUM(D70:K70)</f>
        <v>-3.9430033024887319</v>
      </c>
    </row>
    <row r="71" spans="1:20">
      <c r="A71" s="35"/>
      <c r="B71" s="776" t="s">
        <v>11</v>
      </c>
      <c r="C71" s="157" t="str">
        <f>'RFPR cover'!$C$14</f>
        <v>£m 12/13</v>
      </c>
      <c r="D71" s="146">
        <f>SUM(D69:D70)</f>
        <v>-13.020044628541836</v>
      </c>
      <c r="E71" s="147">
        <f t="shared" ref="E71:K71" si="23">SUM(E69:E70)</f>
        <v>-4.5395442383328017</v>
      </c>
      <c r="F71" s="147">
        <f t="shared" si="23"/>
        <v>-1.5563674074350526</v>
      </c>
      <c r="G71" s="147">
        <f t="shared" si="23"/>
        <v>5.0462451259922716</v>
      </c>
      <c r="H71" s="147">
        <f t="shared" si="23"/>
        <v>-3.3140275698202686</v>
      </c>
      <c r="I71" s="147">
        <f t="shared" si="23"/>
        <v>42.818124308829454</v>
      </c>
      <c r="J71" s="147">
        <f t="shared" si="23"/>
        <v>-17.391132786216829</v>
      </c>
      <c r="K71" s="147">
        <f t="shared" si="23"/>
        <v>-15.10403684697598</v>
      </c>
      <c r="L71" s="146">
        <f>SUM(D71:INDEX(D71:K71,0,MATCH('RFPR cover'!$C$7,$D$6:$K$6,0)))</f>
        <v>8.043252804474939</v>
      </c>
      <c r="M71" s="148">
        <f>SUM(D71:K71)</f>
        <v>-7.0607840425010409</v>
      </c>
    </row>
    <row r="72" spans="1:20">
      <c r="A72" s="35"/>
      <c r="B72" s="776"/>
      <c r="C72" s="157"/>
      <c r="D72" s="157"/>
      <c r="E72" s="157"/>
      <c r="F72" s="157"/>
      <c r="G72" s="157"/>
      <c r="H72" s="157"/>
      <c r="I72" s="157"/>
      <c r="J72" s="157"/>
      <c r="K72" s="157"/>
      <c r="L72" s="157"/>
      <c r="M72" s="157"/>
    </row>
    <row r="73" spans="1:20">
      <c r="A73" s="35"/>
      <c r="B73" s="768"/>
    </row>
    <row r="74" spans="1:20">
      <c r="A74" s="35"/>
      <c r="B74" s="771"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75" t="s">
        <v>216</v>
      </c>
      <c r="C77" s="156" t="str">
        <f>'RFPR cover'!$C$14</f>
        <v>£m 12/13</v>
      </c>
      <c r="D77" s="657">
        <f>INDEX(Data!$C$119:$L$146,MATCH('RFPR cover'!$C$5,Data!$B$119:$B$146,0),MATCH('R4 - Totex'!D$6,Data!$C$118:$L$118,0))</f>
        <v>-0.86626036283610952</v>
      </c>
      <c r="E77" s="658">
        <f>INDEX(Data!$C$119:$L$146,MATCH('RFPR cover'!$C$5,Data!$B$119:$B$146,0),MATCH('R4 - Totex'!E$6,Data!$C$118:$L$118,0))</f>
        <v>-0.81019773780890636</v>
      </c>
      <c r="F77" s="658">
        <f>INDEX(Data!$C$119:$L$146,MATCH('RFPR cover'!$C$5,Data!$B$119:$B$146,0),MATCH('R4 - Totex'!F$6,Data!$C$118:$L$118,0))</f>
        <v>-0.78919084241395188</v>
      </c>
      <c r="G77" s="658">
        <f>INDEX(Data!$C$119:$L$146,MATCH('RFPR cover'!$C$5,Data!$B$119:$B$146,0),MATCH('R4 - Totex'!G$6,Data!$C$118:$L$118,0))</f>
        <v>-0.79061873066036981</v>
      </c>
      <c r="H77" s="658">
        <f>INDEX(Data!$C$119:$L$146,MATCH('RFPR cover'!$C$5,Data!$B$119:$B$146,0),MATCH('R4 - Totex'!H$6,Data!$C$118:$L$118,0))</f>
        <v>-0.74432653414361061</v>
      </c>
      <c r="I77" s="658">
        <f>INDEX(Data!$C$119:$L$146,MATCH('RFPR cover'!$C$5,Data!$B$119:$B$146,0),MATCH('R4 - Totex'!I$6,Data!$C$118:$L$118,0))</f>
        <v>-0.70697274816976396</v>
      </c>
      <c r="J77" s="658">
        <f>INDEX(Data!$C$119:$L$146,MATCH('RFPR cover'!$C$5,Data!$B$119:$B$146,0),MATCH('R4 - Totex'!J$6,Data!$C$118:$L$118,0))</f>
        <v>-0.65350946162011747</v>
      </c>
      <c r="K77" s="659">
        <f>INDEX(Data!$C$119:$L$146,MATCH('RFPR cover'!$C$5,Data!$B$119:$B$146,0),MATCH('R4 - Totex'!K$6,Data!$C$118:$L$118,0))</f>
        <v>-0.66429758885743451</v>
      </c>
      <c r="L77" s="99">
        <f>SUM(D77:INDEX(D77:K77,0,MATCH('RFPR cover'!$C$7,$D$6:$K$6,0)))</f>
        <v>-5.3610764176528294</v>
      </c>
      <c r="M77" s="101">
        <f>SUM(D77:K77)</f>
        <v>-6.0253740065102637</v>
      </c>
    </row>
    <row r="78" spans="1:20">
      <c r="A78" s="35"/>
      <c r="B78" s="226" t="s">
        <v>200</v>
      </c>
      <c r="C78" s="156" t="s">
        <v>7</v>
      </c>
      <c r="D78" s="867" t="str">
        <f>IF(INDEX(Data!$J$73:$J$100,MATCH('RFPR cover'!$C$5,Data!$B$73:$B$100,0),0)="Pre",INDEX(Data!$G$18:$G$27,MATCH('R4 - Totex'!D$6,Data!$C$18:$C$27,0),0),"n/a")</f>
        <v>n/a</v>
      </c>
      <c r="E78" s="867" t="str">
        <f>IF(INDEX(Data!$J$73:$J$100,MATCH('RFPR cover'!$C$5,Data!$B$73:$B$100,0),0)="Pre",INDEX(Data!$G$18:$G$27,MATCH('R4 - Totex'!E$6,Data!$C$18:$C$27,0),0),"n/a")</f>
        <v>n/a</v>
      </c>
      <c r="F78" s="867" t="str">
        <f>IF(INDEX(Data!$J$73:$J$100,MATCH('RFPR cover'!$C$5,Data!$B$73:$B$100,0),0)="Pre",INDEX(Data!$G$18:$G$27,MATCH('R4 - Totex'!F$6,Data!$C$18:$C$27,0),0),"n/a")</f>
        <v>n/a</v>
      </c>
      <c r="G78" s="867" t="str">
        <f>IF(INDEX(Data!$J$73:$J$100,MATCH('RFPR cover'!$C$5,Data!$B$73:$B$100,0),0)="Pre",INDEX(Data!$G$18:$G$27,MATCH('R4 - Totex'!G$6,Data!$C$18:$C$27,0),0),"n/a")</f>
        <v>n/a</v>
      </c>
      <c r="H78" s="867" t="str">
        <f>IF(INDEX(Data!$J$73:$J$100,MATCH('RFPR cover'!$C$5,Data!$B$73:$B$100,0),0)="Pre",INDEX(Data!$G$18:$G$27,MATCH('R4 - Totex'!H$6,Data!$C$18:$C$27,0),0),"n/a")</f>
        <v>n/a</v>
      </c>
      <c r="I78" s="867" t="str">
        <f>IF(INDEX(Data!$J$73:$J$100,MATCH('RFPR cover'!$C$5,Data!$B$73:$B$100,0),0)="Pre",INDEX(Data!$G$18:$G$27,MATCH('R4 - Totex'!I$6,Data!$C$18:$C$27,0),0),"n/a")</f>
        <v>n/a</v>
      </c>
      <c r="J78" s="867" t="str">
        <f>IF(INDEX(Data!$J$73:$J$100,MATCH('RFPR cover'!$C$5,Data!$B$73:$B$100,0),0)="Pre",INDEX(Data!$G$18:$G$27,MATCH('R4 - Totex'!J$6,Data!$C$18:$C$27,0),0),"n/a")</f>
        <v>n/a</v>
      </c>
      <c r="K78" s="867" t="str">
        <f>IF(INDEX(Data!$J$73:$J$100,MATCH('RFPR cover'!$C$5,Data!$B$73:$B$100,0),0)="Pre",INDEX(Data!$G$18:$G$27,MATCH('R4 - Totex'!K$6,Data!$C$18:$C$27,0),0),"n/a")</f>
        <v>n/a</v>
      </c>
      <c r="L78" s="865"/>
      <c r="M78" s="866"/>
    </row>
    <row r="79" spans="1:20">
      <c r="A79" s="35"/>
      <c r="B79" s="226" t="s">
        <v>209</v>
      </c>
      <c r="C79" s="156" t="str">
        <f>'RFPR cover'!$C$14</f>
        <v>£m 12/13</v>
      </c>
      <c r="D79" s="604">
        <f>IF(ISNUMBER(D78),D77*(1-D78),D77)</f>
        <v>-0.86626036283610952</v>
      </c>
      <c r="E79" s="605">
        <f t="shared" ref="E79:K79" si="24">IF(ISNUMBER(E78),E77*(1-E78),E77)</f>
        <v>-0.81019773780890636</v>
      </c>
      <c r="F79" s="605">
        <f t="shared" si="24"/>
        <v>-0.78919084241395188</v>
      </c>
      <c r="G79" s="605">
        <f t="shared" si="24"/>
        <v>-0.79061873066036981</v>
      </c>
      <c r="H79" s="605">
        <f t="shared" si="24"/>
        <v>-0.74432653414361061</v>
      </c>
      <c r="I79" s="605">
        <f t="shared" si="24"/>
        <v>-0.70697274816976396</v>
      </c>
      <c r="J79" s="605">
        <f t="shared" si="24"/>
        <v>-0.65350946162011747</v>
      </c>
      <c r="K79" s="606">
        <f t="shared" si="24"/>
        <v>-0.66429758885743451</v>
      </c>
      <c r="L79" s="663">
        <f>SUM(D79:INDEX(D79:K79,0,MATCH('RFPR cover'!$C$7,$D$6:$K$6,0)))</f>
        <v>-5.3610764176528294</v>
      </c>
      <c r="M79" s="664">
        <f>SUM(D79:K79)</f>
        <v>-6.0253740065102637</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68"/>
    </row>
    <row r="84" spans="1:20">
      <c r="A84" s="35"/>
      <c r="B84" s="770" t="s">
        <v>186</v>
      </c>
      <c r="C84" s="290"/>
      <c r="D84" s="292"/>
      <c r="E84" s="292"/>
      <c r="F84" s="292"/>
      <c r="G84" s="292"/>
      <c r="H84" s="292"/>
      <c r="I84" s="292"/>
      <c r="J84" s="292"/>
      <c r="K84" s="292"/>
      <c r="L84" s="292"/>
      <c r="M84" s="292"/>
      <c r="N84" s="292"/>
    </row>
    <row r="85" spans="1:20">
      <c r="A85" s="35"/>
      <c r="B85" s="776"/>
    </row>
    <row r="86" spans="1:20">
      <c r="A86" s="35"/>
      <c r="B86" s="775"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1.2717196280780627</v>
      </c>
      <c r="K86" s="115">
        <f>Data!J$34</f>
        <v>1.3772723572085417</v>
      </c>
    </row>
    <row r="87" spans="1:20">
      <c r="A87" s="35"/>
      <c r="B87" s="775"/>
      <c r="D87" s="137"/>
      <c r="E87" s="137"/>
      <c r="F87" s="137"/>
      <c r="G87" s="137"/>
      <c r="H87" s="137"/>
      <c r="I87" s="137"/>
      <c r="J87" s="137"/>
      <c r="K87" s="137"/>
    </row>
    <row r="88" spans="1:20">
      <c r="A88" s="35"/>
      <c r="B88" s="771" t="str">
        <f>B10</f>
        <v>Totex</v>
      </c>
      <c r="C88" s="151"/>
      <c r="D88" s="82"/>
      <c r="E88" s="82"/>
      <c r="F88" s="82"/>
      <c r="G88" s="82"/>
      <c r="H88" s="82"/>
      <c r="I88" s="82"/>
      <c r="J88" s="82"/>
      <c r="K88" s="82"/>
      <c r="L88" s="82"/>
      <c r="M88" s="82"/>
      <c r="N88" s="82"/>
    </row>
    <row r="89" spans="1:20" s="35" customFormat="1">
      <c r="B89" s="772"/>
      <c r="C89" s="139"/>
      <c r="D89" s="319"/>
      <c r="E89" s="319"/>
      <c r="F89" s="319"/>
      <c r="G89" s="319"/>
      <c r="H89" s="319"/>
      <c r="I89" s="319"/>
      <c r="J89" s="319"/>
      <c r="K89" s="319"/>
      <c r="L89" s="319"/>
      <c r="M89" s="319"/>
      <c r="N89" s="319"/>
    </row>
    <row r="90" spans="1:20">
      <c r="A90" s="35"/>
      <c r="B90" s="304" t="s">
        <v>34</v>
      </c>
      <c r="C90" s="156" t="s">
        <v>127</v>
      </c>
      <c r="D90" s="666">
        <f t="shared" ref="D90:K91" si="25">D12*D$86</f>
        <v>249.53321590897215</v>
      </c>
      <c r="E90" s="666">
        <f t="shared" si="25"/>
        <v>219.81163840133766</v>
      </c>
      <c r="F90" s="666">
        <f t="shared" si="25"/>
        <v>221.02446510092605</v>
      </c>
      <c r="G90" s="666">
        <f t="shared" si="25"/>
        <v>239.62431638436237</v>
      </c>
      <c r="H90" s="666">
        <f t="shared" si="25"/>
        <v>269.33989715838243</v>
      </c>
      <c r="I90" s="666">
        <f t="shared" si="25"/>
        <v>265.72267686589652</v>
      </c>
      <c r="J90" s="666">
        <f t="shared" si="25"/>
        <v>278.47089299202219</v>
      </c>
      <c r="K90" s="666">
        <f t="shared" si="25"/>
        <v>320.00219006846794</v>
      </c>
      <c r="L90" s="665">
        <f>SUM(D90:INDEX(D90:K90,0,MATCH('RFPR cover'!$C$7,$D$6:$K$6,0)))</f>
        <v>1743.5271028118996</v>
      </c>
      <c r="M90" s="666">
        <f>SUM(D90:K90)</f>
        <v>2063.5292928803674</v>
      </c>
      <c r="N90" s="63"/>
      <c r="O90" s="63"/>
    </row>
    <row r="91" spans="1:20" ht="25.5">
      <c r="A91" s="35"/>
      <c r="B91" s="773" t="s">
        <v>196</v>
      </c>
      <c r="C91" s="156" t="s">
        <v>127</v>
      </c>
      <c r="D91" s="666">
        <f t="shared" si="25"/>
        <v>256.26923434684443</v>
      </c>
      <c r="E91" s="666">
        <f t="shared" si="25"/>
        <v>246.80520450738416</v>
      </c>
      <c r="F91" s="666">
        <f t="shared" si="25"/>
        <v>251.77135863946535</v>
      </c>
      <c r="G91" s="666">
        <f t="shared" si="25"/>
        <v>261.87544494288494</v>
      </c>
      <c r="H91" s="666">
        <f t="shared" si="25"/>
        <v>255.30428930607962</v>
      </c>
      <c r="I91" s="666">
        <f t="shared" si="25"/>
        <v>245.85411240246452</v>
      </c>
      <c r="J91" s="666">
        <f t="shared" si="25"/>
        <v>242.14444007159372</v>
      </c>
      <c r="K91" s="666">
        <f t="shared" si="25"/>
        <v>268.44541395380867</v>
      </c>
      <c r="L91" s="667">
        <f>SUM(D91:INDEX(D91:K91,0,MATCH('RFPR cover'!$C$7,$D$6:$K$6,0)))</f>
        <v>1760.0240842167168</v>
      </c>
      <c r="M91" s="668">
        <f>SUM(D91:K91)</f>
        <v>2028.4694981705254</v>
      </c>
      <c r="N91" s="63"/>
      <c r="O91" s="63"/>
    </row>
    <row r="92" spans="1:20">
      <c r="A92" s="35"/>
      <c r="B92" s="774" t="s">
        <v>194</v>
      </c>
      <c r="C92" s="156" t="s">
        <v>127</v>
      </c>
      <c r="D92" s="103">
        <f>D91-D90</f>
        <v>6.7360184378722749</v>
      </c>
      <c r="E92" s="104">
        <f t="shared" ref="E92:M92" si="26">E91-E90</f>
        <v>26.993566106046501</v>
      </c>
      <c r="F92" s="104">
        <f t="shared" si="26"/>
        <v>30.746893538539297</v>
      </c>
      <c r="G92" s="104">
        <f t="shared" si="26"/>
        <v>22.251128558522566</v>
      </c>
      <c r="H92" s="104">
        <f t="shared" si="26"/>
        <v>-14.035607852302803</v>
      </c>
      <c r="I92" s="104">
        <f t="shared" si="26"/>
        <v>-19.868564463431994</v>
      </c>
      <c r="J92" s="104">
        <f t="shared" si="26"/>
        <v>-36.326452920428466</v>
      </c>
      <c r="K92" s="105">
        <f t="shared" si="26"/>
        <v>-51.556776114659272</v>
      </c>
      <c r="L92" s="103">
        <f t="shared" si="26"/>
        <v>16.496981404817234</v>
      </c>
      <c r="M92" s="105">
        <f t="shared" si="26"/>
        <v>-35.059794709841981</v>
      </c>
      <c r="N92" s="63"/>
      <c r="O92" s="981"/>
      <c r="P92" s="981"/>
      <c r="Q92" s="981"/>
      <c r="R92"/>
      <c r="S92"/>
      <c r="T92"/>
    </row>
    <row r="93" spans="1:20">
      <c r="A93" s="35"/>
      <c r="B93" s="774"/>
      <c r="C93" s="156"/>
      <c r="D93" s="59"/>
      <c r="E93" s="59"/>
      <c r="F93" s="59"/>
      <c r="G93" s="59"/>
      <c r="H93" s="59"/>
      <c r="I93" s="59"/>
      <c r="J93" s="59"/>
      <c r="K93" s="59"/>
      <c r="L93" s="59"/>
      <c r="M93" s="59"/>
      <c r="O93" s="64"/>
      <c r="P93" s="64"/>
      <c r="Q93" s="64"/>
      <c r="R93"/>
      <c r="S93"/>
      <c r="T93"/>
    </row>
    <row r="94" spans="1:20">
      <c r="A94" s="35"/>
      <c r="B94" s="768"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68"/>
      <c r="O95"/>
      <c r="P95"/>
      <c r="Q95"/>
      <c r="R95"/>
      <c r="S95"/>
      <c r="T95"/>
    </row>
    <row r="96" spans="1:20">
      <c r="A96" s="35"/>
      <c r="B96" s="775" t="s">
        <v>182</v>
      </c>
      <c r="C96" s="156" t="s">
        <v>127</v>
      </c>
      <c r="D96" s="96">
        <f>D92*D94</f>
        <v>2.9743762765653039</v>
      </c>
      <c r="E96" s="97">
        <f t="shared" ref="E96:K96" si="27">E92*E94</f>
        <v>11.919359097105307</v>
      </c>
      <c r="F96" s="97">
        <f t="shared" si="27"/>
        <v>13.576689488397211</v>
      </c>
      <c r="G96" s="97">
        <f t="shared" si="27"/>
        <v>9.8252743102911886</v>
      </c>
      <c r="H96" s="97">
        <f t="shared" si="27"/>
        <v>-6.197604624765539</v>
      </c>
      <c r="I96" s="97">
        <f t="shared" si="27"/>
        <v>-8.7732222431546045</v>
      </c>
      <c r="J96" s="97">
        <f t="shared" si="27"/>
        <v>-16.040416274813289</v>
      </c>
      <c r="K96" s="97">
        <f t="shared" si="27"/>
        <v>-22.765562948795921</v>
      </c>
      <c r="L96" s="96">
        <f>SUM(D96:INDEX(D96:K96,0,MATCH('RFPR cover'!$C$7,$D$6:$K$6,0)))</f>
        <v>7.2844560296255736</v>
      </c>
      <c r="M96" s="98">
        <f>SUM(D96:K96)</f>
        <v>-15.481106919170347</v>
      </c>
      <c r="O96"/>
      <c r="P96"/>
      <c r="Q96"/>
      <c r="R96"/>
      <c r="S96"/>
      <c r="T96"/>
    </row>
    <row r="97" spans="1:20">
      <c r="A97" s="35"/>
      <c r="B97" s="775" t="s">
        <v>279</v>
      </c>
      <c r="C97" s="156" t="s">
        <v>127</v>
      </c>
      <c r="D97" s="93">
        <f>D92*(1-D94)</f>
        <v>3.761642161306971</v>
      </c>
      <c r="E97" s="94">
        <f t="shared" ref="E97:K97" si="28">E92*(1-E94)</f>
        <v>15.074207008941194</v>
      </c>
      <c r="F97" s="94">
        <f t="shared" si="28"/>
        <v>17.170204050142086</v>
      </c>
      <c r="G97" s="94">
        <f t="shared" si="28"/>
        <v>12.425854248231378</v>
      </c>
      <c r="H97" s="94">
        <f t="shared" si="28"/>
        <v>-7.8380032275372642</v>
      </c>
      <c r="I97" s="94">
        <f t="shared" si="28"/>
        <v>-11.09534222027739</v>
      </c>
      <c r="J97" s="94">
        <f t="shared" si="28"/>
        <v>-20.286036645615177</v>
      </c>
      <c r="K97" s="94">
        <f t="shared" si="28"/>
        <v>-28.791213165863351</v>
      </c>
      <c r="L97" s="93">
        <f>SUM(D97:INDEX(D97:K97,0,MATCH('RFPR cover'!$C$7,$D$6:$K$6,0)))</f>
        <v>9.2125253751918024</v>
      </c>
      <c r="M97" s="95">
        <f>SUM(D97:K97)</f>
        <v>-19.578687790671548</v>
      </c>
      <c r="O97"/>
      <c r="P97"/>
      <c r="Q97"/>
      <c r="R97"/>
      <c r="S97"/>
      <c r="T97"/>
    </row>
    <row r="98" spans="1:20">
      <c r="A98" s="35"/>
      <c r="B98" s="768"/>
      <c r="O98"/>
      <c r="P98"/>
      <c r="Q98"/>
      <c r="R98"/>
      <c r="S98"/>
      <c r="T98"/>
    </row>
    <row r="99" spans="1:20">
      <c r="A99" s="35"/>
      <c r="B99" s="776" t="s">
        <v>181</v>
      </c>
      <c r="N99" s="63"/>
      <c r="O99"/>
      <c r="P99"/>
      <c r="Q99"/>
      <c r="R99"/>
      <c r="S99"/>
      <c r="T99"/>
    </row>
    <row r="100" spans="1:20">
      <c r="A100" s="270" t="s">
        <v>150</v>
      </c>
      <c r="B100" s="226" t="str">
        <f t="shared" ref="B100:B105" si="29">B22</f>
        <v>Smart Meter Roll-out updated allowances</v>
      </c>
      <c r="C100" s="156" t="s">
        <v>127</v>
      </c>
      <c r="D100" s="586">
        <f t="shared" ref="D100:K105" si="30">D22*D$86</f>
        <v>0</v>
      </c>
      <c r="E100" s="586">
        <f t="shared" si="30"/>
        <v>0</v>
      </c>
      <c r="F100" s="586">
        <f t="shared" si="30"/>
        <v>0</v>
      </c>
      <c r="G100" s="586">
        <f t="shared" si="30"/>
        <v>0</v>
      </c>
      <c r="H100" s="586">
        <f t="shared" si="30"/>
        <v>0</v>
      </c>
      <c r="I100" s="586">
        <f t="shared" si="30"/>
        <v>0</v>
      </c>
      <c r="J100" s="586">
        <f t="shared" si="30"/>
        <v>4.2467550916113206</v>
      </c>
      <c r="K100" s="586">
        <f t="shared" si="30"/>
        <v>4.9794262893330492</v>
      </c>
      <c r="L100" s="578">
        <f>SUM(D100:INDEX(D100:K100,0,MATCH('RFPR cover'!$C$7,$D$6:$K$6,0)))</f>
        <v>4.2467550916113206</v>
      </c>
      <c r="M100" s="579">
        <f t="shared" ref="M100:M106" si="31">SUM(D100:K100)</f>
        <v>9.2261813809443698</v>
      </c>
      <c r="N100" s="63"/>
      <c r="O100"/>
      <c r="P100"/>
      <c r="Q100"/>
      <c r="R100"/>
      <c r="S100"/>
      <c r="T100"/>
    </row>
    <row r="101" spans="1:20">
      <c r="A101" s="270" t="s">
        <v>151</v>
      </c>
      <c r="B101" s="226" t="str">
        <f t="shared" si="29"/>
        <v>Visual Amenity allowances</v>
      </c>
      <c r="C101" s="156" t="s">
        <v>127</v>
      </c>
      <c r="D101" s="586">
        <f t="shared" si="30"/>
        <v>0</v>
      </c>
      <c r="E101" s="586">
        <f t="shared" si="30"/>
        <v>0</v>
      </c>
      <c r="F101" s="586">
        <f t="shared" si="30"/>
        <v>0</v>
      </c>
      <c r="G101" s="586">
        <f t="shared" si="30"/>
        <v>0</v>
      </c>
      <c r="H101" s="586">
        <f t="shared" si="30"/>
        <v>0</v>
      </c>
      <c r="I101" s="586">
        <f t="shared" si="30"/>
        <v>0</v>
      </c>
      <c r="J101" s="586">
        <f t="shared" si="30"/>
        <v>1.3891629299999999</v>
      </c>
      <c r="K101" s="586">
        <f t="shared" si="30"/>
        <v>1.89133758430309</v>
      </c>
      <c r="L101" s="582">
        <f>SUM(D101:INDEX(D101:K101,0,MATCH('RFPR cover'!$C$7,$D$6:$K$6,0)))</f>
        <v>1.3891629299999999</v>
      </c>
      <c r="M101" s="583">
        <f t="shared" si="31"/>
        <v>3.2805005143030899</v>
      </c>
      <c r="N101" s="63"/>
      <c r="O101"/>
      <c r="P101"/>
      <c r="Q101"/>
      <c r="R101"/>
      <c r="S101"/>
      <c r="T101"/>
    </row>
    <row r="102" spans="1:20">
      <c r="A102" s="270" t="s">
        <v>152</v>
      </c>
      <c r="B102" s="226" t="str">
        <f t="shared" si="29"/>
        <v>Street Works allowances</v>
      </c>
      <c r="C102" s="156" t="s">
        <v>127</v>
      </c>
      <c r="D102" s="586">
        <f t="shared" si="30"/>
        <v>0</v>
      </c>
      <c r="E102" s="586">
        <f t="shared" si="30"/>
        <v>0</v>
      </c>
      <c r="F102" s="586">
        <f t="shared" si="30"/>
        <v>0</v>
      </c>
      <c r="G102" s="586">
        <f t="shared" si="30"/>
        <v>0</v>
      </c>
      <c r="H102" s="586">
        <f t="shared" si="30"/>
        <v>0</v>
      </c>
      <c r="I102" s="586">
        <f t="shared" si="30"/>
        <v>0</v>
      </c>
      <c r="J102" s="586">
        <f t="shared" si="30"/>
        <v>0</v>
      </c>
      <c r="K102" s="586">
        <f t="shared" si="30"/>
        <v>0</v>
      </c>
      <c r="L102" s="582">
        <f>SUM(D102:INDEX(D102:K102,0,MATCH('RFPR cover'!$C$7,$D$6:$K$6,0)))</f>
        <v>0</v>
      </c>
      <c r="M102" s="583">
        <f t="shared" si="31"/>
        <v>0</v>
      </c>
      <c r="N102" s="63"/>
      <c r="O102"/>
      <c r="P102"/>
      <c r="Q102"/>
      <c r="R102"/>
      <c r="S102" s="65"/>
      <c r="T102"/>
    </row>
    <row r="103" spans="1:20">
      <c r="A103" s="270" t="s">
        <v>167</v>
      </c>
      <c r="B103" s="226" t="str">
        <f t="shared" si="29"/>
        <v>Adjustment to remove impact of re-phasing/timing differences</v>
      </c>
      <c r="C103" s="156" t="s">
        <v>127</v>
      </c>
      <c r="D103" s="586">
        <f t="shared" si="30"/>
        <v>-20.541389800359209</v>
      </c>
      <c r="E103" s="586">
        <f t="shared" si="30"/>
        <v>-31.910059032599204</v>
      </c>
      <c r="F103" s="586">
        <f t="shared" si="30"/>
        <v>-32.495571790273885</v>
      </c>
      <c r="G103" s="586">
        <f t="shared" si="30"/>
        <v>-16.408105715344426</v>
      </c>
      <c r="H103" s="586">
        <f t="shared" si="30"/>
        <v>10.098975172430702</v>
      </c>
      <c r="I103" s="586">
        <f t="shared" si="30"/>
        <v>71.347788632453884</v>
      </c>
      <c r="J103" s="586">
        <f t="shared" si="30"/>
        <v>8.5738899800732522</v>
      </c>
      <c r="K103" s="586">
        <f t="shared" si="30"/>
        <v>23.883639809423855</v>
      </c>
      <c r="L103" s="582">
        <f>SUM(D103:INDEX(D103:K103,0,MATCH('RFPR cover'!$C$7,$D$6:$K$6,0)))</f>
        <v>-11.334472553618889</v>
      </c>
      <c r="M103" s="583">
        <f t="shared" si="31"/>
        <v>12.549167255804965</v>
      </c>
      <c r="N103" s="63"/>
      <c r="O103"/>
      <c r="P103"/>
      <c r="Q103"/>
      <c r="R103"/>
      <c r="S103"/>
      <c r="T103"/>
    </row>
    <row r="104" spans="1:20">
      <c r="A104" s="270" t="s">
        <v>168</v>
      </c>
      <c r="B104" s="226" t="str">
        <f t="shared" si="29"/>
        <v>[Enduring Value adjustment]</v>
      </c>
      <c r="C104" s="156" t="s">
        <v>127</v>
      </c>
      <c r="D104" s="586">
        <f t="shared" si="30"/>
        <v>0</v>
      </c>
      <c r="E104" s="586">
        <f t="shared" si="30"/>
        <v>0</v>
      </c>
      <c r="F104" s="586">
        <f t="shared" si="30"/>
        <v>0</v>
      </c>
      <c r="G104" s="586">
        <f t="shared" si="30"/>
        <v>0</v>
      </c>
      <c r="H104" s="586">
        <f t="shared" si="30"/>
        <v>0</v>
      </c>
      <c r="I104" s="586">
        <f t="shared" si="30"/>
        <v>0</v>
      </c>
      <c r="J104" s="586">
        <f t="shared" si="30"/>
        <v>0</v>
      </c>
      <c r="K104" s="586">
        <f t="shared" si="30"/>
        <v>0</v>
      </c>
      <c r="L104" s="582">
        <f>SUM(D104:INDEX(D104:K104,0,MATCH('RFPR cover'!$C$7,$D$6:$K$6,0)))</f>
        <v>0</v>
      </c>
      <c r="M104" s="583">
        <f t="shared" si="31"/>
        <v>0</v>
      </c>
      <c r="N104" s="63"/>
      <c r="O104"/>
      <c r="P104"/>
      <c r="Q104"/>
      <c r="R104"/>
      <c r="S104"/>
      <c r="T104"/>
    </row>
    <row r="105" spans="1:20">
      <c r="A105" s="270" t="s">
        <v>169</v>
      </c>
      <c r="B105" s="226" t="str">
        <f t="shared" si="29"/>
        <v>[Enduring Value adjustment]</v>
      </c>
      <c r="C105" s="156" t="s">
        <v>127</v>
      </c>
      <c r="D105" s="586">
        <f t="shared" si="30"/>
        <v>0</v>
      </c>
      <c r="E105" s="586">
        <f t="shared" si="30"/>
        <v>0</v>
      </c>
      <c r="F105" s="586">
        <f t="shared" si="30"/>
        <v>0</v>
      </c>
      <c r="G105" s="586">
        <f t="shared" si="30"/>
        <v>0</v>
      </c>
      <c r="H105" s="586">
        <f t="shared" si="30"/>
        <v>0</v>
      </c>
      <c r="I105" s="586">
        <f t="shared" si="30"/>
        <v>0</v>
      </c>
      <c r="J105" s="586">
        <f t="shared" si="30"/>
        <v>0</v>
      </c>
      <c r="K105" s="586">
        <f t="shared" si="30"/>
        <v>0</v>
      </c>
      <c r="L105" s="586">
        <f>SUM(D105:INDEX(D105:K105,0,MATCH('RFPR cover'!$C$7,$D$6:$K$6,0)))</f>
        <v>0</v>
      </c>
      <c r="M105" s="587">
        <f t="shared" si="31"/>
        <v>0</v>
      </c>
      <c r="N105" s="63"/>
      <c r="O105"/>
      <c r="P105"/>
      <c r="Q105"/>
      <c r="R105"/>
      <c r="S105"/>
      <c r="T105"/>
    </row>
    <row r="106" spans="1:20">
      <c r="A106" s="35"/>
      <c r="B106" s="776" t="s">
        <v>189</v>
      </c>
      <c r="C106" s="156" t="s">
        <v>127</v>
      </c>
      <c r="D106" s="103">
        <f>SUM(D100:D105)</f>
        <v>-20.541389800359209</v>
      </c>
      <c r="E106" s="104">
        <f t="shared" ref="E106:K106" si="32">SUM(E100:E105)</f>
        <v>-31.910059032599204</v>
      </c>
      <c r="F106" s="104">
        <f t="shared" si="32"/>
        <v>-32.495571790273885</v>
      </c>
      <c r="G106" s="104">
        <f t="shared" si="32"/>
        <v>-16.408105715344426</v>
      </c>
      <c r="H106" s="104">
        <f t="shared" si="32"/>
        <v>10.098975172430702</v>
      </c>
      <c r="I106" s="104">
        <f t="shared" si="32"/>
        <v>71.347788632453884</v>
      </c>
      <c r="J106" s="104">
        <f t="shared" si="32"/>
        <v>14.209808001684573</v>
      </c>
      <c r="K106" s="105">
        <f t="shared" si="32"/>
        <v>30.754403683059994</v>
      </c>
      <c r="L106" s="103">
        <f>SUM(D106:INDEX(D106:K106,0,MATCH('RFPR cover'!$C$7,$D$6:$K$6,0)))</f>
        <v>-5.6985545320075683</v>
      </c>
      <c r="M106" s="105">
        <f t="shared" si="31"/>
        <v>25.055849151052428</v>
      </c>
      <c r="N106" s="63"/>
    </row>
    <row r="107" spans="1:20">
      <c r="A107" s="35"/>
      <c r="B107" s="768"/>
    </row>
    <row r="108" spans="1:20">
      <c r="A108" s="35"/>
      <c r="B108" s="775" t="s">
        <v>197</v>
      </c>
      <c r="C108" s="156" t="s">
        <v>127</v>
      </c>
      <c r="D108" s="96">
        <f t="shared" ref="D108:K108" si="33">D106*D94</f>
        <v>-9.0703169941393558</v>
      </c>
      <c r="E108" s="97">
        <f t="shared" si="33"/>
        <v>-14.090300293231047</v>
      </c>
      <c r="F108" s="97">
        <f t="shared" si="33"/>
        <v>-14.348841042802393</v>
      </c>
      <c r="G108" s="97">
        <f t="shared" si="33"/>
        <v>-7.2452118166279629</v>
      </c>
      <c r="H108" s="97">
        <f t="shared" si="33"/>
        <v>4.4593334248633845</v>
      </c>
      <c r="I108" s="97">
        <f t="shared" si="33"/>
        <v>31.504541124860623</v>
      </c>
      <c r="J108" s="97">
        <f t="shared" si="33"/>
        <v>6.2745249593035384</v>
      </c>
      <c r="K108" s="97">
        <f t="shared" si="33"/>
        <v>13.580005690082519</v>
      </c>
      <c r="L108" s="96">
        <f>SUM(D108:INDEX(D108:K108,0,MATCH('RFPR cover'!$C$7,$D$6:$K$6,0)))</f>
        <v>-2.5162706377732134</v>
      </c>
      <c r="M108" s="98">
        <f>SUM(D108:K108)</f>
        <v>11.063735052309305</v>
      </c>
    </row>
    <row r="109" spans="1:20">
      <c r="A109" s="35"/>
      <c r="B109" s="775" t="s">
        <v>306</v>
      </c>
      <c r="C109" s="156" t="s">
        <v>127</v>
      </c>
      <c r="D109" s="93">
        <f t="shared" ref="D109:K109" si="34">D106*(1-D94)</f>
        <v>-11.471072806219853</v>
      </c>
      <c r="E109" s="94">
        <f t="shared" si="34"/>
        <v>-17.819758739368154</v>
      </c>
      <c r="F109" s="94">
        <f t="shared" si="34"/>
        <v>-18.146730747471491</v>
      </c>
      <c r="G109" s="94">
        <f t="shared" si="34"/>
        <v>-9.1628938987164634</v>
      </c>
      <c r="H109" s="94">
        <f t="shared" si="34"/>
        <v>5.6396417475673175</v>
      </c>
      <c r="I109" s="94">
        <f t="shared" si="34"/>
        <v>39.843247507593262</v>
      </c>
      <c r="J109" s="94">
        <f t="shared" si="34"/>
        <v>7.9352830423810348</v>
      </c>
      <c r="K109" s="94">
        <f t="shared" si="34"/>
        <v>17.174397992977475</v>
      </c>
      <c r="L109" s="93">
        <f>SUM(D109:INDEX(D109:K109,0,MATCH('RFPR cover'!$C$7,$D$6:$K$6,0)))</f>
        <v>-3.1822838942343479</v>
      </c>
      <c r="M109" s="95">
        <f>SUM(D109:K109)</f>
        <v>13.992114098743127</v>
      </c>
    </row>
    <row r="110" spans="1:20">
      <c r="A110" s="35"/>
      <c r="B110" s="768"/>
    </row>
    <row r="111" spans="1:20">
      <c r="A111" s="35"/>
      <c r="B111" s="776" t="s">
        <v>180</v>
      </c>
    </row>
    <row r="112" spans="1:20">
      <c r="A112" s="35"/>
      <c r="B112" s="768" t="s">
        <v>179</v>
      </c>
      <c r="C112" s="156" t="s">
        <v>127</v>
      </c>
      <c r="D112" s="96">
        <f>D96+D108</f>
        <v>-6.0959407175740523</v>
      </c>
      <c r="E112" s="97">
        <f t="shared" ref="E112:K112" si="35">E96+E108</f>
        <v>-2.1709411961257405</v>
      </c>
      <c r="F112" s="97">
        <f t="shared" si="35"/>
        <v>-0.77215155440518224</v>
      </c>
      <c r="G112" s="97">
        <f t="shared" si="35"/>
        <v>2.5800624936632257</v>
      </c>
      <c r="H112" s="97">
        <f t="shared" si="35"/>
        <v>-1.7382711999021545</v>
      </c>
      <c r="I112" s="97">
        <f t="shared" si="35"/>
        <v>22.731318881706017</v>
      </c>
      <c r="J112" s="97">
        <f t="shared" si="35"/>
        <v>-9.7658913155097515</v>
      </c>
      <c r="K112" s="97">
        <f t="shared" si="35"/>
        <v>-9.185557258713402</v>
      </c>
      <c r="L112" s="96">
        <f>SUM(D112:INDEX(D112:K112,0,MATCH('RFPR cover'!$C$7,$D$6:$K$6,0)))</f>
        <v>4.7681853918523611</v>
      </c>
      <c r="M112" s="98">
        <f>SUM(D112:K112)</f>
        <v>-4.4173718668610409</v>
      </c>
    </row>
    <row r="113" spans="1:20">
      <c r="A113" s="35"/>
      <c r="B113" s="768" t="s">
        <v>279</v>
      </c>
      <c r="C113" s="156" t="s">
        <v>127</v>
      </c>
      <c r="D113" s="514">
        <f>D97+D109</f>
        <v>-7.7094306449128815</v>
      </c>
      <c r="E113" s="515">
        <f t="shared" ref="E113:K113" si="36">E97+E109</f>
        <v>-2.7455517304269605</v>
      </c>
      <c r="F113" s="515">
        <f t="shared" si="36"/>
        <v>-0.97652669732940467</v>
      </c>
      <c r="G113" s="515">
        <f t="shared" si="36"/>
        <v>3.2629603495149144</v>
      </c>
      <c r="H113" s="515">
        <f t="shared" si="36"/>
        <v>-2.1983614799699467</v>
      </c>
      <c r="I113" s="515">
        <f t="shared" si="36"/>
        <v>28.747905287315874</v>
      </c>
      <c r="J113" s="515">
        <f t="shared" si="36"/>
        <v>-12.350753603234143</v>
      </c>
      <c r="K113" s="515">
        <f t="shared" si="36"/>
        <v>-11.616815172885875</v>
      </c>
      <c r="L113" s="514">
        <f>SUM(D113:INDEX(D113:K113,0,MATCH('RFPR cover'!$C$7,$D$6:$K$6,0)))</f>
        <v>6.0302414809574536</v>
      </c>
      <c r="M113" s="516">
        <f>SUM(D113:K113)</f>
        <v>-5.5865736919284217</v>
      </c>
    </row>
    <row r="114" spans="1:20">
      <c r="A114" s="35"/>
      <c r="B114" s="776" t="s">
        <v>11</v>
      </c>
      <c r="C114" s="157" t="s">
        <v>127</v>
      </c>
      <c r="D114" s="146">
        <f>SUM(D112:D113)</f>
        <v>-13.805371362486934</v>
      </c>
      <c r="E114" s="147">
        <f t="shared" ref="E114:K114" si="37">SUM(E112:E113)</f>
        <v>-4.9164929265527011</v>
      </c>
      <c r="F114" s="147">
        <f t="shared" si="37"/>
        <v>-1.7486782517345869</v>
      </c>
      <c r="G114" s="147">
        <f t="shared" si="37"/>
        <v>5.8430228431781401</v>
      </c>
      <c r="H114" s="147">
        <f t="shared" si="37"/>
        <v>-3.9366326798721012</v>
      </c>
      <c r="I114" s="147">
        <f t="shared" si="37"/>
        <v>51.47922416902189</v>
      </c>
      <c r="J114" s="147">
        <f t="shared" si="37"/>
        <v>-22.116644918743894</v>
      </c>
      <c r="K114" s="147">
        <f t="shared" si="37"/>
        <v>-20.802372431599277</v>
      </c>
      <c r="L114" s="146">
        <f>SUM(D114:INDEX(D114:K114,0,MATCH('RFPR cover'!$C$7,$D$6:$K$6,0)))</f>
        <v>10.798426872809806</v>
      </c>
      <c r="M114" s="148">
        <f>SUM(D114:K114)</f>
        <v>-10.003945558789471</v>
      </c>
    </row>
    <row r="115" spans="1:20">
      <c r="A115" s="35"/>
      <c r="B115" s="768"/>
    </row>
    <row r="116" spans="1:20">
      <c r="A116" s="35"/>
      <c r="B116" s="771" t="str">
        <f>B38</f>
        <v>n/a</v>
      </c>
      <c r="C116" s="151"/>
      <c r="D116" s="82"/>
      <c r="E116" s="82"/>
      <c r="F116" s="82"/>
      <c r="G116" s="82"/>
      <c r="H116" s="82"/>
      <c r="I116" s="82"/>
      <c r="J116" s="82"/>
      <c r="K116" s="82"/>
      <c r="L116" s="82"/>
      <c r="M116" s="82"/>
      <c r="N116" s="82"/>
    </row>
    <row r="117" spans="1:20" s="35" customFormat="1">
      <c r="B117" s="769"/>
      <c r="C117" s="139"/>
      <c r="D117" s="319"/>
      <c r="E117" s="319"/>
      <c r="F117" s="319"/>
      <c r="G117" s="319"/>
      <c r="H117" s="319"/>
      <c r="I117" s="319"/>
      <c r="J117" s="319"/>
      <c r="K117" s="319"/>
      <c r="L117" s="319"/>
      <c r="M117" s="319"/>
      <c r="N117" s="319"/>
    </row>
    <row r="118" spans="1:20">
      <c r="A118" s="35"/>
      <c r="B118" s="304" t="s">
        <v>34</v>
      </c>
      <c r="C118" s="156" t="s">
        <v>127</v>
      </c>
      <c r="D118" s="665">
        <f t="shared" ref="D118:K119" si="38">D40*D$86</f>
        <v>0</v>
      </c>
      <c r="E118" s="665">
        <f t="shared" si="38"/>
        <v>0</v>
      </c>
      <c r="F118" s="665">
        <f t="shared" si="38"/>
        <v>0</v>
      </c>
      <c r="G118" s="665">
        <f t="shared" si="38"/>
        <v>0</v>
      </c>
      <c r="H118" s="665">
        <f t="shared" si="38"/>
        <v>0</v>
      </c>
      <c r="I118" s="665">
        <f t="shared" si="38"/>
        <v>0</v>
      </c>
      <c r="J118" s="665">
        <f t="shared" si="38"/>
        <v>0</v>
      </c>
      <c r="K118" s="665">
        <f t="shared" si="38"/>
        <v>0</v>
      </c>
      <c r="L118" s="665">
        <f>SUM(D118:INDEX(D118:K118,0,MATCH('RFPR cover'!$C$7,$D$6:$K$6,0)))</f>
        <v>0</v>
      </c>
      <c r="M118" s="666">
        <f>SUM(D118:K118)</f>
        <v>0</v>
      </c>
      <c r="N118" s="63"/>
      <c r="O118" s="63"/>
    </row>
    <row r="119" spans="1:20" ht="25.5">
      <c r="A119" s="35"/>
      <c r="B119" s="773" t="s">
        <v>196</v>
      </c>
      <c r="C119" s="156" t="s">
        <v>127</v>
      </c>
      <c r="D119" s="665">
        <f t="shared" si="38"/>
        <v>0</v>
      </c>
      <c r="E119" s="665">
        <f t="shared" si="38"/>
        <v>0</v>
      </c>
      <c r="F119" s="665">
        <f t="shared" si="38"/>
        <v>0</v>
      </c>
      <c r="G119" s="665">
        <f t="shared" si="38"/>
        <v>0</v>
      </c>
      <c r="H119" s="665">
        <f t="shared" si="38"/>
        <v>0</v>
      </c>
      <c r="I119" s="665">
        <f t="shared" si="38"/>
        <v>0</v>
      </c>
      <c r="J119" s="665">
        <f t="shared" si="38"/>
        <v>0</v>
      </c>
      <c r="K119" s="665">
        <f t="shared" si="38"/>
        <v>0</v>
      </c>
      <c r="L119" s="667">
        <f>SUM(D119:INDEX(D119:K119,0,MATCH('RFPR cover'!$C$7,$D$6:$K$6,0)))</f>
        <v>0</v>
      </c>
      <c r="M119" s="668">
        <f>SUM(D119:K119)</f>
        <v>0</v>
      </c>
      <c r="N119" s="63"/>
      <c r="O119" s="63"/>
    </row>
    <row r="120" spans="1:20">
      <c r="A120" s="35"/>
      <c r="B120" s="774"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81"/>
      <c r="P120" s="981"/>
      <c r="Q120" s="981"/>
      <c r="R120"/>
      <c r="S120"/>
      <c r="T120"/>
    </row>
    <row r="121" spans="1:20">
      <c r="A121" s="35"/>
      <c r="B121" s="774"/>
      <c r="C121" s="156"/>
      <c r="D121" s="59"/>
      <c r="E121" s="59"/>
      <c r="F121" s="59"/>
      <c r="G121" s="59"/>
      <c r="H121" s="59"/>
      <c r="I121" s="59"/>
      <c r="J121" s="59"/>
      <c r="K121" s="59"/>
      <c r="L121" s="59"/>
      <c r="M121" s="59"/>
      <c r="O121" s="64"/>
      <c r="P121" s="64"/>
      <c r="Q121" s="64"/>
      <c r="R121"/>
      <c r="S121"/>
      <c r="T121"/>
    </row>
    <row r="122" spans="1:20">
      <c r="A122" s="35"/>
      <c r="B122" s="768"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68"/>
      <c r="O123"/>
      <c r="P123"/>
      <c r="Q123"/>
      <c r="R123"/>
      <c r="S123"/>
      <c r="T123"/>
    </row>
    <row r="124" spans="1:20">
      <c r="A124" s="35"/>
      <c r="B124" s="775"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5"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68"/>
      <c r="O126"/>
      <c r="P126"/>
      <c r="Q126"/>
      <c r="R126"/>
      <c r="S126"/>
      <c r="T126"/>
    </row>
    <row r="127" spans="1:20">
      <c r="A127" s="35"/>
      <c r="B127" s="776" t="s">
        <v>181</v>
      </c>
      <c r="N127" s="63"/>
      <c r="O127"/>
      <c r="P127"/>
      <c r="Q127"/>
      <c r="R127"/>
      <c r="S127"/>
      <c r="T127"/>
    </row>
    <row r="128" spans="1:20">
      <c r="A128" s="270" t="s">
        <v>150</v>
      </c>
      <c r="B128" s="226" t="str">
        <f t="shared" ref="B128:B133" si="42">B50</f>
        <v>[Enduring Value adjustment]</v>
      </c>
      <c r="C128" s="156" t="s">
        <v>127</v>
      </c>
      <c r="D128" s="578">
        <f t="shared" ref="D128:K133" si="43">D50*D$86</f>
        <v>0</v>
      </c>
      <c r="E128" s="578">
        <f t="shared" si="43"/>
        <v>0</v>
      </c>
      <c r="F128" s="578">
        <f t="shared" si="43"/>
        <v>0</v>
      </c>
      <c r="G128" s="578">
        <f t="shared" si="43"/>
        <v>0</v>
      </c>
      <c r="H128" s="578">
        <f t="shared" si="43"/>
        <v>0</v>
      </c>
      <c r="I128" s="578">
        <f t="shared" si="43"/>
        <v>0</v>
      </c>
      <c r="J128" s="578">
        <f t="shared" si="43"/>
        <v>0</v>
      </c>
      <c r="K128" s="578">
        <f t="shared" si="43"/>
        <v>0</v>
      </c>
      <c r="L128" s="578">
        <f>SUM(D128:INDEX(D128:K128,0,MATCH('RFPR cover'!$C$7,$D$6:$K$6,0)))</f>
        <v>0</v>
      </c>
      <c r="M128" s="579">
        <f t="shared" ref="M128:M134" si="44">SUM(D128:K128)</f>
        <v>0</v>
      </c>
      <c r="N128" s="63"/>
      <c r="O128"/>
      <c r="P128"/>
      <c r="Q128"/>
      <c r="R128"/>
      <c r="S128"/>
      <c r="T128"/>
    </row>
    <row r="129" spans="1:20">
      <c r="A129" s="270" t="s">
        <v>151</v>
      </c>
      <c r="B129" s="226" t="str">
        <f t="shared" si="42"/>
        <v>[Enduring Value adjustment]</v>
      </c>
      <c r="C129" s="156" t="s">
        <v>127</v>
      </c>
      <c r="D129" s="578">
        <f t="shared" si="43"/>
        <v>0</v>
      </c>
      <c r="E129" s="578">
        <f t="shared" si="43"/>
        <v>0</v>
      </c>
      <c r="F129" s="578">
        <f t="shared" si="43"/>
        <v>0</v>
      </c>
      <c r="G129" s="578">
        <f t="shared" si="43"/>
        <v>0</v>
      </c>
      <c r="H129" s="578">
        <f t="shared" si="43"/>
        <v>0</v>
      </c>
      <c r="I129" s="578">
        <f t="shared" si="43"/>
        <v>0</v>
      </c>
      <c r="J129" s="578">
        <f t="shared" si="43"/>
        <v>0</v>
      </c>
      <c r="K129" s="578">
        <f t="shared" si="43"/>
        <v>0</v>
      </c>
      <c r="L129" s="582">
        <f>SUM(D129:INDEX(D129:K129,0,MATCH('RFPR cover'!$C$7,$D$6:$K$6,0)))</f>
        <v>0</v>
      </c>
      <c r="M129" s="583">
        <f t="shared" si="44"/>
        <v>0</v>
      </c>
      <c r="N129" s="63"/>
      <c r="O129"/>
      <c r="P129"/>
      <c r="Q129"/>
      <c r="R129"/>
      <c r="S129"/>
      <c r="T129"/>
    </row>
    <row r="130" spans="1:20">
      <c r="A130" s="270" t="s">
        <v>152</v>
      </c>
      <c r="B130" s="226" t="str">
        <f t="shared" si="42"/>
        <v>[Enduring Value adjustment]</v>
      </c>
      <c r="C130" s="156" t="s">
        <v>127</v>
      </c>
      <c r="D130" s="578">
        <f t="shared" si="43"/>
        <v>0</v>
      </c>
      <c r="E130" s="578">
        <f t="shared" si="43"/>
        <v>0</v>
      </c>
      <c r="F130" s="578">
        <f t="shared" si="43"/>
        <v>0</v>
      </c>
      <c r="G130" s="578">
        <f t="shared" si="43"/>
        <v>0</v>
      </c>
      <c r="H130" s="578">
        <f t="shared" si="43"/>
        <v>0</v>
      </c>
      <c r="I130" s="578">
        <f t="shared" si="43"/>
        <v>0</v>
      </c>
      <c r="J130" s="578">
        <f t="shared" si="43"/>
        <v>0</v>
      </c>
      <c r="K130" s="578">
        <f t="shared" si="43"/>
        <v>0</v>
      </c>
      <c r="L130" s="582">
        <f>SUM(D130:INDEX(D130:K130,0,MATCH('RFPR cover'!$C$7,$D$6:$K$6,0)))</f>
        <v>0</v>
      </c>
      <c r="M130" s="583">
        <f t="shared" si="44"/>
        <v>0</v>
      </c>
      <c r="N130" s="63"/>
      <c r="O130"/>
      <c r="P130"/>
      <c r="Q130"/>
      <c r="R130"/>
      <c r="S130" s="65"/>
      <c r="T130"/>
    </row>
    <row r="131" spans="1:20">
      <c r="A131" s="270" t="s">
        <v>167</v>
      </c>
      <c r="B131" s="226" t="str">
        <f t="shared" si="42"/>
        <v>[Enduring Value adjustment]</v>
      </c>
      <c r="C131" s="156" t="s">
        <v>127</v>
      </c>
      <c r="D131" s="578">
        <f t="shared" si="43"/>
        <v>0</v>
      </c>
      <c r="E131" s="578">
        <f t="shared" si="43"/>
        <v>0</v>
      </c>
      <c r="F131" s="578">
        <f t="shared" si="43"/>
        <v>0</v>
      </c>
      <c r="G131" s="578">
        <f t="shared" si="43"/>
        <v>0</v>
      </c>
      <c r="H131" s="578">
        <f t="shared" si="43"/>
        <v>0</v>
      </c>
      <c r="I131" s="578">
        <f t="shared" si="43"/>
        <v>0</v>
      </c>
      <c r="J131" s="578">
        <f t="shared" si="43"/>
        <v>0</v>
      </c>
      <c r="K131" s="578">
        <f t="shared" si="43"/>
        <v>0</v>
      </c>
      <c r="L131" s="582">
        <f>SUM(D131:INDEX(D131:K131,0,MATCH('RFPR cover'!$C$7,$D$6:$K$6,0)))</f>
        <v>0</v>
      </c>
      <c r="M131" s="583">
        <f t="shared" si="44"/>
        <v>0</v>
      </c>
      <c r="N131" s="63"/>
      <c r="O131"/>
      <c r="P131"/>
      <c r="Q131"/>
      <c r="R131"/>
      <c r="S131"/>
      <c r="T131"/>
    </row>
    <row r="132" spans="1:20">
      <c r="A132" s="270" t="s">
        <v>168</v>
      </c>
      <c r="B132" s="226" t="str">
        <f t="shared" si="42"/>
        <v>[Enduring Value adjustment]</v>
      </c>
      <c r="C132" s="156" t="s">
        <v>127</v>
      </c>
      <c r="D132" s="578">
        <f t="shared" si="43"/>
        <v>0</v>
      </c>
      <c r="E132" s="578">
        <f t="shared" si="43"/>
        <v>0</v>
      </c>
      <c r="F132" s="578">
        <f t="shared" si="43"/>
        <v>0</v>
      </c>
      <c r="G132" s="578">
        <f t="shared" si="43"/>
        <v>0</v>
      </c>
      <c r="H132" s="578">
        <f t="shared" si="43"/>
        <v>0</v>
      </c>
      <c r="I132" s="578">
        <f t="shared" si="43"/>
        <v>0</v>
      </c>
      <c r="J132" s="578">
        <f t="shared" si="43"/>
        <v>0</v>
      </c>
      <c r="K132" s="578">
        <f t="shared" si="43"/>
        <v>0</v>
      </c>
      <c r="L132" s="582">
        <f>SUM(D132:INDEX(D132:K132,0,MATCH('RFPR cover'!$C$7,$D$6:$K$6,0)))</f>
        <v>0</v>
      </c>
      <c r="M132" s="583">
        <f t="shared" si="44"/>
        <v>0</v>
      </c>
      <c r="N132" s="63"/>
      <c r="O132"/>
      <c r="P132"/>
      <c r="Q132"/>
      <c r="R132"/>
      <c r="S132"/>
      <c r="T132"/>
    </row>
    <row r="133" spans="1:20">
      <c r="A133" s="270" t="s">
        <v>169</v>
      </c>
      <c r="B133" s="226" t="str">
        <f t="shared" si="42"/>
        <v>[Enduring Value adjustment]</v>
      </c>
      <c r="C133" s="156" t="s">
        <v>127</v>
      </c>
      <c r="D133" s="578">
        <f t="shared" si="43"/>
        <v>0</v>
      </c>
      <c r="E133" s="578">
        <f t="shared" si="43"/>
        <v>0</v>
      </c>
      <c r="F133" s="578">
        <f t="shared" si="43"/>
        <v>0</v>
      </c>
      <c r="G133" s="578">
        <f t="shared" si="43"/>
        <v>0</v>
      </c>
      <c r="H133" s="578">
        <f t="shared" si="43"/>
        <v>0</v>
      </c>
      <c r="I133" s="578">
        <f t="shared" si="43"/>
        <v>0</v>
      </c>
      <c r="J133" s="578">
        <f t="shared" si="43"/>
        <v>0</v>
      </c>
      <c r="K133" s="578">
        <f t="shared" si="43"/>
        <v>0</v>
      </c>
      <c r="L133" s="586">
        <f>SUM(D133:INDEX(D133:K133,0,MATCH('RFPR cover'!$C$7,$D$6:$K$6,0)))</f>
        <v>0</v>
      </c>
      <c r="M133" s="587">
        <f t="shared" si="44"/>
        <v>0</v>
      </c>
      <c r="N133" s="63"/>
      <c r="O133"/>
      <c r="P133"/>
      <c r="Q133"/>
      <c r="R133"/>
      <c r="S133"/>
      <c r="T133"/>
    </row>
    <row r="134" spans="1:20">
      <c r="A134" s="35"/>
      <c r="B134" s="776"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68"/>
    </row>
    <row r="136" spans="1:20">
      <c r="A136" s="35"/>
      <c r="B136" s="775"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5"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68"/>
    </row>
    <row r="139" spans="1:20">
      <c r="A139" s="35"/>
      <c r="B139" s="776" t="s">
        <v>180</v>
      </c>
    </row>
    <row r="140" spans="1:20">
      <c r="A140" s="35"/>
      <c r="B140" s="768"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68"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76"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76"/>
      <c r="C143" s="157"/>
      <c r="D143" s="157"/>
      <c r="E143" s="157"/>
      <c r="F143" s="157"/>
      <c r="G143" s="157"/>
      <c r="H143" s="157"/>
      <c r="I143" s="157"/>
      <c r="J143" s="157"/>
      <c r="K143" s="157"/>
      <c r="L143" s="157"/>
      <c r="M143" s="157"/>
    </row>
    <row r="144" spans="1:20">
      <c r="A144" s="35"/>
      <c r="B144" s="771" t="s">
        <v>256</v>
      </c>
      <c r="C144" s="151"/>
      <c r="D144" s="82"/>
      <c r="E144" s="82"/>
      <c r="F144" s="82"/>
      <c r="G144" s="82"/>
      <c r="H144" s="82"/>
      <c r="I144" s="82"/>
      <c r="J144" s="82"/>
      <c r="K144" s="82"/>
      <c r="L144" s="82"/>
      <c r="M144" s="82"/>
      <c r="N144" s="82"/>
    </row>
    <row r="145" spans="1:20">
      <c r="A145" s="35"/>
      <c r="B145" s="768"/>
      <c r="O145"/>
      <c r="P145"/>
      <c r="Q145"/>
      <c r="R145"/>
      <c r="S145"/>
      <c r="T145"/>
    </row>
    <row r="146" spans="1:20">
      <c r="A146" s="35"/>
      <c r="B146" s="776" t="s">
        <v>180</v>
      </c>
    </row>
    <row r="147" spans="1:20">
      <c r="A147" s="35"/>
      <c r="B147" s="768" t="s">
        <v>179</v>
      </c>
      <c r="C147" s="156" t="s">
        <v>127</v>
      </c>
      <c r="D147" s="96">
        <f>D112+D140</f>
        <v>-6.0959407175740523</v>
      </c>
      <c r="E147" s="97">
        <f t="shared" ref="E147:K147" si="51">E112+E140</f>
        <v>-2.1709411961257405</v>
      </c>
      <c r="F147" s="97">
        <f t="shared" si="51"/>
        <v>-0.77215155440518224</v>
      </c>
      <c r="G147" s="97">
        <f t="shared" si="51"/>
        <v>2.5800624936632257</v>
      </c>
      <c r="H147" s="97">
        <f t="shared" si="51"/>
        <v>-1.7382711999021545</v>
      </c>
      <c r="I147" s="97">
        <f t="shared" si="51"/>
        <v>22.731318881706017</v>
      </c>
      <c r="J147" s="97">
        <f t="shared" si="51"/>
        <v>-9.7658913155097515</v>
      </c>
      <c r="K147" s="97">
        <f t="shared" si="51"/>
        <v>-9.185557258713402</v>
      </c>
      <c r="L147" s="96">
        <f>SUM(D147:INDEX(D147:K147,0,MATCH('RFPR cover'!$C$7,$D$6:$K$6,0)))</f>
        <v>4.7681853918523611</v>
      </c>
      <c r="M147" s="98">
        <f>SUM(D147:K147)</f>
        <v>-4.4173718668610409</v>
      </c>
    </row>
    <row r="148" spans="1:20">
      <c r="A148" s="35"/>
      <c r="B148" s="768" t="s">
        <v>279</v>
      </c>
      <c r="C148" s="156" t="s">
        <v>127</v>
      </c>
      <c r="D148" s="99">
        <f t="shared" ref="D148:K148" si="52">D113+D141</f>
        <v>-7.7094306449128815</v>
      </c>
      <c r="E148" s="100">
        <f t="shared" si="52"/>
        <v>-2.7455517304269605</v>
      </c>
      <c r="F148" s="100">
        <f t="shared" si="52"/>
        <v>-0.97652669732940467</v>
      </c>
      <c r="G148" s="100">
        <f t="shared" si="52"/>
        <v>3.2629603495149144</v>
      </c>
      <c r="H148" s="100">
        <f t="shared" si="52"/>
        <v>-2.1983614799699467</v>
      </c>
      <c r="I148" s="100">
        <f t="shared" si="52"/>
        <v>28.747905287315874</v>
      </c>
      <c r="J148" s="100">
        <f t="shared" si="52"/>
        <v>-12.350753603234143</v>
      </c>
      <c r="K148" s="100">
        <f t="shared" si="52"/>
        <v>-11.616815172885875</v>
      </c>
      <c r="L148" s="99">
        <f>SUM(D148:INDEX(D148:K148,0,MATCH('RFPR cover'!$C$7,$D$6:$K$6,0)))</f>
        <v>6.0302414809574536</v>
      </c>
      <c r="M148" s="101">
        <f>SUM(D148:K148)</f>
        <v>-5.5865736919284217</v>
      </c>
    </row>
    <row r="149" spans="1:20">
      <c r="A149" s="35"/>
      <c r="B149" s="776" t="s">
        <v>11</v>
      </c>
      <c r="C149" s="157" t="s">
        <v>127</v>
      </c>
      <c r="D149" s="140">
        <f>SUM(D147:D148)</f>
        <v>-13.805371362486934</v>
      </c>
      <c r="E149" s="141">
        <f t="shared" ref="E149:K149" si="53">SUM(E147:E148)</f>
        <v>-4.9164929265527011</v>
      </c>
      <c r="F149" s="141">
        <f t="shared" si="53"/>
        <v>-1.7486782517345869</v>
      </c>
      <c r="G149" s="141">
        <f t="shared" si="53"/>
        <v>5.8430228431781401</v>
      </c>
      <c r="H149" s="141">
        <f t="shared" si="53"/>
        <v>-3.9366326798721012</v>
      </c>
      <c r="I149" s="141">
        <f t="shared" si="53"/>
        <v>51.47922416902189</v>
      </c>
      <c r="J149" s="141">
        <f t="shared" si="53"/>
        <v>-22.116644918743894</v>
      </c>
      <c r="K149" s="141">
        <f t="shared" si="53"/>
        <v>-20.802372431599277</v>
      </c>
      <c r="L149" s="140">
        <f>SUM(D149:INDEX(D149:K149,0,MATCH('RFPR cover'!$C$7,$D$6:$K$6,0)))</f>
        <v>10.798426872809806</v>
      </c>
      <c r="M149" s="142">
        <f>SUM(D149:K149)</f>
        <v>-10.003945558789471</v>
      </c>
    </row>
    <row r="150" spans="1:20">
      <c r="A150" s="35"/>
      <c r="B150" s="775"/>
      <c r="D150" s="137"/>
      <c r="E150" s="137"/>
      <c r="F150" s="137"/>
      <c r="G150" s="137"/>
      <c r="H150" s="137"/>
      <c r="I150" s="137"/>
      <c r="J150" s="137"/>
      <c r="K150" s="137"/>
    </row>
    <row r="151" spans="1:20">
      <c r="A151" s="35"/>
      <c r="B151" s="768"/>
    </row>
    <row r="152" spans="1:20">
      <c r="A152" s="82"/>
      <c r="B152" s="767"/>
      <c r="C152" s="151"/>
      <c r="D152" s="82"/>
      <c r="E152" s="82"/>
      <c r="F152" s="82"/>
      <c r="G152" s="82"/>
      <c r="H152" s="82"/>
      <c r="I152" s="82"/>
      <c r="J152" s="82"/>
      <c r="K152" s="82"/>
      <c r="L152" s="82"/>
      <c r="M152" s="82"/>
      <c r="N152" s="82"/>
    </row>
    <row r="153" spans="1:20">
      <c r="B153" s="768"/>
    </row>
    <row r="154" spans="1:20">
      <c r="B154" s="768"/>
    </row>
  </sheetData>
  <sheetProtection algorithmName="SHA-512" hashValue="1jKSoEFZI2rxzXyy4ZYh8qDqQG2GjFzx2Lw++DvrCzTJDq79mWFHUsYl4bk/5vb40rRbPStgmkoxsEz4nFBwlw==" saltValue="q9mdK4JHbNor+pMZoBS21Q==" spinCount="100000" sheet="1" objects="1" scenarios="1"/>
  <mergeCells count="4">
    <mergeCell ref="O14:Q14"/>
    <mergeCell ref="O42:Q42"/>
    <mergeCell ref="O92:Q92"/>
    <mergeCell ref="O120:Q120"/>
  </mergeCells>
  <conditionalFormatting sqref="D6:K6">
    <cfRule type="expression" dxfId="65" priority="7">
      <formula>AND(D$5="Actuals",E$5="Forecast")</formula>
    </cfRule>
  </conditionalFormatting>
  <conditionalFormatting sqref="B118:M142">
    <cfRule type="expression" dxfId="64" priority="3">
      <formula>$B$38="n/a"</formula>
    </cfRule>
  </conditionalFormatting>
  <conditionalFormatting sqref="D5:K5">
    <cfRule type="expression" dxfId="63" priority="2">
      <formula>AND(D$5="Actuals",E$5="Forecast")</formula>
    </cfRule>
  </conditionalFormatting>
  <conditionalFormatting sqref="B38:N64">
    <cfRule type="expression" dxfId="62" priority="1">
      <formula>$B$38="n/a"</formula>
    </cfRule>
  </conditionalFormatting>
  <pageMargins left="0.70866141732283472" right="0.70866141732283472" top="0.74803149606299213" bottom="0.74803149606299213" header="0.31496062992125984" footer="0.31496062992125984"/>
  <pageSetup paperSize="8"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13" t="s">
        <v>261</v>
      </c>
      <c r="B1" s="914"/>
      <c r="C1" s="154"/>
      <c r="D1" s="132"/>
      <c r="E1" s="132"/>
      <c r="F1" s="132"/>
      <c r="G1" s="132"/>
      <c r="H1" s="132"/>
      <c r="I1" s="128"/>
      <c r="J1" s="128"/>
      <c r="K1" s="128"/>
      <c r="L1" s="128"/>
      <c r="M1" s="128"/>
      <c r="N1" s="129"/>
    </row>
    <row r="2" spans="1:14" s="37" customFormat="1" ht="20.25">
      <c r="A2" s="915" t="str">
        <f>'RFPR cover'!C5</f>
        <v>NPgY</v>
      </c>
      <c r="B2" s="916"/>
      <c r="C2" s="155"/>
      <c r="D2" s="36"/>
      <c r="E2" s="36"/>
      <c r="F2" s="36"/>
      <c r="G2" s="36"/>
      <c r="H2" s="36"/>
      <c r="I2" s="27"/>
      <c r="J2" s="27"/>
      <c r="K2" s="27"/>
      <c r="L2" s="27"/>
      <c r="M2" s="27"/>
      <c r="N2" s="124"/>
    </row>
    <row r="3" spans="1:14" s="37" customFormat="1" ht="20.25">
      <c r="A3" s="917">
        <f>'RFPR cover'!C7</f>
        <v>2022</v>
      </c>
      <c r="B3" s="918"/>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88">
        <v>1.4950660189349718</v>
      </c>
      <c r="E11" s="589">
        <v>2.4404047615840767</v>
      </c>
      <c r="F11" s="589">
        <v>2.5614762708453891</v>
      </c>
      <c r="G11" s="589">
        <v>2.7092631346021414</v>
      </c>
      <c r="H11" s="589">
        <v>3.3320679344321245</v>
      </c>
      <c r="I11" s="589">
        <v>3.1969000000000025</v>
      </c>
      <c r="J11" s="608">
        <v>0.94059122090631953</v>
      </c>
      <c r="K11" s="930">
        <v>4.3800000000000008</v>
      </c>
      <c r="L11" s="665">
        <f>SUM(D11:INDEX(D11:K11,0,MATCH('RFPR cover'!$C$7,$D$6:$K$6,0)))</f>
        <v>16.675769341305028</v>
      </c>
      <c r="M11" s="666">
        <f t="shared" ref="M11:M17" si="1">SUM(D11:K11)</f>
        <v>21.05576934130503</v>
      </c>
    </row>
    <row r="12" spans="1:14" s="2" customFormat="1">
      <c r="A12" s="225" t="s">
        <v>151</v>
      </c>
      <c r="B12" s="35" t="str">
        <f>Data!B154</f>
        <v>Interruptions-related quality of service</v>
      </c>
      <c r="C12" s="156" t="str">
        <f>'RFPR cover'!$C$14</f>
        <v>£m 12/13</v>
      </c>
      <c r="D12" s="590">
        <v>13.087008000000001</v>
      </c>
      <c r="E12" s="591">
        <v>13.5</v>
      </c>
      <c r="F12" s="591">
        <v>13.444224</v>
      </c>
      <c r="G12" s="591">
        <v>13.481033999999999</v>
      </c>
      <c r="H12" s="591">
        <v>11.562828026761702</v>
      </c>
      <c r="I12" s="591">
        <v>11.334597331294985</v>
      </c>
      <c r="J12" s="931">
        <v>8.216023929112076</v>
      </c>
      <c r="K12" s="931">
        <v>10.558640729544891</v>
      </c>
      <c r="L12" s="669">
        <f>SUM(D12:INDEX(D12:K12,0,MATCH('RFPR cover'!$C$7,$D$6:$K$6,0)))</f>
        <v>84.625715287168759</v>
      </c>
      <c r="M12" s="670">
        <f t="shared" si="1"/>
        <v>95.18435601671365</v>
      </c>
    </row>
    <row r="13" spans="1:14" s="2" customFormat="1">
      <c r="A13" s="225" t="s">
        <v>152</v>
      </c>
      <c r="B13" s="35" t="str">
        <f>Data!B155</f>
        <v>Incentive on connections engagement</v>
      </c>
      <c r="C13" s="156" t="str">
        <f>'RFPR cover'!$C$14</f>
        <v>£m 12/13</v>
      </c>
      <c r="D13" s="590">
        <v>0</v>
      </c>
      <c r="E13" s="591">
        <v>0</v>
      </c>
      <c r="F13" s="591">
        <v>0</v>
      </c>
      <c r="G13" s="591">
        <v>0</v>
      </c>
      <c r="H13" s="591">
        <v>0</v>
      </c>
      <c r="I13" s="591">
        <v>0</v>
      </c>
      <c r="J13" s="931">
        <v>0</v>
      </c>
      <c r="K13" s="931">
        <v>0</v>
      </c>
      <c r="L13" s="669">
        <f>SUM(D13:INDEX(D13:K13,0,MATCH('RFPR cover'!$C$7,$D$6:$K$6,0)))</f>
        <v>0</v>
      </c>
      <c r="M13" s="670">
        <f t="shared" si="1"/>
        <v>0</v>
      </c>
    </row>
    <row r="14" spans="1:14" s="2" customFormat="1">
      <c r="A14" s="225" t="s">
        <v>167</v>
      </c>
      <c r="B14" s="35" t="str">
        <f>Data!B156</f>
        <v>Time to Connect Incentive</v>
      </c>
      <c r="C14" s="156" t="str">
        <f>'RFPR cover'!$C$14</f>
        <v>£m 12/13</v>
      </c>
      <c r="D14" s="590">
        <v>0.69580790960451977</v>
      </c>
      <c r="E14" s="591">
        <v>0.6</v>
      </c>
      <c r="F14" s="591">
        <v>6.2900000000000178E-2</v>
      </c>
      <c r="G14" s="591">
        <v>0.35280000000000028</v>
      </c>
      <c r="H14" s="591">
        <v>0.10084904113284267</v>
      </c>
      <c r="I14" s="591">
        <v>0</v>
      </c>
      <c r="J14" s="931">
        <v>0</v>
      </c>
      <c r="K14" s="931">
        <v>1.0705997999999999</v>
      </c>
      <c r="L14" s="669">
        <f>SUM(D14:INDEX(D14:K14,0,MATCH('RFPR cover'!$C$7,$D$6:$K$6,0)))</f>
        <v>1.8123569507373627</v>
      </c>
      <c r="M14" s="670">
        <f t="shared" si="1"/>
        <v>2.8829567507373626</v>
      </c>
    </row>
    <row r="15" spans="1:14" s="2" customFormat="1">
      <c r="A15" s="225" t="s">
        <v>168</v>
      </c>
      <c r="B15" s="35" t="str">
        <f>Data!B157</f>
        <v>Losses discretionary reward scheme</v>
      </c>
      <c r="C15" s="156" t="str">
        <f>'RFPR cover'!$C$14</f>
        <v>£m 12/13</v>
      </c>
      <c r="D15" s="590">
        <v>0</v>
      </c>
      <c r="E15" s="591">
        <v>0.17499999999999999</v>
      </c>
      <c r="F15" s="591">
        <v>0</v>
      </c>
      <c r="G15" s="591">
        <v>0</v>
      </c>
      <c r="H15" s="591">
        <v>0</v>
      </c>
      <c r="I15" s="591">
        <v>0</v>
      </c>
      <c r="J15" s="931">
        <v>0</v>
      </c>
      <c r="K15" s="931">
        <v>0</v>
      </c>
      <c r="L15" s="669">
        <f>SUM(D15:INDEX(D15:K15,0,MATCH('RFPR cover'!$C$7,$D$6:$K$6,0)))</f>
        <v>0.17499999999999999</v>
      </c>
      <c r="M15" s="670">
        <f t="shared" si="1"/>
        <v>0.17499999999999999</v>
      </c>
    </row>
    <row r="16" spans="1:14" s="2" customFormat="1">
      <c r="A16" s="225" t="s">
        <v>169</v>
      </c>
      <c r="B16" s="35" t="str">
        <f>Data!B158</f>
        <v/>
      </c>
      <c r="C16" s="156" t="str">
        <f>'RFPR cover'!$C$14</f>
        <v>£m 12/13</v>
      </c>
      <c r="D16" s="590"/>
      <c r="E16" s="591"/>
      <c r="F16" s="591"/>
      <c r="G16" s="591"/>
      <c r="H16" s="591"/>
      <c r="I16" s="591"/>
      <c r="J16" s="591"/>
      <c r="K16" s="591"/>
      <c r="L16" s="669">
        <f>SUM(D16:INDEX(D16:K16,0,MATCH('RFPR cover'!$C$7,$D$6:$K$6,0)))</f>
        <v>0</v>
      </c>
      <c r="M16" s="670">
        <f t="shared" si="1"/>
        <v>0</v>
      </c>
    </row>
    <row r="17" spans="1:16" s="2" customFormat="1">
      <c r="A17" s="225" t="s">
        <v>477</v>
      </c>
      <c r="B17" s="35" t="str">
        <f>Data!B159</f>
        <v/>
      </c>
      <c r="C17" s="156" t="str">
        <f>'RFPR cover'!$C$14</f>
        <v>£m 12/13</v>
      </c>
      <c r="D17" s="837"/>
      <c r="E17" s="838"/>
      <c r="F17" s="838"/>
      <c r="G17" s="838"/>
      <c r="H17" s="838"/>
      <c r="I17" s="838"/>
      <c r="J17" s="838"/>
      <c r="K17" s="839"/>
      <c r="L17" s="669">
        <f>SUM(D17:INDEX(D17:K17,0,MATCH('RFPR cover'!$C$7,$D$6:$K$6,0)))</f>
        <v>0</v>
      </c>
      <c r="M17" s="670">
        <f t="shared" si="1"/>
        <v>0</v>
      </c>
    </row>
    <row r="18" spans="1:16" s="2" customFormat="1">
      <c r="A18" s="35"/>
      <c r="B18" s="12" t="s">
        <v>202</v>
      </c>
      <c r="C18" s="157" t="str">
        <f>'RFPR cover'!$C$14</f>
        <v>£m 12/13</v>
      </c>
      <c r="D18" s="604">
        <f>SUM(D11:D17)</f>
        <v>15.277881928539493</v>
      </c>
      <c r="E18" s="604">
        <f t="shared" ref="E18:K18" si="2">SUM(E11:E17)</f>
        <v>16.715404761584079</v>
      </c>
      <c r="F18" s="604">
        <f t="shared" si="2"/>
        <v>16.068600270845387</v>
      </c>
      <c r="G18" s="604">
        <f t="shared" si="2"/>
        <v>16.543097134602142</v>
      </c>
      <c r="H18" s="604">
        <f t="shared" si="2"/>
        <v>14.99574500232667</v>
      </c>
      <c r="I18" s="604">
        <f t="shared" si="2"/>
        <v>14.531497331294988</v>
      </c>
      <c r="J18" s="604">
        <f t="shared" si="2"/>
        <v>9.1566151500183963</v>
      </c>
      <c r="K18" s="604">
        <f t="shared" si="2"/>
        <v>16.00924052954489</v>
      </c>
      <c r="L18" s="604">
        <f>SUM(L11:L17)</f>
        <v>103.28884157921115</v>
      </c>
      <c r="M18" s="604">
        <f>SUM(M11:M17)</f>
        <v>119.29808210875603</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83" t="s">
        <v>602</v>
      </c>
      <c r="C21" s="983"/>
      <c r="D21" s="983"/>
      <c r="E21" s="983"/>
      <c r="F21" s="983"/>
      <c r="G21" s="983"/>
      <c r="H21" s="983"/>
      <c r="I21" s="983"/>
      <c r="J21" s="983"/>
      <c r="K21" s="983"/>
      <c r="L21" s="983"/>
      <c r="M21" s="983"/>
    </row>
    <row r="22" spans="1:16" s="2" customFormat="1">
      <c r="A22" s="270" t="str">
        <f>A12</f>
        <v>b</v>
      </c>
      <c r="B22" s="982"/>
      <c r="C22" s="982"/>
      <c r="D22" s="982"/>
      <c r="E22" s="982"/>
      <c r="F22" s="982"/>
      <c r="G22" s="982"/>
      <c r="H22" s="982"/>
      <c r="I22" s="982"/>
      <c r="J22" s="982"/>
      <c r="K22" s="982"/>
      <c r="L22" s="982"/>
      <c r="M22" s="982"/>
    </row>
    <row r="23" spans="1:16" s="2" customFormat="1">
      <c r="A23" s="270" t="str">
        <f>A13</f>
        <v>c</v>
      </c>
      <c r="B23" s="982"/>
      <c r="C23" s="982"/>
      <c r="D23" s="982"/>
      <c r="E23" s="982"/>
      <c r="F23" s="982"/>
      <c r="G23" s="982"/>
      <c r="H23" s="982"/>
      <c r="I23" s="982"/>
      <c r="J23" s="982"/>
      <c r="K23" s="982"/>
      <c r="L23" s="982"/>
      <c r="M23" s="982"/>
    </row>
    <row r="24" spans="1:16" s="2" customFormat="1">
      <c r="A24" s="270" t="str">
        <f>A14</f>
        <v>d</v>
      </c>
      <c r="B24" s="982"/>
      <c r="C24" s="982"/>
      <c r="D24" s="982"/>
      <c r="E24" s="982"/>
      <c r="F24" s="982"/>
      <c r="G24" s="982"/>
      <c r="H24" s="982"/>
      <c r="I24" s="982"/>
      <c r="J24" s="982"/>
      <c r="K24" s="982"/>
      <c r="L24" s="982"/>
      <c r="M24" s="982"/>
    </row>
    <row r="25" spans="1:16" s="2" customFormat="1">
      <c r="A25" s="270" t="str">
        <f>A15</f>
        <v>e</v>
      </c>
      <c r="B25" s="982"/>
      <c r="C25" s="982"/>
      <c r="D25" s="982"/>
      <c r="E25" s="982"/>
      <c r="F25" s="982"/>
      <c r="G25" s="982"/>
      <c r="H25" s="982"/>
      <c r="I25" s="982"/>
      <c r="J25" s="982"/>
      <c r="K25" s="982"/>
      <c r="L25" s="982"/>
      <c r="M25" s="982"/>
    </row>
    <row r="26" spans="1:16" s="2" customFormat="1">
      <c r="A26" s="270" t="s">
        <v>169</v>
      </c>
      <c r="B26" s="836"/>
      <c r="C26" s="836"/>
      <c r="D26" s="836"/>
      <c r="E26" s="836"/>
      <c r="F26" s="836"/>
      <c r="G26" s="836"/>
      <c r="H26" s="836"/>
      <c r="I26" s="836"/>
      <c r="J26" s="836"/>
      <c r="K26" s="836"/>
      <c r="L26" s="836"/>
      <c r="M26" s="836"/>
    </row>
    <row r="27" spans="1:16" s="2" customFormat="1">
      <c r="A27" s="270" t="s">
        <v>477</v>
      </c>
      <c r="B27" s="836"/>
      <c r="C27" s="836"/>
      <c r="D27" s="836"/>
      <c r="E27" s="836"/>
      <c r="F27" s="836"/>
      <c r="G27" s="836"/>
      <c r="H27" s="836"/>
      <c r="I27" s="836"/>
      <c r="J27" s="836"/>
      <c r="K27" s="836"/>
      <c r="L27" s="836"/>
      <c r="M27" s="836"/>
    </row>
    <row r="28" spans="1:16" s="527" customFormat="1">
      <c r="A28" s="38"/>
      <c r="B28" s="531"/>
      <c r="C28" s="531"/>
      <c r="D28" s="531"/>
      <c r="E28" s="531"/>
      <c r="F28" s="531"/>
      <c r="G28" s="531"/>
      <c r="H28" s="531"/>
      <c r="I28" s="531"/>
      <c r="J28" s="531"/>
      <c r="K28" s="531"/>
      <c r="L28" s="531"/>
      <c r="M28" s="531"/>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5">
        <f>D51</f>
        <v>1.2110034753373273</v>
      </c>
      <c r="E39" s="665">
        <f t="shared" ref="E39:K39" si="4">E51</f>
        <v>1.9767278568831024</v>
      </c>
      <c r="F39" s="665">
        <f t="shared" si="4"/>
        <v>2.0747957793847651</v>
      </c>
      <c r="G39" s="665">
        <f t="shared" si="4"/>
        <v>2.1945031390277348</v>
      </c>
      <c r="H39" s="665">
        <f t="shared" si="4"/>
        <v>2.6989750268900208</v>
      </c>
      <c r="I39" s="665">
        <f t="shared" si="4"/>
        <v>2.5894890000000022</v>
      </c>
      <c r="J39" s="665">
        <f t="shared" si="4"/>
        <v>0.70544341567973967</v>
      </c>
      <c r="K39" s="665">
        <f t="shared" si="4"/>
        <v>3.2850000000000006</v>
      </c>
      <c r="L39" s="665">
        <f>SUM(D39:INDEX(D39:K39,0,MATCH('RFPR cover'!$C$7,$D$6:$K$6,0)))</f>
        <v>13.450937693202693</v>
      </c>
      <c r="M39" s="666">
        <f t="shared" ref="M39:M45" si="5">SUM(D39:K39)</f>
        <v>16.735937693202693</v>
      </c>
    </row>
    <row r="40" spans="1:14" s="2" customFormat="1">
      <c r="A40" s="161" t="str">
        <f t="shared" si="3"/>
        <v>b</v>
      </c>
      <c r="B40" s="35" t="str">
        <f>$B$12&amp;""</f>
        <v>Interruptions-related quality of service</v>
      </c>
      <c r="C40" s="156" t="str">
        <f>'RFPR cover'!$C$14</f>
        <v>£m 12/13</v>
      </c>
      <c r="D40" s="665">
        <f>D55</f>
        <v>10.600476480000001</v>
      </c>
      <c r="E40" s="665">
        <f t="shared" ref="E40:K40" si="6">E55</f>
        <v>10.935</v>
      </c>
      <c r="F40" s="665">
        <f t="shared" si="6"/>
        <v>10.88982144</v>
      </c>
      <c r="G40" s="665">
        <f t="shared" si="6"/>
        <v>10.91963754</v>
      </c>
      <c r="H40" s="665">
        <f t="shared" si="6"/>
        <v>9.3658907016769799</v>
      </c>
      <c r="I40" s="665">
        <f t="shared" si="6"/>
        <v>9.1810238383489384</v>
      </c>
      <c r="J40" s="665">
        <f t="shared" si="6"/>
        <v>6.162017946834057</v>
      </c>
      <c r="K40" s="665">
        <f t="shared" si="6"/>
        <v>7.9189805471586681</v>
      </c>
      <c r="L40" s="669">
        <f>SUM(D40:INDEX(D40:K40,0,MATCH('RFPR cover'!$C$7,$D$6:$K$6,0)))</f>
        <v>68.053867946859981</v>
      </c>
      <c r="M40" s="670">
        <f t="shared" si="5"/>
        <v>75.972848494018649</v>
      </c>
    </row>
    <row r="41" spans="1:14" s="2" customFormat="1">
      <c r="A41" s="161" t="str">
        <f t="shared" si="3"/>
        <v>c</v>
      </c>
      <c r="B41" s="35" t="str">
        <f>$B$13&amp;""</f>
        <v>Incentive on connections engagement</v>
      </c>
      <c r="C41" s="156" t="str">
        <f>'RFPR cover'!$C$14</f>
        <v>£m 12/13</v>
      </c>
      <c r="D41" s="665">
        <f>D59</f>
        <v>0</v>
      </c>
      <c r="E41" s="665">
        <f t="shared" ref="E41:K41" si="7">E59</f>
        <v>0</v>
      </c>
      <c r="F41" s="665">
        <f t="shared" si="7"/>
        <v>0</v>
      </c>
      <c r="G41" s="665">
        <f t="shared" si="7"/>
        <v>0</v>
      </c>
      <c r="H41" s="665">
        <f t="shared" si="7"/>
        <v>0</v>
      </c>
      <c r="I41" s="665">
        <f t="shared" si="7"/>
        <v>0</v>
      </c>
      <c r="J41" s="665">
        <f t="shared" si="7"/>
        <v>0</v>
      </c>
      <c r="K41" s="665">
        <f t="shared" si="7"/>
        <v>0</v>
      </c>
      <c r="L41" s="669">
        <f>SUM(D41:INDEX(D41:K41,0,MATCH('RFPR cover'!$C$7,$D$6:$K$6,0)))</f>
        <v>0</v>
      </c>
      <c r="M41" s="670">
        <f t="shared" si="5"/>
        <v>0</v>
      </c>
    </row>
    <row r="42" spans="1:14" s="2" customFormat="1">
      <c r="A42" s="161" t="str">
        <f t="shared" si="3"/>
        <v>d</v>
      </c>
      <c r="B42" s="35" t="str">
        <f>$B$14&amp;""</f>
        <v>Time to Connect Incentive</v>
      </c>
      <c r="C42" s="156" t="str">
        <f>'RFPR cover'!$C$14</f>
        <v>£m 12/13</v>
      </c>
      <c r="D42" s="665">
        <f>D63</f>
        <v>0.56360440677966106</v>
      </c>
      <c r="E42" s="665">
        <f t="shared" ref="E42:K42" si="8">E63</f>
        <v>0.48599999999999999</v>
      </c>
      <c r="F42" s="665">
        <f t="shared" si="8"/>
        <v>5.0949000000000147E-2</v>
      </c>
      <c r="G42" s="665">
        <f t="shared" si="8"/>
        <v>0.28576800000000024</v>
      </c>
      <c r="H42" s="665">
        <f t="shared" si="8"/>
        <v>8.1687723317602573E-2</v>
      </c>
      <c r="I42" s="665">
        <f t="shared" si="8"/>
        <v>0</v>
      </c>
      <c r="J42" s="665">
        <f t="shared" si="8"/>
        <v>0</v>
      </c>
      <c r="K42" s="665">
        <f t="shared" si="8"/>
        <v>0.80294984999999985</v>
      </c>
      <c r="L42" s="669">
        <f>SUM(D42:INDEX(D42:K42,0,MATCH('RFPR cover'!$C$7,$D$6:$K$6,0)))</f>
        <v>1.468009130097264</v>
      </c>
      <c r="M42" s="670">
        <f t="shared" si="5"/>
        <v>2.270958980097264</v>
      </c>
    </row>
    <row r="43" spans="1:14" s="2" customFormat="1">
      <c r="A43" s="161" t="str">
        <f t="shared" si="3"/>
        <v>e</v>
      </c>
      <c r="B43" s="35" t="str">
        <f>$B$15&amp;""</f>
        <v>Losses discretionary reward scheme</v>
      </c>
      <c r="C43" s="156" t="str">
        <f>'RFPR cover'!$C$14</f>
        <v>£m 12/13</v>
      </c>
      <c r="D43" s="665">
        <f>D67</f>
        <v>0</v>
      </c>
      <c r="E43" s="665">
        <f t="shared" ref="E43:K43" si="9">E67</f>
        <v>0.14174999999999999</v>
      </c>
      <c r="F43" s="665">
        <f t="shared" si="9"/>
        <v>0</v>
      </c>
      <c r="G43" s="665">
        <f t="shared" si="9"/>
        <v>0</v>
      </c>
      <c r="H43" s="665">
        <f t="shared" si="9"/>
        <v>0</v>
      </c>
      <c r="I43" s="665">
        <f t="shared" si="9"/>
        <v>0</v>
      </c>
      <c r="J43" s="665">
        <f t="shared" si="9"/>
        <v>0</v>
      </c>
      <c r="K43" s="665">
        <f t="shared" si="9"/>
        <v>0</v>
      </c>
      <c r="L43" s="669">
        <f>SUM(D43:INDEX(D43:K43,0,MATCH('RFPR cover'!$C$7,$D$6:$K$6,0)))</f>
        <v>0.14174999999999999</v>
      </c>
      <c r="M43" s="670">
        <f t="shared" si="5"/>
        <v>0.14174999999999999</v>
      </c>
    </row>
    <row r="44" spans="1:14" s="2" customFormat="1">
      <c r="A44" s="161" t="str">
        <f t="shared" si="3"/>
        <v>f</v>
      </c>
      <c r="B44" s="35" t="str">
        <f>$B$16&amp;""</f>
        <v/>
      </c>
      <c r="C44" s="156" t="str">
        <f>'RFPR cover'!$C$14</f>
        <v>£m 12/13</v>
      </c>
      <c r="D44" s="665">
        <f>D71</f>
        <v>0</v>
      </c>
      <c r="E44" s="665">
        <f t="shared" ref="E44:K44" si="10">E71</f>
        <v>0</v>
      </c>
      <c r="F44" s="665">
        <f t="shared" si="10"/>
        <v>0</v>
      </c>
      <c r="G44" s="665">
        <f t="shared" si="10"/>
        <v>0</v>
      </c>
      <c r="H44" s="665">
        <f t="shared" si="10"/>
        <v>0</v>
      </c>
      <c r="I44" s="665">
        <f t="shared" si="10"/>
        <v>0</v>
      </c>
      <c r="J44" s="665">
        <f t="shared" si="10"/>
        <v>0</v>
      </c>
      <c r="K44" s="665">
        <f t="shared" si="10"/>
        <v>0</v>
      </c>
      <c r="L44" s="669">
        <f>SUM(D44:INDEX(D44:K44,0,MATCH('RFPR cover'!$C$7,$D$6:$K$6,0)))</f>
        <v>0</v>
      </c>
      <c r="M44" s="670">
        <f t="shared" si="5"/>
        <v>0</v>
      </c>
    </row>
    <row r="45" spans="1:14" s="2" customFormat="1">
      <c r="A45" s="161" t="str">
        <f t="shared" si="3"/>
        <v>g</v>
      </c>
      <c r="B45" s="35" t="str">
        <f>$B$17&amp;""</f>
        <v/>
      </c>
      <c r="C45" s="156" t="str">
        <f>'RFPR cover'!$C$14</f>
        <v>£m 12/13</v>
      </c>
      <c r="D45" s="665">
        <f>D75</f>
        <v>0</v>
      </c>
      <c r="E45" s="665">
        <f t="shared" ref="E45:K45" si="11">E75</f>
        <v>0</v>
      </c>
      <c r="F45" s="665">
        <f t="shared" si="11"/>
        <v>0</v>
      </c>
      <c r="G45" s="665">
        <f t="shared" si="11"/>
        <v>0</v>
      </c>
      <c r="H45" s="665">
        <f t="shared" si="11"/>
        <v>0</v>
      </c>
      <c r="I45" s="665">
        <f t="shared" si="11"/>
        <v>0</v>
      </c>
      <c r="J45" s="665">
        <f t="shared" si="11"/>
        <v>0</v>
      </c>
      <c r="K45" s="665">
        <f t="shared" si="11"/>
        <v>0</v>
      </c>
      <c r="L45" s="669">
        <f>SUM(D45:INDEX(D45:K45,0,MATCH('RFPR cover'!$C$7,$D$6:$K$6,0)))</f>
        <v>0</v>
      </c>
      <c r="M45" s="670">
        <f t="shared" si="5"/>
        <v>0</v>
      </c>
    </row>
    <row r="46" spans="1:14" s="2" customFormat="1">
      <c r="B46" s="12" t="s">
        <v>203</v>
      </c>
      <c r="C46" s="157" t="str">
        <f>'RFPR cover'!$C$14</f>
        <v>£m 12/13</v>
      </c>
      <c r="D46" s="604">
        <f>SUM(D39:D45)</f>
        <v>12.375084362116988</v>
      </c>
      <c r="E46" s="604">
        <f t="shared" ref="E46:M46" si="12">SUM(E39:E45)</f>
        <v>13.539477856883103</v>
      </c>
      <c r="F46" s="604">
        <f t="shared" si="12"/>
        <v>13.015566219384766</v>
      </c>
      <c r="G46" s="604">
        <f t="shared" si="12"/>
        <v>13.399908679027735</v>
      </c>
      <c r="H46" s="605">
        <f t="shared" si="12"/>
        <v>12.146553451884602</v>
      </c>
      <c r="I46" s="605">
        <f t="shared" si="12"/>
        <v>11.770512838348941</v>
      </c>
      <c r="J46" s="605">
        <f t="shared" si="12"/>
        <v>6.8674613625137964</v>
      </c>
      <c r="K46" s="605">
        <f t="shared" si="12"/>
        <v>12.006930397158667</v>
      </c>
      <c r="L46" s="604">
        <f t="shared" si="12"/>
        <v>83.11456477015993</v>
      </c>
      <c r="M46" s="604">
        <f t="shared" si="12"/>
        <v>95.121495167318599</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77">
        <f>INDEX($D$11:$K$17,MATCH($A49,$A$11:$A$17,0),0)</f>
        <v>1.4950660189349718</v>
      </c>
      <c r="E49" s="777">
        <f t="shared" ref="E49:K49" si="13">INDEX($D$11:$K$17,MATCH($A49,$A$11:$A$17,0),0)</f>
        <v>2.4404047615840767</v>
      </c>
      <c r="F49" s="777">
        <f t="shared" si="13"/>
        <v>2.5614762708453891</v>
      </c>
      <c r="G49" s="777">
        <f t="shared" si="13"/>
        <v>2.7092631346021414</v>
      </c>
      <c r="H49" s="777">
        <f t="shared" si="13"/>
        <v>3.3320679344321245</v>
      </c>
      <c r="I49" s="777">
        <f t="shared" si="13"/>
        <v>3.1969000000000025</v>
      </c>
      <c r="J49" s="777">
        <f t="shared" si="13"/>
        <v>0.94059122090631953</v>
      </c>
      <c r="K49" s="777">
        <f t="shared" si="13"/>
        <v>4.3800000000000008</v>
      </c>
      <c r="L49" s="777">
        <f>SUM(D49:INDEX(D49:K49,0,MATCH('RFPR cover'!$C$7,$D$6:$K$6,0)))</f>
        <v>16.675769341305028</v>
      </c>
      <c r="M49" s="778">
        <f>SUM(D49:K49)</f>
        <v>21.05576934130503</v>
      </c>
    </row>
    <row r="50" spans="1:13" s="2" customFormat="1">
      <c r="A50" s="161"/>
      <c r="B50" s="35" t="s">
        <v>200</v>
      </c>
      <c r="C50" s="293" t="s">
        <v>201</v>
      </c>
      <c r="D50" s="868">
        <f>IF($C50=$B$33,$B$33,INDEX(Data!$G$14:$G$30,MATCH('R5 - Output Incentives'!D$6+RIGHT('R5 - Output Incentives'!$C50,2),Data!$C$14:$C$30,0),0))</f>
        <v>0.19</v>
      </c>
      <c r="E50" s="869">
        <f>IF($C50=$B$33,$B$33,INDEX(Data!$G$14:$G$30,MATCH('R5 - Output Incentives'!E$6+RIGHT('R5 - Output Incentives'!$C50,2),Data!$C$14:$C$30,0),0))</f>
        <v>0.19</v>
      </c>
      <c r="F50" s="869">
        <f>IF($C50=$B$33,$B$33,INDEX(Data!$G$14:$G$30,MATCH('R5 - Output Incentives'!F$6+RIGHT('R5 - Output Incentives'!$C50,2),Data!$C$14:$C$30,0),0))</f>
        <v>0.19</v>
      </c>
      <c r="G50" s="869">
        <f>IF($C50=$B$33,$B$33,INDEX(Data!$G$14:$G$30,MATCH('R5 - Output Incentives'!G$6+RIGHT('R5 - Output Incentives'!$C50,2),Data!$C$14:$C$30,0),0))</f>
        <v>0.19</v>
      </c>
      <c r="H50" s="869">
        <f>IF($C50=$B$33,$B$33,INDEX(Data!$G$14:$G$30,MATCH('R5 - Output Incentives'!H$6+RIGHT('R5 - Output Incentives'!$C50,2),Data!$C$14:$C$30,0),0))</f>
        <v>0.19</v>
      </c>
      <c r="I50" s="869">
        <f>IF($C50=$B$33,$B$33,INDEX(Data!$G$14:$G$30,MATCH('R5 - Output Incentives'!I$6+RIGHT('R5 - Output Incentives'!$C50,2),Data!$C$14:$C$30,0),0))</f>
        <v>0.19</v>
      </c>
      <c r="J50" s="869">
        <f>IF($C50=$B$33,$B$33,INDEX(Data!$G$14:$G$30,MATCH('R5 - Output Incentives'!J$6+RIGHT('R5 - Output Incentives'!$C50,2),Data!$C$14:$C$30,0),0))</f>
        <v>0.25</v>
      </c>
      <c r="K50" s="870">
        <f>IF($C50=$B$33,$B$33,INDEX(Data!$G$14:$G$30,MATCH('R5 - Output Incentives'!K$6+RIGHT('R5 - Output Incentives'!$C50,2),Data!$C$14:$C$30,0),0))</f>
        <v>0.25</v>
      </c>
      <c r="L50" s="779"/>
      <c r="M50" s="780"/>
    </row>
    <row r="51" spans="1:13" s="2" customFormat="1">
      <c r="A51" s="161"/>
      <c r="B51" s="35" t="s">
        <v>209</v>
      </c>
      <c r="C51" s="156"/>
      <c r="D51" s="604">
        <f>IFERROR(D49*(1-D50),0)</f>
        <v>1.2110034753373273</v>
      </c>
      <c r="E51" s="605">
        <f t="shared" ref="E51:K51" si="14">IFERROR(E49*(1-E50),0)</f>
        <v>1.9767278568831024</v>
      </c>
      <c r="F51" s="605">
        <f t="shared" si="14"/>
        <v>2.0747957793847651</v>
      </c>
      <c r="G51" s="605">
        <f t="shared" si="14"/>
        <v>2.1945031390277348</v>
      </c>
      <c r="H51" s="605">
        <f t="shared" si="14"/>
        <v>2.6989750268900208</v>
      </c>
      <c r="I51" s="605">
        <f t="shared" si="14"/>
        <v>2.5894890000000022</v>
      </c>
      <c r="J51" s="605">
        <f t="shared" si="14"/>
        <v>0.70544341567973967</v>
      </c>
      <c r="K51" s="605">
        <f t="shared" si="14"/>
        <v>3.2850000000000006</v>
      </c>
      <c r="L51" s="663">
        <f>SUM(D51:INDEX(D51:K51,0,MATCH('RFPR cover'!$C$7,$D$6:$K$6,0)))</f>
        <v>13.450937693202693</v>
      </c>
      <c r="M51" s="664">
        <f>SUM(D51:K51)</f>
        <v>16.735937693202693</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77">
        <f>INDEX($D$11:$K$17,MATCH($A53,$A$11:$A$17,0),0)</f>
        <v>13.087008000000001</v>
      </c>
      <c r="E53" s="777">
        <f t="shared" ref="E53:K53" si="15">INDEX($D$11:$K$17,MATCH($A53,$A$11:$A$17,0),0)</f>
        <v>13.5</v>
      </c>
      <c r="F53" s="777">
        <f t="shared" si="15"/>
        <v>13.444224</v>
      </c>
      <c r="G53" s="777">
        <f t="shared" si="15"/>
        <v>13.481033999999999</v>
      </c>
      <c r="H53" s="777">
        <f t="shared" si="15"/>
        <v>11.562828026761702</v>
      </c>
      <c r="I53" s="777">
        <f t="shared" si="15"/>
        <v>11.334597331294985</v>
      </c>
      <c r="J53" s="777">
        <f t="shared" si="15"/>
        <v>8.216023929112076</v>
      </c>
      <c r="K53" s="777">
        <f t="shared" si="15"/>
        <v>10.558640729544891</v>
      </c>
      <c r="L53" s="665">
        <f>SUM(D53:INDEX(D53:K53,0,MATCH('RFPR cover'!$C$7,$D$6:$K$6,0)))</f>
        <v>84.625715287168759</v>
      </c>
      <c r="M53" s="666">
        <f>SUM(D53:K53)</f>
        <v>95.18435601671365</v>
      </c>
    </row>
    <row r="54" spans="1:13" s="2" customFormat="1">
      <c r="A54" s="161"/>
      <c r="B54" s="35" t="s">
        <v>200</v>
      </c>
      <c r="C54" s="293" t="s">
        <v>201</v>
      </c>
      <c r="D54" s="868">
        <f>IF($C54=$B$33,$B$33,INDEX(Data!$G$14:$G$30,MATCH('R5 - Output Incentives'!D$6+RIGHT('R5 - Output Incentives'!$C54,2),Data!$C$14:$C$30,0),0))</f>
        <v>0.19</v>
      </c>
      <c r="E54" s="869">
        <f>IF($C54=$B$33,$B$33,INDEX(Data!$G$14:$G$30,MATCH('R5 - Output Incentives'!E$6+RIGHT('R5 - Output Incentives'!$C54,2),Data!$C$14:$C$30,0),0))</f>
        <v>0.19</v>
      </c>
      <c r="F54" s="869">
        <f>IF($C54=$B$33,$B$33,INDEX(Data!$G$14:$G$30,MATCH('R5 - Output Incentives'!F$6+RIGHT('R5 - Output Incentives'!$C54,2),Data!$C$14:$C$30,0),0))</f>
        <v>0.19</v>
      </c>
      <c r="G54" s="869">
        <f>IF($C54=$B$33,$B$33,INDEX(Data!$G$14:$G$30,MATCH('R5 - Output Incentives'!G$6+RIGHT('R5 - Output Incentives'!$C54,2),Data!$C$14:$C$30,0),0))</f>
        <v>0.19</v>
      </c>
      <c r="H54" s="869">
        <f>IF($C54=$B$33,$B$33,INDEX(Data!$G$14:$G$30,MATCH('R5 - Output Incentives'!H$6+RIGHT('R5 - Output Incentives'!$C54,2),Data!$C$14:$C$30,0),0))</f>
        <v>0.19</v>
      </c>
      <c r="I54" s="869">
        <f>IF($C54=$B$33,$B$33,INDEX(Data!$G$14:$G$30,MATCH('R5 - Output Incentives'!I$6+RIGHT('R5 - Output Incentives'!$C54,2),Data!$C$14:$C$30,0),0))</f>
        <v>0.19</v>
      </c>
      <c r="J54" s="869">
        <f>IF($C54=$B$33,$B$33,INDEX(Data!$G$14:$G$30,MATCH('R5 - Output Incentives'!J$6+RIGHT('R5 - Output Incentives'!$C54,2),Data!$C$14:$C$30,0),0))</f>
        <v>0.25</v>
      </c>
      <c r="K54" s="870">
        <f>IF($C54=$B$33,$B$33,INDEX(Data!$G$14:$G$30,MATCH('R5 - Output Incentives'!K$6+RIGHT('R5 - Output Incentives'!$C54,2),Data!$C$14:$C$30,0),0))</f>
        <v>0.25</v>
      </c>
      <c r="L54" s="779"/>
      <c r="M54" s="780"/>
    </row>
    <row r="55" spans="1:13" s="2" customFormat="1">
      <c r="A55" s="161"/>
      <c r="B55" s="35" t="s">
        <v>209</v>
      </c>
      <c r="C55" s="156"/>
      <c r="D55" s="604">
        <f>IFERROR(D53*(1-D54),0)</f>
        <v>10.600476480000001</v>
      </c>
      <c r="E55" s="605">
        <f t="shared" ref="E55:K55" si="16">IFERROR(E53*(1-E54),0)</f>
        <v>10.935</v>
      </c>
      <c r="F55" s="605">
        <f t="shared" si="16"/>
        <v>10.88982144</v>
      </c>
      <c r="G55" s="605">
        <f t="shared" si="16"/>
        <v>10.91963754</v>
      </c>
      <c r="H55" s="605">
        <f t="shared" si="16"/>
        <v>9.3658907016769799</v>
      </c>
      <c r="I55" s="605">
        <f t="shared" si="16"/>
        <v>9.1810238383489384</v>
      </c>
      <c r="J55" s="605">
        <f t="shared" si="16"/>
        <v>6.162017946834057</v>
      </c>
      <c r="K55" s="605">
        <f t="shared" si="16"/>
        <v>7.9189805471586681</v>
      </c>
      <c r="L55" s="663">
        <f>SUM(D55:INDEX(D55:K55,0,MATCH('RFPR cover'!$C$7,$D$6:$K$6,0)))</f>
        <v>68.053867946859981</v>
      </c>
      <c r="M55" s="664">
        <f>SUM(D55:K55)</f>
        <v>75.972848494018649</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77">
        <f>INDEX($D$11:$K$17,MATCH($A57,$A$11:$A$17,0),0)</f>
        <v>0</v>
      </c>
      <c r="E57" s="777">
        <f t="shared" ref="E57:K57" si="17">INDEX($D$11:$K$17,MATCH($A57,$A$11:$A$17,0),0)</f>
        <v>0</v>
      </c>
      <c r="F57" s="777">
        <f t="shared" si="17"/>
        <v>0</v>
      </c>
      <c r="G57" s="777">
        <f t="shared" si="17"/>
        <v>0</v>
      </c>
      <c r="H57" s="777">
        <f t="shared" si="17"/>
        <v>0</v>
      </c>
      <c r="I57" s="777">
        <f t="shared" si="17"/>
        <v>0</v>
      </c>
      <c r="J57" s="777">
        <f t="shared" si="17"/>
        <v>0</v>
      </c>
      <c r="K57" s="777">
        <f t="shared" si="17"/>
        <v>0</v>
      </c>
      <c r="L57" s="665">
        <f>SUM(D57:INDEX(D57:K57,0,MATCH('RFPR cover'!$C$7,$D$6:$K$6,0)))</f>
        <v>0</v>
      </c>
      <c r="M57" s="666">
        <f>SUM(D57:K57)</f>
        <v>0</v>
      </c>
    </row>
    <row r="58" spans="1:13" s="2" customFormat="1">
      <c r="A58" s="161"/>
      <c r="B58" s="35" t="s">
        <v>200</v>
      </c>
      <c r="C58" s="293" t="s">
        <v>207</v>
      </c>
      <c r="D58" s="868">
        <f>IF($C58=$B$33,$B$33,INDEX(Data!$G$14:$G$30,MATCH('R5 - Output Incentives'!D$6+RIGHT('R5 - Output Incentives'!$C58,2),Data!$C$14:$C$30,0),0))</f>
        <v>0.19</v>
      </c>
      <c r="E58" s="869">
        <f>IF($C58=$B$33,$B$33,INDEX(Data!$G$14:$G$30,MATCH('R5 - Output Incentives'!E$6+RIGHT('R5 - Output Incentives'!$C58,2),Data!$C$14:$C$30,0),0))</f>
        <v>0.19</v>
      </c>
      <c r="F58" s="869">
        <f>IF($C58=$B$33,$B$33,INDEX(Data!$G$14:$G$30,MATCH('R5 - Output Incentives'!F$6+RIGHT('R5 - Output Incentives'!$C58,2),Data!$C$14:$C$30,0),0))</f>
        <v>0.19</v>
      </c>
      <c r="G58" s="869">
        <f>IF($C58=$B$33,$B$33,INDEX(Data!$G$14:$G$30,MATCH('R5 - Output Incentives'!G$6+RIGHT('R5 - Output Incentives'!$C58,2),Data!$C$14:$C$30,0),0))</f>
        <v>0.19</v>
      </c>
      <c r="H58" s="869">
        <f>IF($C58=$B$33,$B$33,INDEX(Data!$G$14:$G$30,MATCH('R5 - Output Incentives'!H$6+RIGHT('R5 - Output Incentives'!$C58,2),Data!$C$14:$C$30,0),0))</f>
        <v>0.19</v>
      </c>
      <c r="I58" s="869">
        <f>IF($C58=$B$33,$B$33,INDEX(Data!$G$14:$G$30,MATCH('R5 - Output Incentives'!I$6+RIGHT('R5 - Output Incentives'!$C58,2),Data!$C$14:$C$30,0),0))</f>
        <v>0.25</v>
      </c>
      <c r="J58" s="869">
        <f>IF($C58=$B$33,$B$33,INDEX(Data!$G$14:$G$30,MATCH('R5 - Output Incentives'!J$6+RIGHT('R5 - Output Incentives'!$C58,2),Data!$C$14:$C$30,0),0))</f>
        <v>0.25</v>
      </c>
      <c r="K58" s="870">
        <f>IF($C58=$B$33,$B$33,INDEX(Data!$G$14:$G$30,MATCH('R5 - Output Incentives'!K$6+RIGHT('R5 - Output Incentives'!$C58,2),Data!$C$14:$C$30,0),0))</f>
        <v>0.25</v>
      </c>
      <c r="L58" s="779"/>
      <c r="M58" s="780"/>
    </row>
    <row r="59" spans="1:13" s="2" customFormat="1">
      <c r="A59" s="161"/>
      <c r="B59" s="35" t="s">
        <v>209</v>
      </c>
      <c r="C59" s="156"/>
      <c r="D59" s="604">
        <f>IFERROR(D57*(1-D58),0)</f>
        <v>0</v>
      </c>
      <c r="E59" s="605">
        <f t="shared" ref="E59:K59" si="18">IFERROR(E57*(1-E58),0)</f>
        <v>0</v>
      </c>
      <c r="F59" s="605">
        <f t="shared" si="18"/>
        <v>0</v>
      </c>
      <c r="G59" s="605">
        <f t="shared" si="18"/>
        <v>0</v>
      </c>
      <c r="H59" s="605">
        <f t="shared" si="18"/>
        <v>0</v>
      </c>
      <c r="I59" s="605">
        <f t="shared" si="18"/>
        <v>0</v>
      </c>
      <c r="J59" s="605">
        <f t="shared" si="18"/>
        <v>0</v>
      </c>
      <c r="K59" s="605">
        <f t="shared" si="18"/>
        <v>0</v>
      </c>
      <c r="L59" s="663">
        <f>SUM(D59:INDEX(D59:K59,0,MATCH('RFPR cover'!$C$7,$D$6:$K$6,0)))</f>
        <v>0</v>
      </c>
      <c r="M59" s="664">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77">
        <f>INDEX($D$11:$K$17,MATCH($A61,$A$11:$A$17,0),0)</f>
        <v>0.69580790960451977</v>
      </c>
      <c r="E61" s="777">
        <f t="shared" ref="E61:K61" si="19">INDEX($D$11:$K$17,MATCH($A61,$A$11:$A$17,0),0)</f>
        <v>0.6</v>
      </c>
      <c r="F61" s="777">
        <f t="shared" si="19"/>
        <v>6.2900000000000178E-2</v>
      </c>
      <c r="G61" s="777">
        <f t="shared" si="19"/>
        <v>0.35280000000000028</v>
      </c>
      <c r="H61" s="777">
        <f t="shared" si="19"/>
        <v>0.10084904113284267</v>
      </c>
      <c r="I61" s="777">
        <f t="shared" si="19"/>
        <v>0</v>
      </c>
      <c r="J61" s="777">
        <f t="shared" si="19"/>
        <v>0</v>
      </c>
      <c r="K61" s="777">
        <f t="shared" si="19"/>
        <v>1.0705997999999999</v>
      </c>
      <c r="L61" s="665">
        <f>SUM(D61:INDEX(D61:K61,0,MATCH('RFPR cover'!$C$7,$D$6:$K$6,0)))</f>
        <v>1.8123569507373627</v>
      </c>
      <c r="M61" s="666">
        <f>SUM(D61:K61)</f>
        <v>2.8829567507373626</v>
      </c>
    </row>
    <row r="62" spans="1:13" s="2" customFormat="1">
      <c r="A62" s="161"/>
      <c r="B62" s="35" t="s">
        <v>200</v>
      </c>
      <c r="C62" s="293" t="s">
        <v>201</v>
      </c>
      <c r="D62" s="868">
        <f>IF($C62=$B$33,$B$33,INDEX(Data!$G$14:$G$30,MATCH('R5 - Output Incentives'!D$6+RIGHT('R5 - Output Incentives'!$C62,2),Data!$C$14:$C$30,0),0))</f>
        <v>0.19</v>
      </c>
      <c r="E62" s="869">
        <f>IF($C62=$B$33,$B$33,INDEX(Data!$G$14:$G$30,MATCH('R5 - Output Incentives'!E$6+RIGHT('R5 - Output Incentives'!$C62,2),Data!$C$14:$C$30,0),0))</f>
        <v>0.19</v>
      </c>
      <c r="F62" s="869">
        <f>IF($C62=$B$33,$B$33,INDEX(Data!$G$14:$G$30,MATCH('R5 - Output Incentives'!F$6+RIGHT('R5 - Output Incentives'!$C62,2),Data!$C$14:$C$30,0),0))</f>
        <v>0.19</v>
      </c>
      <c r="G62" s="869">
        <f>IF($C62=$B$33,$B$33,INDEX(Data!$G$14:$G$30,MATCH('R5 - Output Incentives'!G$6+RIGHT('R5 - Output Incentives'!$C62,2),Data!$C$14:$C$30,0),0))</f>
        <v>0.19</v>
      </c>
      <c r="H62" s="869">
        <f>IF($C62=$B$33,$B$33,INDEX(Data!$G$14:$G$30,MATCH('R5 - Output Incentives'!H$6+RIGHT('R5 - Output Incentives'!$C62,2),Data!$C$14:$C$30,0),0))</f>
        <v>0.19</v>
      </c>
      <c r="I62" s="869">
        <f>IF($C62=$B$33,$B$33,INDEX(Data!$G$14:$G$30,MATCH('R5 - Output Incentives'!I$6+RIGHT('R5 - Output Incentives'!$C62,2),Data!$C$14:$C$30,0),0))</f>
        <v>0.19</v>
      </c>
      <c r="J62" s="869">
        <f>IF($C62=$B$33,$B$33,INDEX(Data!$G$14:$G$30,MATCH('R5 - Output Incentives'!J$6+RIGHT('R5 - Output Incentives'!$C62,2),Data!$C$14:$C$30,0),0))</f>
        <v>0.25</v>
      </c>
      <c r="K62" s="870">
        <f>IF($C62=$B$33,$B$33,INDEX(Data!$G$14:$G$30,MATCH('R5 - Output Incentives'!K$6+RIGHT('R5 - Output Incentives'!$C62,2),Data!$C$14:$C$30,0),0))</f>
        <v>0.25</v>
      </c>
      <c r="L62" s="779"/>
      <c r="M62" s="780"/>
    </row>
    <row r="63" spans="1:13" s="2" customFormat="1">
      <c r="A63" s="161"/>
      <c r="B63" s="35" t="s">
        <v>209</v>
      </c>
      <c r="C63" s="156"/>
      <c r="D63" s="604">
        <f>IFERROR(D61*(1-D62),0)</f>
        <v>0.56360440677966106</v>
      </c>
      <c r="E63" s="605">
        <f t="shared" ref="E63:K63" si="20">IFERROR(E61*(1-E62),0)</f>
        <v>0.48599999999999999</v>
      </c>
      <c r="F63" s="605">
        <f t="shared" si="20"/>
        <v>5.0949000000000147E-2</v>
      </c>
      <c r="G63" s="605">
        <f t="shared" si="20"/>
        <v>0.28576800000000024</v>
      </c>
      <c r="H63" s="605">
        <f t="shared" si="20"/>
        <v>8.1687723317602573E-2</v>
      </c>
      <c r="I63" s="605">
        <f t="shared" si="20"/>
        <v>0</v>
      </c>
      <c r="J63" s="605">
        <f t="shared" si="20"/>
        <v>0</v>
      </c>
      <c r="K63" s="605">
        <f t="shared" si="20"/>
        <v>0.80294984999999985</v>
      </c>
      <c r="L63" s="663">
        <f>SUM(D63:INDEX(D63:K63,0,MATCH('RFPR cover'!$C$7,$D$6:$K$6,0)))</f>
        <v>1.468009130097264</v>
      </c>
      <c r="M63" s="664">
        <f>SUM(D63:K63)</f>
        <v>2.270958980097264</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77">
        <f>INDEX($D$11:$K$17,MATCH($A65,$A$11:$A$17,0),0)</f>
        <v>0</v>
      </c>
      <c r="E65" s="777">
        <f t="shared" ref="E65:K65" si="21">INDEX($D$11:$K$17,MATCH($A65,$A$11:$A$17,0),0)</f>
        <v>0.17499999999999999</v>
      </c>
      <c r="F65" s="777">
        <f t="shared" si="21"/>
        <v>0</v>
      </c>
      <c r="G65" s="777">
        <f t="shared" si="21"/>
        <v>0</v>
      </c>
      <c r="H65" s="777">
        <f t="shared" si="21"/>
        <v>0</v>
      </c>
      <c r="I65" s="777">
        <f t="shared" si="21"/>
        <v>0</v>
      </c>
      <c r="J65" s="777">
        <f t="shared" si="21"/>
        <v>0</v>
      </c>
      <c r="K65" s="777">
        <f t="shared" si="21"/>
        <v>0</v>
      </c>
      <c r="L65" s="665">
        <f>SUM(D65:INDEX(D65:K65,0,MATCH('RFPR cover'!$C$7,$D$6:$K$6,0)))</f>
        <v>0.17499999999999999</v>
      </c>
      <c r="M65" s="666">
        <f>SUM(D65:K65)</f>
        <v>0.17499999999999999</v>
      </c>
    </row>
    <row r="66" spans="1:14" s="2" customFormat="1">
      <c r="A66" s="161"/>
      <c r="B66" s="35" t="s">
        <v>200</v>
      </c>
      <c r="C66" s="293" t="s">
        <v>208</v>
      </c>
      <c r="D66" s="868">
        <f>IF($C66=$B$33,$B$33,INDEX(Data!$G$14:$G$30,MATCH('R5 - Output Incentives'!D$6+RIGHT('R5 - Output Incentives'!$C66,2),Data!$C$14:$C$30,0),0))</f>
        <v>0.2</v>
      </c>
      <c r="E66" s="869">
        <f>IF($C66=$B$33,$B$33,INDEX(Data!$G$14:$G$30,MATCH('R5 - Output Incentives'!E$6+RIGHT('R5 - Output Incentives'!$C66,2),Data!$C$14:$C$30,0),0))</f>
        <v>0.19</v>
      </c>
      <c r="F66" s="869">
        <f>IF($C66=$B$33,$B$33,INDEX(Data!$G$14:$G$30,MATCH('R5 - Output Incentives'!F$6+RIGHT('R5 - Output Incentives'!$C66,2),Data!$C$14:$C$30,0),0))</f>
        <v>0.19</v>
      </c>
      <c r="G66" s="869">
        <f>IF($C66=$B$33,$B$33,INDEX(Data!$G$14:$G$30,MATCH('R5 - Output Incentives'!G$6+RIGHT('R5 - Output Incentives'!$C66,2),Data!$C$14:$C$30,0),0))</f>
        <v>0.19</v>
      </c>
      <c r="H66" s="869">
        <f>IF($C66=$B$33,$B$33,INDEX(Data!$G$14:$G$30,MATCH('R5 - Output Incentives'!H$6+RIGHT('R5 - Output Incentives'!$C66,2),Data!$C$14:$C$30,0),0))</f>
        <v>0.19</v>
      </c>
      <c r="I66" s="869">
        <f>IF($C66=$B$33,$B$33,INDEX(Data!$G$14:$G$30,MATCH('R5 - Output Incentives'!I$6+RIGHT('R5 - Output Incentives'!$C66,2),Data!$C$14:$C$30,0),0))</f>
        <v>0.19</v>
      </c>
      <c r="J66" s="869">
        <f>IF($C66=$B$33,$B$33,INDEX(Data!$G$14:$G$30,MATCH('R5 - Output Incentives'!J$6+RIGHT('R5 - Output Incentives'!$C66,2),Data!$C$14:$C$30,0),0))</f>
        <v>0.19</v>
      </c>
      <c r="K66" s="870">
        <f>IF($C66=$B$33,$B$33,INDEX(Data!$G$14:$G$30,MATCH('R5 - Output Incentives'!K$6+RIGHT('R5 - Output Incentives'!$C66,2),Data!$C$14:$C$30,0),0))</f>
        <v>0.25</v>
      </c>
      <c r="L66" s="779"/>
      <c r="M66" s="780"/>
    </row>
    <row r="67" spans="1:14" s="2" customFormat="1">
      <c r="A67" s="161"/>
      <c r="B67" s="35" t="s">
        <v>209</v>
      </c>
      <c r="C67" s="156"/>
      <c r="D67" s="604">
        <f>IFERROR(D65*(1-D66),0)</f>
        <v>0</v>
      </c>
      <c r="E67" s="605">
        <f t="shared" ref="E67:K67" si="22">IFERROR(E65*(1-E66),0)</f>
        <v>0.14174999999999999</v>
      </c>
      <c r="F67" s="605">
        <f t="shared" si="22"/>
        <v>0</v>
      </c>
      <c r="G67" s="605">
        <f t="shared" si="22"/>
        <v>0</v>
      </c>
      <c r="H67" s="605">
        <f t="shared" si="22"/>
        <v>0</v>
      </c>
      <c r="I67" s="605">
        <f t="shared" si="22"/>
        <v>0</v>
      </c>
      <c r="J67" s="605">
        <f t="shared" si="22"/>
        <v>0</v>
      </c>
      <c r="K67" s="605">
        <f t="shared" si="22"/>
        <v>0</v>
      </c>
      <c r="L67" s="663">
        <f>SUM(D67:INDEX(D67:K67,0,MATCH('RFPR cover'!$C$7,$D$6:$K$6,0)))</f>
        <v>0.14174999999999999</v>
      </c>
      <c r="M67" s="664">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77">
        <f>INDEX($D$11:$K$17,MATCH($A69,$A$11:$A$17,0),0)</f>
        <v>0</v>
      </c>
      <c r="E69" s="777">
        <f t="shared" ref="E69:K69" si="23">INDEX($D$11:$K$17,MATCH($A69,$A$11:$A$17,0),0)</f>
        <v>0</v>
      </c>
      <c r="F69" s="777">
        <f t="shared" si="23"/>
        <v>0</v>
      </c>
      <c r="G69" s="777">
        <f t="shared" si="23"/>
        <v>0</v>
      </c>
      <c r="H69" s="777">
        <f t="shared" si="23"/>
        <v>0</v>
      </c>
      <c r="I69" s="777">
        <f t="shared" si="23"/>
        <v>0</v>
      </c>
      <c r="J69" s="777">
        <f t="shared" si="23"/>
        <v>0</v>
      </c>
      <c r="K69" s="777">
        <f t="shared" si="23"/>
        <v>0</v>
      </c>
      <c r="L69" s="665">
        <f>SUM(D69:INDEX(D69:K69,0,MATCH('RFPR cover'!$C$7,$D$6:$K$6,0)))</f>
        <v>0</v>
      </c>
      <c r="M69" s="666">
        <f>SUM(D69:K69)</f>
        <v>0</v>
      </c>
    </row>
    <row r="70" spans="1:14" s="2" customFormat="1">
      <c r="A70" s="161"/>
      <c r="B70" s="35" t="s">
        <v>200</v>
      </c>
      <c r="C70" s="293" t="s">
        <v>240</v>
      </c>
      <c r="D70" s="868" t="str">
        <f>IF($C70=$B$33,$B$33,INDEX(Data!$G$14:$G$30,MATCH('R5 - Output Incentives'!D$6+RIGHT('R5 - Output Incentives'!$C70,2),Data!$C$14:$C$30,0),0))</f>
        <v>-</v>
      </c>
      <c r="E70" s="869" t="str">
        <f>IF($C70=$B$33,$B$33,INDEX(Data!$G$14:$G$30,MATCH('R5 - Output Incentives'!E$6+RIGHT('R5 - Output Incentives'!$C70,2),Data!$C$14:$C$30,0),0))</f>
        <v>-</v>
      </c>
      <c r="F70" s="869" t="str">
        <f>IF($C70=$B$33,$B$33,INDEX(Data!$G$14:$G$30,MATCH('R5 - Output Incentives'!F$6+RIGHT('R5 - Output Incentives'!$C70,2),Data!$C$14:$C$30,0),0))</f>
        <v>-</v>
      </c>
      <c r="G70" s="869" t="str">
        <f>IF($C70=$B$33,$B$33,INDEX(Data!$G$14:$G$30,MATCH('R5 - Output Incentives'!G$6+RIGHT('R5 - Output Incentives'!$C70,2),Data!$C$14:$C$30,0),0))</f>
        <v>-</v>
      </c>
      <c r="H70" s="869" t="str">
        <f>IF($C70=$B$33,$B$33,INDEX(Data!$G$14:$G$30,MATCH('R5 - Output Incentives'!H$6+RIGHT('R5 - Output Incentives'!$C70,2),Data!$C$14:$C$30,0),0))</f>
        <v>-</v>
      </c>
      <c r="I70" s="869" t="str">
        <f>IF($C70=$B$33,$B$33,INDEX(Data!$G$14:$G$30,MATCH('R5 - Output Incentives'!I$6+RIGHT('R5 - Output Incentives'!$C70,2),Data!$C$14:$C$30,0),0))</f>
        <v>-</v>
      </c>
      <c r="J70" s="869" t="str">
        <f>IF($C70=$B$33,$B$33,INDEX(Data!$G$14:$G$30,MATCH('R5 - Output Incentives'!J$6+RIGHT('R5 - Output Incentives'!$C70,2),Data!$C$14:$C$30,0),0))</f>
        <v>-</v>
      </c>
      <c r="K70" s="870" t="str">
        <f>IF($C70=$B$33,$B$33,INDEX(Data!$G$14:$G$30,MATCH('R5 - Output Incentives'!K$6+RIGHT('R5 - Output Incentives'!$C70,2),Data!$C$14:$C$30,0),0))</f>
        <v>-</v>
      </c>
      <c r="L70" s="779"/>
      <c r="M70" s="780"/>
    </row>
    <row r="71" spans="1:14" s="2" customFormat="1">
      <c r="A71" s="161"/>
      <c r="B71" s="35" t="s">
        <v>209</v>
      </c>
      <c r="C71" s="156"/>
      <c r="D71" s="604">
        <f>IFERROR(D69*(1-D70),0)</f>
        <v>0</v>
      </c>
      <c r="E71" s="605">
        <f t="shared" ref="E71:K71" si="24">IFERROR(E69*(1-E70),0)</f>
        <v>0</v>
      </c>
      <c r="F71" s="605">
        <f t="shared" si="24"/>
        <v>0</v>
      </c>
      <c r="G71" s="605">
        <f t="shared" si="24"/>
        <v>0</v>
      </c>
      <c r="H71" s="605">
        <f t="shared" si="24"/>
        <v>0</v>
      </c>
      <c r="I71" s="605">
        <f t="shared" si="24"/>
        <v>0</v>
      </c>
      <c r="J71" s="605">
        <f t="shared" si="24"/>
        <v>0</v>
      </c>
      <c r="K71" s="605">
        <f t="shared" si="24"/>
        <v>0</v>
      </c>
      <c r="L71" s="663">
        <f>SUM(D71:INDEX(D71:K71,0,MATCH('RFPR cover'!$C$7,$D$6:$K$6,0)))</f>
        <v>0</v>
      </c>
      <c r="M71" s="664">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77">
        <f>INDEX($D$11:$K$17,MATCH($A73,$A$11:$A$17,0),0)</f>
        <v>0</v>
      </c>
      <c r="E73" s="777">
        <f t="shared" ref="E73:K73" si="25">INDEX($D$11:$K$17,MATCH($A73,$A$11:$A$17,0),0)</f>
        <v>0</v>
      </c>
      <c r="F73" s="777">
        <f t="shared" si="25"/>
        <v>0</v>
      </c>
      <c r="G73" s="777">
        <f t="shared" si="25"/>
        <v>0</v>
      </c>
      <c r="H73" s="777">
        <f t="shared" si="25"/>
        <v>0</v>
      </c>
      <c r="I73" s="777">
        <f t="shared" si="25"/>
        <v>0</v>
      </c>
      <c r="J73" s="777">
        <f t="shared" si="25"/>
        <v>0</v>
      </c>
      <c r="K73" s="777">
        <f t="shared" si="25"/>
        <v>0</v>
      </c>
      <c r="L73" s="665">
        <f>SUM(D73:INDEX(D73:K73,0,MATCH('RFPR cover'!$C$7,$D$6:$K$6,0)))</f>
        <v>0</v>
      </c>
      <c r="M73" s="666">
        <f>SUM(D73:K73)</f>
        <v>0</v>
      </c>
    </row>
    <row r="74" spans="1:14" s="2" customFormat="1">
      <c r="A74" s="161"/>
      <c r="B74" s="35" t="s">
        <v>200</v>
      </c>
      <c r="C74" s="293" t="s">
        <v>240</v>
      </c>
      <c r="D74" s="868" t="str">
        <f>IF($C74=$B$33,$B$33,INDEX(Data!$G$14:$G$30,MATCH('R5 - Output Incentives'!D$6+RIGHT('R5 - Output Incentives'!$C74,2),Data!$C$14:$C$30,0),0))</f>
        <v>-</v>
      </c>
      <c r="E74" s="869" t="str">
        <f>IF($C74=$B$33,$B$33,INDEX(Data!$G$14:$G$30,MATCH('R5 - Output Incentives'!E$6+RIGHT('R5 - Output Incentives'!$C74,2),Data!$C$14:$C$30,0),0))</f>
        <v>-</v>
      </c>
      <c r="F74" s="869" t="str">
        <f>IF($C74=$B$33,$B$33,INDEX(Data!$G$14:$G$30,MATCH('R5 - Output Incentives'!F$6+RIGHT('R5 - Output Incentives'!$C74,2),Data!$C$14:$C$30,0),0))</f>
        <v>-</v>
      </c>
      <c r="G74" s="869" t="str">
        <f>IF($C74=$B$33,$B$33,INDEX(Data!$G$14:$G$30,MATCH('R5 - Output Incentives'!G$6+RIGHT('R5 - Output Incentives'!$C74,2),Data!$C$14:$C$30,0),0))</f>
        <v>-</v>
      </c>
      <c r="H74" s="869" t="str">
        <f>IF($C74=$B$33,$B$33,INDEX(Data!$G$14:$G$30,MATCH('R5 - Output Incentives'!H$6+RIGHT('R5 - Output Incentives'!$C74,2),Data!$C$14:$C$30,0),0))</f>
        <v>-</v>
      </c>
      <c r="I74" s="869" t="str">
        <f>IF($C74=$B$33,$B$33,INDEX(Data!$G$14:$G$30,MATCH('R5 - Output Incentives'!I$6+RIGHT('R5 - Output Incentives'!$C74,2),Data!$C$14:$C$30,0),0))</f>
        <v>-</v>
      </c>
      <c r="J74" s="869" t="str">
        <f>IF($C74=$B$33,$B$33,INDEX(Data!$G$14:$G$30,MATCH('R5 - Output Incentives'!J$6+RIGHT('R5 - Output Incentives'!$C74,2),Data!$C$14:$C$30,0),0))</f>
        <v>-</v>
      </c>
      <c r="K74" s="870" t="str">
        <f>IF($C74=$B$33,$B$33,INDEX(Data!$G$14:$G$30,MATCH('R5 - Output Incentives'!K$6+RIGHT('R5 - Output Incentives'!$C74,2),Data!$C$14:$C$30,0),0))</f>
        <v>-</v>
      </c>
      <c r="L74" s="779"/>
      <c r="M74" s="780"/>
    </row>
    <row r="75" spans="1:14" s="2" customFormat="1">
      <c r="A75" s="161"/>
      <c r="B75" s="35" t="s">
        <v>209</v>
      </c>
      <c r="C75" s="156"/>
      <c r="D75" s="604">
        <f>IFERROR(D73*(1-D74),0)</f>
        <v>0</v>
      </c>
      <c r="E75" s="605">
        <f t="shared" ref="E75:K75" si="26">IFERROR(E73*(1-E74),0)</f>
        <v>0</v>
      </c>
      <c r="F75" s="605">
        <f t="shared" si="26"/>
        <v>0</v>
      </c>
      <c r="G75" s="605">
        <f t="shared" si="26"/>
        <v>0</v>
      </c>
      <c r="H75" s="605">
        <f t="shared" si="26"/>
        <v>0</v>
      </c>
      <c r="I75" s="605">
        <f t="shared" si="26"/>
        <v>0</v>
      </c>
      <c r="J75" s="605">
        <f t="shared" si="26"/>
        <v>0</v>
      </c>
      <c r="K75" s="605">
        <f t="shared" si="26"/>
        <v>0</v>
      </c>
      <c r="L75" s="663">
        <f>SUM(D75:INDEX(D75:K75,0,MATCH('RFPR cover'!$C$7,$D$6:$K$6,0)))</f>
        <v>0</v>
      </c>
      <c r="M75" s="664">
        <f>SUM(D75:K75)</f>
        <v>0</v>
      </c>
    </row>
    <row r="76" spans="1:14" s="527" customFormat="1" ht="14.25" customHeight="1">
      <c r="A76" s="526"/>
      <c r="C76" s="528"/>
      <c r="D76" s="529"/>
      <c r="E76" s="529"/>
      <c r="F76" s="529"/>
      <c r="G76" s="529"/>
      <c r="H76" s="529"/>
      <c r="I76" s="529"/>
      <c r="J76" s="529"/>
      <c r="K76" s="529"/>
      <c r="L76" s="530"/>
      <c r="M76" s="530"/>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7" customFormat="1">
      <c r="B80" s="532"/>
      <c r="C80" s="533"/>
      <c r="D80" s="534"/>
      <c r="E80" s="534"/>
      <c r="F80" s="534"/>
      <c r="G80" s="534"/>
      <c r="H80" s="534"/>
      <c r="I80" s="534"/>
      <c r="J80" s="534"/>
      <c r="K80" s="534"/>
    </row>
    <row r="81" spans="1:12" s="2" customFormat="1">
      <c r="B81" s="12"/>
      <c r="C81" s="535" t="s">
        <v>399</v>
      </c>
      <c r="D81" s="538" t="str">
        <f t="shared" ref="D81:K81" si="27">IF($C50=$B$33,D$6,IF(D$6-RIGHT($C50,1)&lt;$D$6,"Pre-RIIO",D$6-RIGHT($C50,1)))</f>
        <v>Pre-RIIO</v>
      </c>
      <c r="E81" s="539" t="str">
        <f t="shared" si="27"/>
        <v>Pre-RIIO</v>
      </c>
      <c r="F81" s="539">
        <f t="shared" si="27"/>
        <v>2016</v>
      </c>
      <c r="G81" s="539">
        <f t="shared" si="27"/>
        <v>2017</v>
      </c>
      <c r="H81" s="539">
        <f t="shared" si="27"/>
        <v>2018</v>
      </c>
      <c r="I81" s="539">
        <f t="shared" si="27"/>
        <v>2019</v>
      </c>
      <c r="J81" s="539">
        <f t="shared" si="27"/>
        <v>2020</v>
      </c>
      <c r="K81" s="540">
        <f t="shared" si="27"/>
        <v>2021</v>
      </c>
    </row>
    <row r="82" spans="1:12" s="2" customFormat="1">
      <c r="A82" s="3" t="str">
        <f>A11</f>
        <v>a</v>
      </c>
      <c r="B82" s="130" t="str">
        <f>B11&amp;""</f>
        <v>Broad measure of customer service</v>
      </c>
      <c r="C82" s="137" t="s">
        <v>127</v>
      </c>
      <c r="D82" s="632">
        <v>-1.124693400583354</v>
      </c>
      <c r="E82" s="633">
        <v>-0.93216531468781072</v>
      </c>
      <c r="F82" s="633">
        <v>1.5852435373060449</v>
      </c>
      <c r="G82" s="633">
        <v>2.6430478740438859</v>
      </c>
      <c r="H82" s="611">
        <v>2.8779822976011613</v>
      </c>
      <c r="I82" s="611">
        <v>3.1370426898451553</v>
      </c>
      <c r="J82" s="611">
        <v>3.9580622809817982</v>
      </c>
      <c r="K82" s="611">
        <v>3.8468038549095764</v>
      </c>
    </row>
    <row r="83" spans="1:12" s="2" customFormat="1">
      <c r="A83" s="3"/>
      <c r="B83" s="130"/>
      <c r="C83" s="137"/>
      <c r="D83" s="137"/>
      <c r="E83" s="137"/>
      <c r="F83" s="137"/>
      <c r="G83" s="137"/>
      <c r="H83" s="137"/>
      <c r="I83" s="137"/>
      <c r="J83" s="137"/>
      <c r="K83" s="137"/>
      <c r="L83" s="137"/>
    </row>
    <row r="84" spans="1:12" s="2" customFormat="1">
      <c r="A84" s="3"/>
      <c r="B84" s="130"/>
      <c r="C84" s="535" t="s">
        <v>399</v>
      </c>
      <c r="D84" s="538" t="str">
        <f t="shared" ref="D84:K84" si="28">IF($C54=$B$33,D$6,IF(D$6-RIGHT($C54,1)&lt;$D$6,"Pre-RIIO",D$6-RIGHT($C54,1)))</f>
        <v>Pre-RIIO</v>
      </c>
      <c r="E84" s="539" t="str">
        <f t="shared" si="28"/>
        <v>Pre-RIIO</v>
      </c>
      <c r="F84" s="539">
        <f t="shared" si="28"/>
        <v>2016</v>
      </c>
      <c r="G84" s="539">
        <f t="shared" si="28"/>
        <v>2017</v>
      </c>
      <c r="H84" s="539">
        <f t="shared" si="28"/>
        <v>2018</v>
      </c>
      <c r="I84" s="539">
        <f t="shared" si="28"/>
        <v>2019</v>
      </c>
      <c r="J84" s="539">
        <f t="shared" si="28"/>
        <v>2020</v>
      </c>
      <c r="K84" s="540">
        <f t="shared" si="28"/>
        <v>2021</v>
      </c>
    </row>
    <row r="85" spans="1:12" s="2" customFormat="1">
      <c r="A85" s="3" t="str">
        <f>A12</f>
        <v>b</v>
      </c>
      <c r="B85" s="130" t="str">
        <f>B12&amp;""</f>
        <v>Interruptions-related quality of service</v>
      </c>
      <c r="C85" s="137" t="s">
        <v>127</v>
      </c>
      <c r="D85" s="632">
        <v>9.1318670151695471</v>
      </c>
      <c r="E85" s="633">
        <v>13.844560363984531</v>
      </c>
      <c r="F85" s="633">
        <v>15.780877386240121</v>
      </c>
      <c r="G85" s="633">
        <v>16.803293561486324</v>
      </c>
      <c r="H85" s="611">
        <v>17.26117198360604</v>
      </c>
      <c r="I85" s="611">
        <v>17.544324930362173</v>
      </c>
      <c r="J85" s="611">
        <v>15.285068123440894</v>
      </c>
      <c r="K85" s="611">
        <v>15.94814882921589</v>
      </c>
    </row>
    <row r="86" spans="1:12" s="2" customFormat="1">
      <c r="A86" s="3"/>
      <c r="B86" s="130"/>
      <c r="C86" s="137"/>
      <c r="D86" s="137"/>
      <c r="E86" s="137"/>
      <c r="F86" s="137"/>
      <c r="G86" s="137"/>
      <c r="H86" s="137"/>
      <c r="I86" s="137"/>
      <c r="J86" s="137"/>
      <c r="K86" s="137"/>
      <c r="L86" s="137"/>
    </row>
    <row r="87" spans="1:12" s="2" customFormat="1">
      <c r="A87" s="3"/>
      <c r="B87" s="130"/>
      <c r="C87" s="535" t="s">
        <v>399</v>
      </c>
      <c r="D87" s="538" t="str">
        <f t="shared" ref="D87:K87" si="29">IF($C58=$B$33,D$6,IF(D$6-RIGHT($C58,1)&lt;$D$6,"Pre-RIIO",D$6-RIGHT($C58,1)))</f>
        <v>Pre-RIIO</v>
      </c>
      <c r="E87" s="539" t="str">
        <f t="shared" si="29"/>
        <v>Pre-RIIO</v>
      </c>
      <c r="F87" s="539" t="str">
        <f t="shared" si="29"/>
        <v>Pre-RIIO</v>
      </c>
      <c r="G87" s="539">
        <f t="shared" si="29"/>
        <v>2016</v>
      </c>
      <c r="H87" s="539">
        <f t="shared" si="29"/>
        <v>2017</v>
      </c>
      <c r="I87" s="539">
        <f t="shared" si="29"/>
        <v>2018</v>
      </c>
      <c r="J87" s="539">
        <f t="shared" si="29"/>
        <v>2019</v>
      </c>
      <c r="K87" s="540">
        <f t="shared" si="29"/>
        <v>2020</v>
      </c>
    </row>
    <row r="88" spans="1:12" s="2" customFormat="1">
      <c r="A88" s="3" t="str">
        <f>A13</f>
        <v>c</v>
      </c>
      <c r="B88" s="130" t="str">
        <f>B13&amp;""</f>
        <v>Incentive on connections engagement</v>
      </c>
      <c r="C88" s="137" t="s">
        <v>127</v>
      </c>
      <c r="D88" s="632">
        <v>0</v>
      </c>
      <c r="E88" s="633">
        <v>0</v>
      </c>
      <c r="F88" s="633">
        <v>0</v>
      </c>
      <c r="G88" s="633">
        <v>0</v>
      </c>
      <c r="H88" s="611">
        <v>0</v>
      </c>
      <c r="I88" s="611">
        <v>0</v>
      </c>
      <c r="J88" s="611">
        <v>0</v>
      </c>
      <c r="K88" s="611">
        <v>0</v>
      </c>
    </row>
    <row r="89" spans="1:12" s="2" customFormat="1">
      <c r="A89" s="3"/>
      <c r="B89" s="130"/>
      <c r="C89" s="137"/>
      <c r="D89" s="137"/>
      <c r="E89" s="137"/>
      <c r="F89" s="137"/>
      <c r="G89" s="137"/>
      <c r="H89" s="137"/>
      <c r="I89" s="137"/>
      <c r="J89" s="137"/>
      <c r="K89" s="137"/>
      <c r="L89" s="137"/>
    </row>
    <row r="90" spans="1:12" s="2" customFormat="1">
      <c r="A90" s="3"/>
      <c r="B90" s="130"/>
      <c r="C90" s="535" t="s">
        <v>399</v>
      </c>
      <c r="D90" s="538" t="str">
        <f t="shared" ref="D90:K90" si="30">IF($C62=$B$33,D$6,IF(D$6-RIGHT($C62,1)&lt;$D$6,"Pre-RIIO",D$6-RIGHT($C62,1)))</f>
        <v>Pre-RIIO</v>
      </c>
      <c r="E90" s="539" t="str">
        <f t="shared" si="30"/>
        <v>Pre-RIIO</v>
      </c>
      <c r="F90" s="539">
        <f t="shared" si="30"/>
        <v>2016</v>
      </c>
      <c r="G90" s="539">
        <f t="shared" si="30"/>
        <v>2017</v>
      </c>
      <c r="H90" s="539">
        <f t="shared" si="30"/>
        <v>2018</v>
      </c>
      <c r="I90" s="539">
        <f t="shared" si="30"/>
        <v>2019</v>
      </c>
      <c r="J90" s="539">
        <f t="shared" si="30"/>
        <v>2020</v>
      </c>
      <c r="K90" s="540">
        <f t="shared" si="30"/>
        <v>2021</v>
      </c>
    </row>
    <row r="91" spans="1:12" s="2" customFormat="1">
      <c r="A91" s="3" t="str">
        <f>A14</f>
        <v>d</v>
      </c>
      <c r="B91" s="130" t="str">
        <f>B14&amp;""</f>
        <v>Time to Connect Incentive</v>
      </c>
      <c r="C91" s="137" t="s">
        <v>127</v>
      </c>
      <c r="D91" s="632">
        <v>0</v>
      </c>
      <c r="E91" s="633">
        <v>0</v>
      </c>
      <c r="F91" s="633">
        <v>0.7377767790433406</v>
      </c>
      <c r="G91" s="633">
        <v>0.64982200878716667</v>
      </c>
      <c r="H91" s="611">
        <v>7.0672170021457231E-2</v>
      </c>
      <c r="I91" s="611">
        <v>0.4085054149381836</v>
      </c>
      <c r="J91" s="611">
        <v>0.11979551246727969</v>
      </c>
      <c r="K91" s="611">
        <v>0</v>
      </c>
    </row>
    <row r="92" spans="1:12" s="2" customFormat="1">
      <c r="A92" s="3"/>
      <c r="B92" s="130"/>
      <c r="C92" s="137"/>
      <c r="D92" s="137"/>
      <c r="E92" s="137"/>
      <c r="F92" s="137"/>
      <c r="G92" s="137"/>
      <c r="H92" s="137"/>
      <c r="I92" s="137"/>
      <c r="J92" s="137"/>
      <c r="K92" s="137"/>
      <c r="L92" s="137"/>
    </row>
    <row r="93" spans="1:12" s="2" customFormat="1">
      <c r="A93" s="3"/>
      <c r="B93" s="130"/>
      <c r="C93" s="535" t="s">
        <v>399</v>
      </c>
      <c r="D93" s="538" t="str">
        <f>IF($C66=$B$33,D$6,IF(D$6-RIGHT($C66,1)&lt;$D$6,"Pre-RIIO",D$6-RIGHT($C66,1)))</f>
        <v>Pre-RIIO</v>
      </c>
      <c r="E93" s="539">
        <f t="shared" ref="E93:K93" si="31">IF($C66=$B$33,E$6,IF(E$6-RIGHT($C66,1)&lt;$D$6,"Pre-RIIO",E$6-RIGHT($C66,1)))</f>
        <v>2016</v>
      </c>
      <c r="F93" s="539">
        <f t="shared" si="31"/>
        <v>2017</v>
      </c>
      <c r="G93" s="539">
        <f t="shared" si="31"/>
        <v>2018</v>
      </c>
      <c r="H93" s="539">
        <f t="shared" si="31"/>
        <v>2019</v>
      </c>
      <c r="I93" s="539">
        <f t="shared" si="31"/>
        <v>2020</v>
      </c>
      <c r="J93" s="539">
        <f t="shared" si="31"/>
        <v>2021</v>
      </c>
      <c r="K93" s="540">
        <f t="shared" si="31"/>
        <v>2022</v>
      </c>
    </row>
    <row r="94" spans="1:12" s="2" customFormat="1">
      <c r="A94" s="3" t="str">
        <f>A15</f>
        <v>e</v>
      </c>
      <c r="B94" s="130" t="str">
        <f>B15&amp;""</f>
        <v>Losses discretionary reward scheme</v>
      </c>
      <c r="C94" s="137" t="s">
        <v>127</v>
      </c>
      <c r="D94" s="632">
        <v>0</v>
      </c>
      <c r="E94" s="633">
        <v>0</v>
      </c>
      <c r="F94" s="633">
        <v>0.19617499999999999</v>
      </c>
      <c r="G94" s="633">
        <v>0</v>
      </c>
      <c r="H94" s="611">
        <v>0</v>
      </c>
      <c r="I94" s="611">
        <v>0</v>
      </c>
      <c r="J94" s="611">
        <v>0</v>
      </c>
      <c r="K94" s="611">
        <v>0</v>
      </c>
    </row>
    <row r="95" spans="1:12" s="2" customFormat="1">
      <c r="A95" s="3"/>
      <c r="B95" s="130"/>
      <c r="C95" s="137"/>
      <c r="D95" s="137"/>
      <c r="E95" s="137"/>
      <c r="F95" s="137"/>
      <c r="G95" s="137"/>
      <c r="H95" s="137"/>
      <c r="I95" s="137"/>
      <c r="J95" s="137"/>
      <c r="K95" s="137"/>
      <c r="L95" s="137"/>
    </row>
    <row r="96" spans="1:12" s="2" customFormat="1">
      <c r="A96" s="3"/>
      <c r="B96" s="130"/>
      <c r="C96" s="535" t="s">
        <v>399</v>
      </c>
      <c r="D96" s="538">
        <f>IF($C70=$B$33,D$6,IF(D$6-RIGHT($C70,1)&lt;$D$6,"Pre-RIIO",D$6-RIGHT($C70,1)))</f>
        <v>2016</v>
      </c>
      <c r="E96" s="538">
        <f t="shared" ref="E96:K96" si="32">IF($C70=$B$33,E$6,IF(E$6-RIGHT($C70,1)&lt;$D$6,"Pre-RIIO",E$6-RIGHT($C70,1)))</f>
        <v>2017</v>
      </c>
      <c r="F96" s="538">
        <f t="shared" si="32"/>
        <v>2018</v>
      </c>
      <c r="G96" s="538">
        <f t="shared" si="32"/>
        <v>2019</v>
      </c>
      <c r="H96" s="538">
        <f t="shared" si="32"/>
        <v>2020</v>
      </c>
      <c r="I96" s="538">
        <f t="shared" si="32"/>
        <v>2021</v>
      </c>
      <c r="J96" s="538">
        <f t="shared" si="32"/>
        <v>2022</v>
      </c>
      <c r="K96" s="538">
        <f t="shared" si="32"/>
        <v>2023</v>
      </c>
    </row>
    <row r="97" spans="1:13" s="2" customFormat="1">
      <c r="A97" s="3" t="str">
        <f>A16</f>
        <v>f</v>
      </c>
      <c r="B97" s="130" t="str">
        <f>B16&amp;""</f>
        <v/>
      </c>
      <c r="C97" s="137" t="s">
        <v>127</v>
      </c>
      <c r="D97" s="632"/>
      <c r="E97" s="633"/>
      <c r="F97" s="633"/>
      <c r="G97" s="633"/>
      <c r="H97" s="611"/>
      <c r="I97" s="611"/>
      <c r="J97" s="611"/>
      <c r="K97" s="611"/>
    </row>
    <row r="98" spans="1:13" s="2" customFormat="1">
      <c r="A98" s="3"/>
      <c r="B98" s="130"/>
      <c r="C98" s="137"/>
      <c r="D98" s="137"/>
      <c r="E98" s="137"/>
      <c r="F98" s="137"/>
      <c r="G98" s="137"/>
      <c r="H98" s="137"/>
      <c r="I98" s="137"/>
      <c r="J98" s="137"/>
      <c r="K98" s="137"/>
      <c r="L98" s="137"/>
    </row>
    <row r="99" spans="1:13" s="2" customFormat="1">
      <c r="A99" s="3"/>
      <c r="B99" s="130"/>
      <c r="C99" s="535" t="s">
        <v>399</v>
      </c>
      <c r="D99" s="538">
        <f>IF($C74=$B$33,D$6,IF(D$6-RIGHT($C74,1)&lt;$D$6,"Pre-RIIO",D$6-RIGHT($C74,1)))</f>
        <v>2016</v>
      </c>
      <c r="E99" s="538">
        <f t="shared" ref="E99:K99" si="33">IF($C74=$B$33,E$6,IF(E$6-RIGHT($C74,1)&lt;$D$6,"Pre-RIIO",E$6-RIGHT($C74,1)))</f>
        <v>2017</v>
      </c>
      <c r="F99" s="538">
        <f t="shared" si="33"/>
        <v>2018</v>
      </c>
      <c r="G99" s="538">
        <f t="shared" si="33"/>
        <v>2019</v>
      </c>
      <c r="H99" s="538">
        <f t="shared" si="33"/>
        <v>2020</v>
      </c>
      <c r="I99" s="538">
        <f t="shared" si="33"/>
        <v>2021</v>
      </c>
      <c r="J99" s="538">
        <f t="shared" si="33"/>
        <v>2022</v>
      </c>
      <c r="K99" s="538">
        <f t="shared" si="33"/>
        <v>2023</v>
      </c>
    </row>
    <row r="100" spans="1:13" s="2" customFormat="1">
      <c r="A100" s="3" t="str">
        <f>A17</f>
        <v>g</v>
      </c>
      <c r="B100" s="130" t="str">
        <f>B17&amp;""</f>
        <v/>
      </c>
      <c r="C100" s="137" t="s">
        <v>127</v>
      </c>
      <c r="D100" s="632"/>
      <c r="E100" s="633"/>
      <c r="F100" s="633"/>
      <c r="G100" s="633"/>
      <c r="H100" s="611"/>
      <c r="I100" s="611"/>
      <c r="J100" s="611"/>
      <c r="K100" s="611"/>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4">
        <f>SUM(D82,D85,D88,D91,D94,D97,D100)</f>
        <v>8.0071736145861934</v>
      </c>
      <c r="E102" s="604">
        <f t="shared" ref="E102:K102" si="34">SUM(E82,E85,E88,E91,E94,E97,E100)</f>
        <v>12.91239504929672</v>
      </c>
      <c r="F102" s="604">
        <f t="shared" si="34"/>
        <v>18.300072702589507</v>
      </c>
      <c r="G102" s="604">
        <f t="shared" si="34"/>
        <v>20.096163444317376</v>
      </c>
      <c r="H102" s="605">
        <f>SUM(H82,H85,H88,H91,H94,H97,H100)</f>
        <v>20.209826451228658</v>
      </c>
      <c r="I102" s="605">
        <f t="shared" si="34"/>
        <v>21.089873035145512</v>
      </c>
      <c r="J102" s="605">
        <f t="shared" si="34"/>
        <v>19.362925916889974</v>
      </c>
      <c r="K102" s="605">
        <f t="shared" si="34"/>
        <v>19.794952684125466</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82"/>
      <c r="C105" s="982"/>
      <c r="D105" s="982"/>
      <c r="E105" s="982"/>
      <c r="F105" s="982"/>
      <c r="G105" s="982"/>
      <c r="H105" s="982"/>
      <c r="I105" s="982"/>
      <c r="J105" s="982"/>
      <c r="K105" s="982"/>
      <c r="L105" s="982"/>
      <c r="M105" s="982"/>
    </row>
    <row r="106" spans="1:13" s="2" customFormat="1">
      <c r="A106" s="270" t="str">
        <f>A85</f>
        <v>b</v>
      </c>
      <c r="B106" s="982"/>
      <c r="C106" s="982"/>
      <c r="D106" s="982"/>
      <c r="E106" s="982"/>
      <c r="F106" s="982"/>
      <c r="G106" s="982"/>
      <c r="H106" s="982"/>
      <c r="I106" s="982"/>
      <c r="J106" s="982"/>
      <c r="K106" s="982"/>
      <c r="L106" s="982"/>
      <c r="M106" s="982"/>
    </row>
    <row r="107" spans="1:13" s="2" customFormat="1">
      <c r="A107" s="270" t="str">
        <f>A88</f>
        <v>c</v>
      </c>
      <c r="B107" s="982"/>
      <c r="C107" s="982"/>
      <c r="D107" s="982"/>
      <c r="E107" s="982"/>
      <c r="F107" s="982"/>
      <c r="G107" s="982"/>
      <c r="H107" s="982"/>
      <c r="I107" s="982"/>
      <c r="J107" s="982"/>
      <c r="K107" s="982"/>
      <c r="L107" s="982"/>
      <c r="M107" s="982"/>
    </row>
    <row r="108" spans="1:13" s="2" customFormat="1">
      <c r="A108" s="270" t="str">
        <f>A91</f>
        <v>d</v>
      </c>
      <c r="B108" s="982"/>
      <c r="C108" s="982"/>
      <c r="D108" s="982"/>
      <c r="E108" s="982"/>
      <c r="F108" s="982"/>
      <c r="G108" s="982"/>
      <c r="H108" s="982"/>
      <c r="I108" s="982"/>
      <c r="J108" s="982"/>
      <c r="K108" s="982"/>
      <c r="L108" s="982"/>
      <c r="M108" s="982"/>
    </row>
    <row r="109" spans="1:13" s="2" customFormat="1">
      <c r="A109" s="270" t="str">
        <f>A94</f>
        <v>e</v>
      </c>
      <c r="B109" s="982"/>
      <c r="C109" s="982"/>
      <c r="D109" s="982"/>
      <c r="E109" s="982"/>
      <c r="F109" s="982"/>
      <c r="G109" s="982"/>
      <c r="H109" s="982"/>
      <c r="I109" s="982"/>
      <c r="J109" s="982"/>
      <c r="K109" s="982"/>
      <c r="L109" s="982"/>
      <c r="M109" s="982"/>
    </row>
    <row r="110" spans="1:13" s="2" customFormat="1">
      <c r="A110" s="270" t="str">
        <f>A97</f>
        <v>f</v>
      </c>
      <c r="B110" s="982"/>
      <c r="C110" s="982"/>
      <c r="D110" s="982"/>
      <c r="E110" s="982"/>
      <c r="F110" s="982"/>
      <c r="G110" s="982"/>
      <c r="H110" s="982"/>
      <c r="I110" s="982"/>
      <c r="J110" s="982"/>
      <c r="K110" s="982"/>
      <c r="L110" s="982"/>
      <c r="M110" s="982"/>
    </row>
    <row r="111" spans="1:13" s="2" customFormat="1">
      <c r="A111" s="270" t="str">
        <f>A100</f>
        <v>g</v>
      </c>
      <c r="B111" s="982"/>
      <c r="C111" s="982"/>
      <c r="D111" s="982"/>
      <c r="E111" s="982"/>
      <c r="F111" s="982"/>
      <c r="G111" s="982"/>
      <c r="H111" s="982"/>
      <c r="I111" s="982"/>
      <c r="J111" s="982"/>
      <c r="K111" s="982"/>
      <c r="L111" s="982"/>
      <c r="M111" s="982"/>
    </row>
    <row r="112" spans="1:13" s="527" customFormat="1">
      <c r="A112" s="526"/>
      <c r="C112" s="528"/>
      <c r="D112" s="529"/>
      <c r="E112" s="529"/>
      <c r="F112" s="529"/>
      <c r="G112" s="529"/>
      <c r="H112" s="529"/>
      <c r="I112" s="529"/>
      <c r="J112" s="529"/>
      <c r="K112" s="529"/>
      <c r="L112" s="530"/>
      <c r="M112" s="530"/>
    </row>
    <row r="113" spans="1:14" s="527" customFormat="1">
      <c r="A113" s="526"/>
      <c r="C113" s="528"/>
      <c r="D113" s="528"/>
      <c r="E113" s="528"/>
      <c r="F113" s="528"/>
      <c r="G113" s="528"/>
      <c r="H113" s="528"/>
      <c r="I113" s="528"/>
      <c r="J113" s="528"/>
      <c r="K113" s="528"/>
      <c r="L113" s="528"/>
      <c r="M113" s="528"/>
    </row>
    <row r="114" spans="1:14" s="2" customFormat="1">
      <c r="A114" s="81"/>
      <c r="B114" s="81"/>
      <c r="C114" s="151"/>
      <c r="D114" s="81"/>
      <c r="E114" s="81"/>
      <c r="F114" s="81"/>
      <c r="G114" s="81"/>
      <c r="H114" s="81"/>
      <c r="I114" s="81"/>
      <c r="J114" s="81"/>
      <c r="K114" s="81"/>
      <c r="L114" s="81"/>
      <c r="M114" s="81"/>
      <c r="N114" s="81"/>
    </row>
  </sheetData>
  <sheetProtection algorithmName="SHA-512" hashValue="cs8HWPNxt2ZaGRdCoSAbhHhgckEYqqxnmo1Dt0Flq+nHlQYd1XjbdHvLvNRcgoynxz7d8ZmZtgoBODxfbIRCdw==" saltValue="upgxohRfDPw/P6zDqy2y/g==" spinCount="100000"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61" priority="31">
      <formula>AND(D$5="Actuals",E$5="Forecast")</formula>
    </cfRule>
  </conditionalFormatting>
  <conditionalFormatting sqref="D5:K5">
    <cfRule type="expression" dxfId="60"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04" t="s">
        <v>100</v>
      </c>
      <c r="B1" s="900"/>
      <c r="C1" s="279"/>
      <c r="D1" s="257"/>
      <c r="E1" s="257"/>
      <c r="F1" s="257"/>
      <c r="G1" s="257"/>
      <c r="H1" s="257"/>
      <c r="I1" s="258"/>
      <c r="J1" s="258"/>
      <c r="K1" s="259"/>
      <c r="L1" s="260"/>
    </row>
    <row r="2" spans="1:12" s="31" customFormat="1" ht="20.25">
      <c r="A2" s="893" t="str">
        <f>'RFPR cover'!C5</f>
        <v>NPgY</v>
      </c>
      <c r="B2" s="885"/>
      <c r="C2" s="135"/>
      <c r="D2" s="29"/>
      <c r="E2" s="29"/>
      <c r="F2" s="29"/>
      <c r="G2" s="29"/>
      <c r="H2" s="29"/>
      <c r="I2" s="27"/>
      <c r="J2" s="27"/>
      <c r="K2" s="27"/>
      <c r="L2" s="124"/>
    </row>
    <row r="3" spans="1:12" s="37" customFormat="1" ht="23.25">
      <c r="A3" s="896">
        <f>'RFPR cover'!C7</f>
        <v>2022</v>
      </c>
      <c r="B3" s="902" t="str">
        <f>'R1 - RoRE'!B3</f>
        <v/>
      </c>
      <c r="C3" s="281"/>
      <c r="D3" s="280"/>
      <c r="E3" s="280"/>
      <c r="F3" s="280"/>
      <c r="G3" s="280"/>
      <c r="H3" s="280"/>
      <c r="I3" s="256"/>
      <c r="J3" s="256"/>
      <c r="K3" s="256"/>
      <c r="L3" s="262"/>
    </row>
    <row r="4" spans="1:12" s="2" customFormat="1" ht="12.75" customHeight="1">
      <c r="C4" s="137"/>
    </row>
    <row r="5" spans="1:12"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133</v>
      </c>
      <c r="C8" s="138"/>
      <c r="D8" s="57"/>
      <c r="E8" s="57"/>
      <c r="F8" s="57"/>
      <c r="G8" s="57"/>
      <c r="H8" s="57"/>
      <c r="I8" s="57"/>
      <c r="J8" s="57"/>
      <c r="K8" s="57"/>
    </row>
    <row r="9" spans="1:12" s="2" customFormat="1">
      <c r="B9" s="226" t="s">
        <v>515</v>
      </c>
      <c r="C9" s="153" t="s">
        <v>127</v>
      </c>
      <c r="D9" s="588">
        <v>0.8202488247745281</v>
      </c>
      <c r="E9" s="589">
        <v>0.78253045889138884</v>
      </c>
      <c r="F9" s="589">
        <v>2.3310237800519573</v>
      </c>
      <c r="G9" s="589">
        <v>2.4119222903338855</v>
      </c>
      <c r="H9" s="589">
        <v>2.3356430368962635</v>
      </c>
      <c r="I9" s="589">
        <v>2.4687189218531773</v>
      </c>
      <c r="J9" s="930">
        <v>0.96939754776800657</v>
      </c>
      <c r="K9" s="930">
        <v>2.6855979378945798</v>
      </c>
    </row>
    <row r="10" spans="1:12" s="2" customFormat="1">
      <c r="B10" s="226" t="s">
        <v>496</v>
      </c>
      <c r="C10" s="153" t="s">
        <v>127</v>
      </c>
      <c r="D10" s="590"/>
      <c r="E10" s="591"/>
      <c r="F10" s="591"/>
      <c r="G10" s="591"/>
      <c r="H10" s="591"/>
      <c r="I10" s="591"/>
      <c r="J10" s="931"/>
      <c r="K10" s="931"/>
    </row>
    <row r="11" spans="1:12" s="2" customFormat="1">
      <c r="B11" s="226" t="s">
        <v>514</v>
      </c>
      <c r="C11" s="153" t="s">
        <v>127</v>
      </c>
      <c r="D11" s="837">
        <v>8.2024882477452765E-2</v>
      </c>
      <c r="E11" s="838">
        <v>7.8253045889138839E-2</v>
      </c>
      <c r="F11" s="838">
        <v>0.23310237800519573</v>
      </c>
      <c r="G11" s="838">
        <v>0.24119222903338855</v>
      </c>
      <c r="H11" s="838">
        <v>0.23356430368962622</v>
      </c>
      <c r="I11" s="838">
        <v>0.24687189218531769</v>
      </c>
      <c r="J11" s="932">
        <v>9.6939754776800613E-2</v>
      </c>
      <c r="K11" s="932">
        <f>K9*0.1</f>
        <v>0.26855979378945799</v>
      </c>
    </row>
    <row r="12" spans="1:12" s="12" customFormat="1">
      <c r="B12" s="51" t="s">
        <v>131</v>
      </c>
      <c r="C12" s="153" t="s">
        <v>127</v>
      </c>
      <c r="D12" s="604">
        <f>D9-D10-D11</f>
        <v>0.73822394229707533</v>
      </c>
      <c r="E12" s="605">
        <f t="shared" ref="E12:K12" si="1">E9-E10-E11</f>
        <v>0.70427741300225</v>
      </c>
      <c r="F12" s="605">
        <f t="shared" si="1"/>
        <v>2.0979214020467616</v>
      </c>
      <c r="G12" s="605">
        <f t="shared" si="1"/>
        <v>2.1707300613004969</v>
      </c>
      <c r="H12" s="605">
        <f t="shared" si="1"/>
        <v>2.1020787332066373</v>
      </c>
      <c r="I12" s="605">
        <f t="shared" si="1"/>
        <v>2.2218470296678596</v>
      </c>
      <c r="J12" s="605">
        <f t="shared" si="1"/>
        <v>0.87245779299120596</v>
      </c>
      <c r="K12" s="605">
        <f t="shared" si="1"/>
        <v>2.4170381441051219</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517</v>
      </c>
      <c r="C15" s="153" t="s">
        <v>127</v>
      </c>
      <c r="D15" s="588">
        <v>1.58060117</v>
      </c>
      <c r="E15" s="589">
        <v>8.3856570000000005E-2</v>
      </c>
      <c r="F15" s="589">
        <v>0.24265197999999999</v>
      </c>
      <c r="G15" s="589">
        <v>0.65832199000000002</v>
      </c>
      <c r="H15" s="589">
        <v>8.9907860000000006E-2</v>
      </c>
      <c r="I15" s="589">
        <v>-0.24241409999999999</v>
      </c>
      <c r="J15" s="589">
        <v>5.3594280000000001E-2</v>
      </c>
      <c r="K15" s="589"/>
    </row>
    <row r="16" spans="1:12" s="2" customFormat="1">
      <c r="B16" s="226" t="s">
        <v>516</v>
      </c>
      <c r="C16" s="153" t="s">
        <v>127</v>
      </c>
      <c r="D16" s="590"/>
      <c r="E16" s="591"/>
      <c r="F16" s="591"/>
      <c r="G16" s="591"/>
      <c r="H16" s="591"/>
      <c r="I16" s="591"/>
      <c r="J16" s="591"/>
      <c r="K16" s="591"/>
    </row>
    <row r="17" spans="2:12" s="12" customFormat="1">
      <c r="B17" s="51" t="s">
        <v>132</v>
      </c>
      <c r="C17" s="153" t="s">
        <v>127</v>
      </c>
      <c r="D17" s="604">
        <f>D15-D16</f>
        <v>1.58060117</v>
      </c>
      <c r="E17" s="604">
        <f t="shared" ref="E17:K17" si="2">E15-E16</f>
        <v>8.3856570000000005E-2</v>
      </c>
      <c r="F17" s="604">
        <f t="shared" si="2"/>
        <v>0.24265197999999999</v>
      </c>
      <c r="G17" s="604">
        <f t="shared" si="2"/>
        <v>0.65832199000000002</v>
      </c>
      <c r="H17" s="604">
        <f t="shared" si="2"/>
        <v>8.9907860000000006E-2</v>
      </c>
      <c r="I17" s="604">
        <f t="shared" si="2"/>
        <v>-0.24241409999999999</v>
      </c>
      <c r="J17" s="604">
        <f t="shared" si="2"/>
        <v>5.3594280000000001E-2</v>
      </c>
      <c r="K17" s="604">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88"/>
      <c r="E20" s="589"/>
      <c r="F20" s="589"/>
      <c r="G20" s="589"/>
      <c r="H20" s="589"/>
      <c r="I20" s="589"/>
      <c r="J20" s="589"/>
      <c r="K20" s="589"/>
    </row>
    <row r="21" spans="2:12" s="2" customFormat="1">
      <c r="B21" s="226" t="s">
        <v>514</v>
      </c>
      <c r="C21" s="153" t="s">
        <v>127</v>
      </c>
      <c r="D21" s="626"/>
      <c r="E21" s="627"/>
      <c r="F21" s="627"/>
      <c r="G21" s="627"/>
      <c r="H21" s="627"/>
      <c r="I21" s="627"/>
      <c r="J21" s="627"/>
      <c r="K21" s="627"/>
    </row>
    <row r="22" spans="2:12" s="2" customFormat="1">
      <c r="B22" s="35"/>
      <c r="C22" s="139"/>
      <c r="D22" s="35"/>
      <c r="E22" s="35"/>
      <c r="F22" s="35"/>
      <c r="G22" s="35"/>
      <c r="H22" s="35"/>
      <c r="I22" s="35"/>
      <c r="J22" s="35"/>
      <c r="K22" s="35"/>
    </row>
    <row r="23" spans="2:12" s="2" customFormat="1">
      <c r="B23" s="226" t="s">
        <v>499</v>
      </c>
      <c r="C23" s="153" t="s">
        <v>127</v>
      </c>
      <c r="D23" s="626"/>
      <c r="E23" s="627"/>
      <c r="F23" s="627"/>
      <c r="G23" s="627"/>
      <c r="H23" s="627"/>
      <c r="I23" s="627"/>
      <c r="J23" s="627"/>
      <c r="K23" s="627"/>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4">
        <f>(SUM(D10,D11,D21)-D23)/Data!C34</f>
        <v>7.7358848412386841E-2</v>
      </c>
      <c r="E28" s="674">
        <f>(SUM(E10,E11,E21)-E23)/Data!D34</f>
        <v>7.2253366150393378E-2</v>
      </c>
      <c r="F28" s="674">
        <f>(SUM(F10,F11,F21)-F23)/Data!E34</f>
        <v>0.20746695017395372</v>
      </c>
      <c r="G28" s="674">
        <f>(SUM(G10,G11,G21)-G23)/Data!F34</f>
        <v>0.2083023022249437</v>
      </c>
      <c r="H28" s="674">
        <f>(SUM(H10,H11,H21)-H23)/Data!G34</f>
        <v>0.19662452778765385</v>
      </c>
      <c r="I28" s="674">
        <f>(SUM(I10,I11,I21)-I23)/Data!H34</f>
        <v>0.20533703719466362</v>
      </c>
      <c r="J28" s="674">
        <f>(SUM(J10,J11,J21)-J23)/Data!I34</f>
        <v>7.622730092111947E-2</v>
      </c>
      <c r="K28" s="674">
        <f>(SUM(K10,K11,K21)-K23)/Data!J34</f>
        <v>0.19499396207571865</v>
      </c>
      <c r="L28" s="35"/>
    </row>
  </sheetData>
  <sheetProtection algorithmName="SHA-512" hashValue="YSryAf08bXmh7zE9KvKmC40iWAY3VXyxHMlndiBMnWeKVWhXsWGH/kmEiKEf1+aCSR+h9Dce6LpVI/IlklRr8A==" saltValue="zYXWBcTUadLIC+1jr3tFYg==" spinCount="100000" sheet="1" objects="1" scenarios="1"/>
  <conditionalFormatting sqref="D6:K6">
    <cfRule type="expression" dxfId="59" priority="24">
      <formula>AND(D$5="Actuals",E$5="Forecast")</formula>
    </cfRule>
  </conditionalFormatting>
  <conditionalFormatting sqref="D5:K5">
    <cfRule type="expression" dxfId="58"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79" zoomScaleNormal="55" workbookViewId="0">
      <pane ySplit="6" topLeftCell="A31" activePane="bottomLeft" state="frozen"/>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4" t="s">
        <v>264</v>
      </c>
      <c r="B1" s="900"/>
      <c r="C1" s="257"/>
      <c r="D1" s="257"/>
      <c r="E1" s="257"/>
      <c r="F1" s="257"/>
      <c r="G1" s="257"/>
      <c r="H1" s="257"/>
      <c r="I1" s="258"/>
      <c r="J1" s="258"/>
      <c r="K1" s="259"/>
      <c r="L1" s="259"/>
      <c r="M1" s="259"/>
      <c r="N1" s="260"/>
    </row>
    <row r="2" spans="1:14" s="31" customFormat="1" ht="20.25">
      <c r="A2" s="893" t="str">
        <f>'RFPR cover'!C5</f>
        <v>NPgY</v>
      </c>
      <c r="B2" s="885"/>
      <c r="C2" s="29"/>
      <c r="D2" s="29"/>
      <c r="E2" s="29"/>
      <c r="F2" s="29"/>
      <c r="G2" s="29"/>
      <c r="H2" s="29"/>
      <c r="I2" s="27"/>
      <c r="J2" s="27"/>
      <c r="K2" s="27"/>
      <c r="L2" s="27"/>
      <c r="M2" s="27"/>
      <c r="N2" s="124"/>
    </row>
    <row r="3" spans="1:14" s="31" customFormat="1" ht="23.25">
      <c r="A3" s="896">
        <f>'RFPR cover'!C7</f>
        <v>2022</v>
      </c>
      <c r="B3" s="902"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2022</v>
      </c>
      <c r="M6" s="282" t="s">
        <v>109</v>
      </c>
    </row>
    <row r="7" spans="1:14" s="2" customFormat="1"/>
    <row r="8" spans="1:14">
      <c r="B8" s="474" t="s">
        <v>301</v>
      </c>
      <c r="C8" s="153" t="s">
        <v>127</v>
      </c>
      <c r="D8" s="343">
        <v>44.345330000000004</v>
      </c>
      <c r="E8" s="380">
        <v>46.886030000000012</v>
      </c>
      <c r="F8" s="380">
        <v>48.444030000000012</v>
      </c>
      <c r="G8" s="380">
        <v>48.768000000000008</v>
      </c>
      <c r="H8" s="380">
        <v>47.71416808</v>
      </c>
      <c r="I8" s="380">
        <v>37.746801839999996</v>
      </c>
      <c r="J8" s="380">
        <v>37.063459160000001</v>
      </c>
      <c r="K8" s="381">
        <v>33.21069043</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-0.96299999999999997</v>
      </c>
      <c r="E17" s="374">
        <v>-0.78500000000000003</v>
      </c>
      <c r="F17" s="374">
        <v>-0.80100000000000005</v>
      </c>
      <c r="G17" s="374">
        <v>-0.81700000000000006</v>
      </c>
      <c r="H17" s="374">
        <v>-0.82099999999999995</v>
      </c>
      <c r="I17" s="374">
        <v>-0.73199999999999998</v>
      </c>
      <c r="J17" s="374">
        <v>-0.77600000000000002</v>
      </c>
      <c r="K17" s="378">
        <v>-0.83800000000000074</v>
      </c>
      <c r="L17" s="35"/>
    </row>
    <row r="18" spans="2:12" ht="12.75" customHeight="1">
      <c r="B18" s="364" t="s">
        <v>18</v>
      </c>
      <c r="C18" s="153" t="s">
        <v>127</v>
      </c>
      <c r="D18" s="342">
        <v>-0.19500000000000001</v>
      </c>
      <c r="E18" s="374">
        <v>-9.1999999999999998E-2</v>
      </c>
      <c r="F18" s="374">
        <v>-9.0999999999999998E-2</v>
      </c>
      <c r="G18" s="374">
        <v>-6.9000000000000006E-2</v>
      </c>
      <c r="H18" s="374">
        <v>-7.8E-2</v>
      </c>
      <c r="I18" s="374">
        <v>-5.1999999999999998E-2</v>
      </c>
      <c r="J18" s="374">
        <v>-5.7000000000000002E-2</v>
      </c>
      <c r="K18" s="378">
        <v>-7.0000000000000007E-2</v>
      </c>
      <c r="L18" s="35"/>
    </row>
    <row r="19" spans="2:12">
      <c r="B19" s="364" t="s">
        <v>575</v>
      </c>
      <c r="C19" s="153" t="s">
        <v>127</v>
      </c>
      <c r="D19" s="342">
        <v>3.3039999999999998</v>
      </c>
      <c r="E19" s="374">
        <v>2.472</v>
      </c>
      <c r="F19" s="374">
        <v>2.0249999999999999</v>
      </c>
      <c r="G19" s="374">
        <v>1.278</v>
      </c>
      <c r="H19" s="374">
        <v>1.599</v>
      </c>
      <c r="I19" s="374">
        <v>1.5760000000000001</v>
      </c>
      <c r="J19" s="374">
        <v>2.2669999999999999</v>
      </c>
      <c r="K19" s="378">
        <v>1.98</v>
      </c>
      <c r="L19" s="35"/>
    </row>
    <row r="20" spans="2:12">
      <c r="B20" s="364" t="s">
        <v>595</v>
      </c>
      <c r="C20" s="153" t="s">
        <v>127</v>
      </c>
      <c r="D20" s="342">
        <v>0</v>
      </c>
      <c r="E20" s="374">
        <v>0</v>
      </c>
      <c r="F20" s="374">
        <v>0</v>
      </c>
      <c r="G20" s="374">
        <v>0</v>
      </c>
      <c r="H20" s="374">
        <v>-0.29316808</v>
      </c>
      <c r="I20" s="374">
        <v>-0.26380184000000001</v>
      </c>
      <c r="J20" s="374">
        <v>-0.24245915999999995</v>
      </c>
      <c r="K20" s="378">
        <v>-0.19269042999999997</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46.491330000000005</v>
      </c>
      <c r="E28" s="144">
        <f t="shared" si="1"/>
        <v>48.481030000000018</v>
      </c>
      <c r="F28" s="144">
        <f t="shared" si="1"/>
        <v>49.577030000000008</v>
      </c>
      <c r="G28" s="144">
        <f t="shared" si="1"/>
        <v>49.160000000000004</v>
      </c>
      <c r="H28" s="144">
        <f t="shared" si="1"/>
        <v>48.120999999999995</v>
      </c>
      <c r="I28" s="144">
        <f t="shared" si="1"/>
        <v>38.274999999999999</v>
      </c>
      <c r="J28" s="144">
        <f t="shared" si="1"/>
        <v>38.254999999999995</v>
      </c>
      <c r="K28" s="145">
        <f t="shared" si="1"/>
        <v>34.089999999999996</v>
      </c>
      <c r="L28" s="35"/>
    </row>
    <row r="29" spans="2:12">
      <c r="B29" s="365" t="s">
        <v>533</v>
      </c>
      <c r="C29" s="153" t="s">
        <v>127</v>
      </c>
      <c r="D29" s="382"/>
      <c r="E29" s="383"/>
      <c r="F29" s="383"/>
      <c r="G29" s="675"/>
      <c r="H29" s="675"/>
      <c r="I29" s="675"/>
      <c r="J29" s="675"/>
      <c r="K29" s="675">
        <v>0.10100000000000001</v>
      </c>
      <c r="L29" s="35"/>
    </row>
    <row r="30" spans="2:12">
      <c r="B30" s="341" t="s">
        <v>302</v>
      </c>
      <c r="C30" s="153" t="s">
        <v>127</v>
      </c>
      <c r="D30" s="143">
        <f>SUM(D28:D29)</f>
        <v>46.491330000000005</v>
      </c>
      <c r="E30" s="144">
        <f t="shared" ref="E30:K30" si="2">SUM(E28:E29)</f>
        <v>48.481030000000018</v>
      </c>
      <c r="F30" s="144">
        <f t="shared" si="2"/>
        <v>49.577030000000008</v>
      </c>
      <c r="G30" s="144">
        <f t="shared" si="2"/>
        <v>49.160000000000004</v>
      </c>
      <c r="H30" s="144">
        <f t="shared" si="2"/>
        <v>48.120999999999995</v>
      </c>
      <c r="I30" s="144">
        <f t="shared" si="2"/>
        <v>38.274999999999999</v>
      </c>
      <c r="J30" s="144">
        <f t="shared" si="2"/>
        <v>38.254999999999995</v>
      </c>
      <c r="K30" s="145">
        <f t="shared" si="2"/>
        <v>34.190999999999995</v>
      </c>
    </row>
    <row r="31" spans="2:12">
      <c r="B31" s="214" t="s">
        <v>21</v>
      </c>
      <c r="C31" s="153" t="s">
        <v>127</v>
      </c>
      <c r="D31" s="580">
        <v>47.188330000000008</v>
      </c>
      <c r="E31" s="581">
        <v>48.984030000000018</v>
      </c>
      <c r="F31" s="581">
        <v>50.21003000000001</v>
      </c>
      <c r="G31" s="581">
        <v>50.341000000000001</v>
      </c>
      <c r="H31" s="581">
        <v>49.69</v>
      </c>
      <c r="I31" s="581">
        <v>38.469000000000001</v>
      </c>
      <c r="J31" s="581">
        <v>38.367000000000004</v>
      </c>
      <c r="K31" s="676">
        <v>34.090000000000003</v>
      </c>
    </row>
    <row r="32" spans="2:12">
      <c r="B32" s="214" t="s">
        <v>469</v>
      </c>
      <c r="C32" s="153" t="s">
        <v>127</v>
      </c>
      <c r="D32" s="584">
        <v>-0.69699999999999984</v>
      </c>
      <c r="E32" s="585">
        <v>-0.503</v>
      </c>
      <c r="F32" s="585">
        <v>-0.63300000000000001</v>
      </c>
      <c r="G32" s="585">
        <v>-1.181</v>
      </c>
      <c r="H32" s="585">
        <v>-1.569</v>
      </c>
      <c r="I32" s="585">
        <v>-0.128</v>
      </c>
      <c r="J32" s="585">
        <v>-0.11199999999999999</v>
      </c>
      <c r="K32" s="677">
        <v>0.10100000000000001</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0">
        <v>0</v>
      </c>
      <c r="E35" s="581">
        <v>0</v>
      </c>
      <c r="F35" s="581">
        <v>0</v>
      </c>
      <c r="G35" s="581">
        <v>0</v>
      </c>
      <c r="H35" s="581">
        <v>0</v>
      </c>
      <c r="I35" s="581">
        <v>0</v>
      </c>
      <c r="J35" s="581">
        <v>0</v>
      </c>
      <c r="K35" s="676">
        <v>0</v>
      </c>
    </row>
    <row r="36" spans="2:14">
      <c r="D36" s="23"/>
      <c r="E36" s="23"/>
      <c r="F36" s="23"/>
      <c r="G36" s="23"/>
      <c r="H36" s="23"/>
      <c r="I36" s="23"/>
      <c r="J36" s="23"/>
      <c r="K36" s="23"/>
    </row>
    <row r="37" spans="2:14">
      <c r="B37" s="214" t="s">
        <v>82</v>
      </c>
      <c r="C37" s="153" t="s">
        <v>127</v>
      </c>
      <c r="D37" s="863">
        <v>8.6493710576305833</v>
      </c>
      <c r="E37" s="863">
        <v>17.807321928975966</v>
      </c>
      <c r="F37" s="863">
        <v>30.792541812583089</v>
      </c>
      <c r="G37" s="863">
        <v>25.352350604565739</v>
      </c>
      <c r="H37" s="863">
        <v>22.65277380801103</v>
      </c>
      <c r="I37" s="863">
        <v>11.455152386785088</v>
      </c>
      <c r="J37" s="863">
        <v>56.986826549339938</v>
      </c>
      <c r="K37" s="863">
        <v>83.030172339373095</v>
      </c>
      <c r="N37" s="321"/>
    </row>
    <row r="38" spans="2:14" s="31" customFormat="1">
      <c r="B38" s="213"/>
      <c r="C38" s="817"/>
      <c r="D38" s="819"/>
      <c r="E38" s="819"/>
      <c r="F38" s="819"/>
      <c r="G38" s="819"/>
      <c r="H38" s="819"/>
      <c r="I38" s="819"/>
      <c r="J38" s="819"/>
      <c r="K38" s="819"/>
      <c r="L38"/>
      <c r="M38"/>
      <c r="N38" s="818"/>
    </row>
    <row r="39" spans="2:14">
      <c r="B39" s="214" t="s">
        <v>483</v>
      </c>
      <c r="C39" s="153" t="s">
        <v>127</v>
      </c>
      <c r="D39" s="103">
        <f t="shared" ref="D39:K39" si="3">D30-D37</f>
        <v>37.841958942369423</v>
      </c>
      <c r="E39" s="103">
        <f t="shared" si="3"/>
        <v>30.673708071024052</v>
      </c>
      <c r="F39" s="103">
        <f t="shared" si="3"/>
        <v>18.784488187416919</v>
      </c>
      <c r="G39" s="103">
        <f t="shared" si="3"/>
        <v>23.807649395434265</v>
      </c>
      <c r="H39" s="103">
        <f t="shared" si="3"/>
        <v>25.468226191988965</v>
      </c>
      <c r="I39" s="103">
        <f t="shared" si="3"/>
        <v>26.819847613214911</v>
      </c>
      <c r="J39" s="103">
        <f t="shared" si="3"/>
        <v>-18.731826549339942</v>
      </c>
      <c r="K39" s="103">
        <f t="shared" si="3"/>
        <v>-48.8391723393731</v>
      </c>
    </row>
    <row r="40" spans="2:14">
      <c r="B40" s="214"/>
      <c r="C40" s="153"/>
      <c r="D40" s="153"/>
      <c r="E40" s="153"/>
      <c r="F40" s="153"/>
      <c r="G40" s="153"/>
      <c r="H40" s="153"/>
      <c r="I40" s="153"/>
      <c r="J40" s="153"/>
      <c r="K40" s="153"/>
      <c r="L40" s="153"/>
      <c r="N40" s="321"/>
    </row>
    <row r="41" spans="2:14">
      <c r="B41" s="840" t="s">
        <v>376</v>
      </c>
      <c r="C41" s="153" t="s">
        <v>126</v>
      </c>
      <c r="D41" s="498">
        <f>Data!C34</f>
        <v>1.0603167467048125</v>
      </c>
      <c r="E41" s="498">
        <f>Data!D34</f>
        <v>1.0830366813119445</v>
      </c>
      <c r="F41" s="498">
        <f>Data!E34</f>
        <v>1.1235639113109226</v>
      </c>
      <c r="G41" s="498">
        <f>Data!F34</f>
        <v>1.1578951670583426</v>
      </c>
      <c r="H41" s="498">
        <f>Data!G34</f>
        <v>1.1878696229692449</v>
      </c>
      <c r="I41" s="498">
        <f>Data!H34</f>
        <v>1.2022764892203943</v>
      </c>
      <c r="J41" s="498">
        <f>Data!I34</f>
        <v>1.2717196280780627</v>
      </c>
      <c r="K41" s="498">
        <f>Data!J34</f>
        <v>1.3772723572085417</v>
      </c>
      <c r="L41" s="153"/>
      <c r="N41" s="321"/>
    </row>
    <row r="42" spans="2:14">
      <c r="L42" s="156"/>
      <c r="M42" s="156"/>
      <c r="N42" s="156"/>
    </row>
    <row r="43" spans="2:14">
      <c r="B43" s="828" t="s">
        <v>432</v>
      </c>
      <c r="C43" s="157" t="str">
        <f>'RFPR cover'!$C$14</f>
        <v>£m 12/13</v>
      </c>
      <c r="D43" s="146">
        <f t="shared" ref="D43:K43" si="4">D39/D41</f>
        <v>35.689296674764734</v>
      </c>
      <c r="E43" s="147">
        <f t="shared" si="4"/>
        <v>28.321947539087251</v>
      </c>
      <c r="F43" s="147">
        <f t="shared" si="4"/>
        <v>16.718664597815398</v>
      </c>
      <c r="G43" s="147">
        <f t="shared" si="4"/>
        <v>20.561144111101271</v>
      </c>
      <c r="H43" s="147">
        <f t="shared" si="4"/>
        <v>21.440253795132499</v>
      </c>
      <c r="I43" s="147">
        <f t="shared" si="4"/>
        <v>22.307553922647198</v>
      </c>
      <c r="J43" s="147">
        <f t="shared" si="4"/>
        <v>-14.729525388901299</v>
      </c>
      <c r="K43" s="148">
        <f t="shared" si="4"/>
        <v>-35.460794724988475</v>
      </c>
      <c r="L43" s="683">
        <f>SUM(D43:INDEX(D43:K43,0,MATCH('RFPR cover'!$C$7,$D$6:$K$6,0)))</f>
        <v>130.30933525164704</v>
      </c>
      <c r="M43" s="684">
        <f>SUM(D43:K43)</f>
        <v>94.848540526658567</v>
      </c>
    </row>
    <row r="44" spans="2:14">
      <c r="B44" s="214"/>
      <c r="C44" s="66"/>
      <c r="D44" s="800"/>
      <c r="E44" s="800"/>
      <c r="F44" s="800"/>
      <c r="G44" s="800"/>
      <c r="H44" s="800"/>
      <c r="I44" s="800"/>
      <c r="J44" s="800"/>
      <c r="K44" s="800"/>
      <c r="L44" s="823"/>
      <c r="M44" s="823"/>
    </row>
    <row r="45" spans="2:14">
      <c r="B45" s="828" t="s">
        <v>520</v>
      </c>
      <c r="C45" s="153"/>
      <c r="D45" s="800"/>
      <c r="E45" s="800"/>
      <c r="F45" s="800"/>
      <c r="G45" s="800"/>
      <c r="H45" s="800"/>
      <c r="I45" s="800"/>
      <c r="J45" s="800"/>
      <c r="K45" s="800"/>
      <c r="L45" s="823"/>
      <c r="M45" s="823"/>
    </row>
    <row r="46" spans="2:14">
      <c r="B46" s="364" t="s">
        <v>504</v>
      </c>
      <c r="C46" s="153" t="s">
        <v>127</v>
      </c>
      <c r="D46" s="862">
        <v>0.96299999999999997</v>
      </c>
      <c r="E46" s="862">
        <v>0.78500000000000003</v>
      </c>
      <c r="F46" s="862">
        <v>0.80100000000000005</v>
      </c>
      <c r="G46" s="862">
        <v>0.81700000000000006</v>
      </c>
      <c r="H46" s="862">
        <v>0.82099999999999995</v>
      </c>
      <c r="I46" s="862">
        <v>0.73199999999999998</v>
      </c>
      <c r="J46" s="862">
        <v>0.77600000000000002</v>
      </c>
      <c r="K46" s="862">
        <v>0.83800000000000074</v>
      </c>
      <c r="L46" s="683">
        <f>SUM(D46:INDEX(D46:K46,0,MATCH('RFPR cover'!$C$7,$D$6:$K$6,0)))</f>
        <v>5.6950000000000003</v>
      </c>
      <c r="M46" s="683">
        <f>SUM(D46:K46)</f>
        <v>6.5330000000000013</v>
      </c>
    </row>
    <row r="47" spans="2:14">
      <c r="B47" s="364" t="s">
        <v>534</v>
      </c>
      <c r="C47" s="153" t="s">
        <v>127</v>
      </c>
      <c r="D47" s="382"/>
      <c r="E47" s="383"/>
      <c r="F47" s="383"/>
      <c r="G47" s="675"/>
      <c r="H47" s="675"/>
      <c r="I47" s="675">
        <v>0</v>
      </c>
      <c r="J47" s="675"/>
      <c r="K47" s="675">
        <v>0</v>
      </c>
      <c r="L47" s="683">
        <f>SUM(D47:INDEX(D47:K47,0,MATCH('RFPR cover'!$C$7,$D$6:$K$6,0)))</f>
        <v>0</v>
      </c>
      <c r="M47" s="683">
        <f>SUM(D47:K47)</f>
        <v>0</v>
      </c>
    </row>
    <row r="48" spans="2:14">
      <c r="B48" s="364" t="s">
        <v>523</v>
      </c>
      <c r="C48" s="153" t="s">
        <v>127</v>
      </c>
      <c r="D48" s="862">
        <v>0</v>
      </c>
      <c r="E48" s="862">
        <v>0</v>
      </c>
      <c r="F48" s="862">
        <v>0</v>
      </c>
      <c r="G48" s="862">
        <v>0</v>
      </c>
      <c r="H48" s="862">
        <v>0</v>
      </c>
      <c r="I48" s="862">
        <v>0</v>
      </c>
      <c r="J48" s="862">
        <v>0</v>
      </c>
      <c r="K48" s="862">
        <v>0</v>
      </c>
      <c r="L48" s="683">
        <f>SUM(D48:INDEX(D48:K48,0,MATCH('RFPR cover'!$C$7,$D$6:$K$6,0)))</f>
        <v>0</v>
      </c>
      <c r="M48" s="683">
        <f t="shared" ref="M48:M55" si="5">SUM(D48:K48)</f>
        <v>0</v>
      </c>
    </row>
    <row r="49" spans="1:14">
      <c r="B49" s="364" t="s">
        <v>524</v>
      </c>
      <c r="C49" s="153" t="s">
        <v>127</v>
      </c>
      <c r="D49" s="862">
        <v>0</v>
      </c>
      <c r="E49" s="862">
        <v>0</v>
      </c>
      <c r="F49" s="862">
        <v>0</v>
      </c>
      <c r="G49" s="862">
        <v>0</v>
      </c>
      <c r="H49" s="862">
        <v>0</v>
      </c>
      <c r="I49" s="862">
        <v>0</v>
      </c>
      <c r="J49" s="862">
        <v>0</v>
      </c>
      <c r="K49" s="862">
        <v>0</v>
      </c>
      <c r="L49" s="683">
        <f>SUM(D49:INDEX(D49:K49,0,MATCH('RFPR cover'!$C$7,$D$6:$K$6,0)))</f>
        <v>0</v>
      </c>
      <c r="M49" s="683">
        <f t="shared" si="5"/>
        <v>0</v>
      </c>
    </row>
    <row r="50" spans="1:14">
      <c r="B50" s="364" t="s">
        <v>505</v>
      </c>
      <c r="C50" s="153" t="s">
        <v>127</v>
      </c>
      <c r="D50" s="862">
        <v>0</v>
      </c>
      <c r="E50" s="862">
        <v>0</v>
      </c>
      <c r="F50" s="862">
        <v>0</v>
      </c>
      <c r="G50" s="862">
        <v>0</v>
      </c>
      <c r="H50" s="862">
        <v>0</v>
      </c>
      <c r="I50" s="862">
        <v>0</v>
      </c>
      <c r="J50" s="862">
        <v>0</v>
      </c>
      <c r="K50" s="862">
        <v>0</v>
      </c>
      <c r="L50" s="683">
        <f>SUM(D50:INDEX(D50:K50,0,MATCH('RFPR cover'!$C$7,$D$6:$K$6,0)))</f>
        <v>0</v>
      </c>
      <c r="M50" s="683">
        <f t="shared" si="5"/>
        <v>0</v>
      </c>
    </row>
    <row r="51" spans="1:14">
      <c r="B51" s="364" t="s">
        <v>505</v>
      </c>
      <c r="C51" s="153" t="s">
        <v>127</v>
      </c>
      <c r="D51" s="862">
        <v>0</v>
      </c>
      <c r="E51" s="862">
        <v>0</v>
      </c>
      <c r="F51" s="862">
        <v>0</v>
      </c>
      <c r="G51" s="862">
        <v>0</v>
      </c>
      <c r="H51" s="862">
        <v>0</v>
      </c>
      <c r="I51" s="862">
        <v>0</v>
      </c>
      <c r="J51" s="862">
        <v>0</v>
      </c>
      <c r="K51" s="862">
        <v>0</v>
      </c>
      <c r="L51" s="683">
        <f>SUM(D51:INDEX(D51:K51,0,MATCH('RFPR cover'!$C$7,$D$6:$K$6,0)))</f>
        <v>0</v>
      </c>
      <c r="M51" s="683">
        <f t="shared" si="5"/>
        <v>0</v>
      </c>
    </row>
    <row r="52" spans="1:14">
      <c r="B52" s="364" t="s">
        <v>505</v>
      </c>
      <c r="C52" s="153" t="s">
        <v>127</v>
      </c>
      <c r="D52" s="862">
        <v>0</v>
      </c>
      <c r="E52" s="862">
        <v>0</v>
      </c>
      <c r="F52" s="862">
        <v>0</v>
      </c>
      <c r="G52" s="862">
        <v>0</v>
      </c>
      <c r="H52" s="862">
        <v>0</v>
      </c>
      <c r="I52" s="862">
        <v>0</v>
      </c>
      <c r="J52" s="862">
        <v>0</v>
      </c>
      <c r="K52" s="862">
        <v>0</v>
      </c>
      <c r="L52" s="683">
        <f>SUM(D52:INDEX(D52:K52,0,MATCH('RFPR cover'!$C$7,$D$6:$K$6,0)))</f>
        <v>0</v>
      </c>
      <c r="M52" s="683">
        <f t="shared" si="5"/>
        <v>0</v>
      </c>
    </row>
    <row r="53" spans="1:14">
      <c r="B53" s="364" t="s">
        <v>505</v>
      </c>
      <c r="C53" s="153" t="s">
        <v>127</v>
      </c>
      <c r="D53" s="862">
        <v>0</v>
      </c>
      <c r="E53" s="862">
        <v>0</v>
      </c>
      <c r="F53" s="862">
        <v>0</v>
      </c>
      <c r="G53" s="862">
        <v>0</v>
      </c>
      <c r="H53" s="862">
        <v>0</v>
      </c>
      <c r="I53" s="862">
        <v>0</v>
      </c>
      <c r="J53" s="862">
        <v>0</v>
      </c>
      <c r="K53" s="862">
        <v>0</v>
      </c>
      <c r="L53" s="683">
        <f>SUM(D53:INDEX(D53:K53,0,MATCH('RFPR cover'!$C$7,$D$6:$K$6,0)))</f>
        <v>0</v>
      </c>
      <c r="M53" s="683">
        <f t="shared" si="5"/>
        <v>0</v>
      </c>
    </row>
    <row r="54" spans="1:14" s="850" customFormat="1">
      <c r="B54" s="849"/>
      <c r="C54" s="851"/>
      <c r="D54" s="852"/>
      <c r="E54" s="852"/>
      <c r="F54" s="852"/>
      <c r="G54" s="852"/>
      <c r="H54" s="852"/>
      <c r="I54" s="852"/>
      <c r="J54" s="852"/>
      <c r="K54" s="852"/>
      <c r="L54" s="853"/>
      <c r="M54" s="853"/>
    </row>
    <row r="55" spans="1:14">
      <c r="B55" s="844" t="s">
        <v>521</v>
      </c>
      <c r="C55" s="236" t="s">
        <v>127</v>
      </c>
      <c r="D55" s="146">
        <f>SUM(D46:D53)</f>
        <v>0.96299999999999997</v>
      </c>
      <c r="E55" s="146">
        <f t="shared" ref="E55:K55" si="6">SUM(E46:E53)</f>
        <v>0.78500000000000003</v>
      </c>
      <c r="F55" s="146">
        <f t="shared" si="6"/>
        <v>0.80100000000000005</v>
      </c>
      <c r="G55" s="146">
        <f t="shared" si="6"/>
        <v>0.81700000000000006</v>
      </c>
      <c r="H55" s="146">
        <f t="shared" si="6"/>
        <v>0.82099999999999995</v>
      </c>
      <c r="I55" s="146">
        <f t="shared" si="6"/>
        <v>0.73199999999999998</v>
      </c>
      <c r="J55" s="146">
        <f t="shared" si="6"/>
        <v>0.77600000000000002</v>
      </c>
      <c r="K55" s="146">
        <f t="shared" si="6"/>
        <v>0.83800000000000074</v>
      </c>
      <c r="L55" s="683">
        <f>SUM(D55:INDEX(D55:K55,0,MATCH('RFPR cover'!$C$7,$D$6:$K$6,0)))</f>
        <v>5.6950000000000003</v>
      </c>
      <c r="M55" s="684">
        <f t="shared" si="5"/>
        <v>6.5330000000000013</v>
      </c>
    </row>
    <row r="56" spans="1:14">
      <c r="B56" s="844" t="s">
        <v>521</v>
      </c>
      <c r="C56" s="157" t="str">
        <f>'RFPR cover'!$C$14</f>
        <v>£m 12/13</v>
      </c>
      <c r="D56" s="146">
        <f>D55/D41</f>
        <v>0.90821917412202768</v>
      </c>
      <c r="E56" s="146">
        <f t="shared" ref="E56:K56" si="7">E55/E41</f>
        <v>0.72481386230527711</v>
      </c>
      <c r="F56" s="146">
        <f t="shared" si="7"/>
        <v>0.71291004627002497</v>
      </c>
      <c r="G56" s="146">
        <f t="shared" si="7"/>
        <v>0.70559064692843132</v>
      </c>
      <c r="H56" s="146">
        <f t="shared" si="7"/>
        <v>0.69115329167842221</v>
      </c>
      <c r="I56" s="146">
        <f t="shared" si="7"/>
        <v>0.60884497581305863</v>
      </c>
      <c r="J56" s="146">
        <f t="shared" si="7"/>
        <v>0.61019739167882558</v>
      </c>
      <c r="K56" s="146">
        <f t="shared" si="7"/>
        <v>0.60844900837076321</v>
      </c>
      <c r="L56" s="683">
        <f>SUM(D56:INDEX(D56:K56,0,MATCH('RFPR cover'!$C$7,$D$6:$K$6,0)))</f>
        <v>4.9617293887960674</v>
      </c>
      <c r="M56" s="684">
        <f>SUM(D56:K56)</f>
        <v>5.5701783971668304</v>
      </c>
    </row>
    <row r="57" spans="1:14">
      <c r="B57" s="214"/>
      <c r="C57" s="66"/>
      <c r="D57" s="800"/>
      <c r="E57" s="800"/>
      <c r="F57" s="800"/>
      <c r="G57" s="800"/>
      <c r="H57" s="800"/>
      <c r="I57" s="800"/>
      <c r="J57" s="800"/>
      <c r="K57" s="800"/>
      <c r="L57" s="823"/>
      <c r="M57" s="823"/>
    </row>
    <row r="58" spans="1:14" s="2" customFormat="1">
      <c r="A58" s="1"/>
    </row>
    <row r="59" spans="1:14" s="2" customFormat="1">
      <c r="A59" s="1"/>
      <c r="B59" s="824"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71">
        <f>'RFPR cover'!$C$12</f>
        <v>0.65</v>
      </c>
      <c r="E62" s="872">
        <f>'RFPR cover'!$C$12</f>
        <v>0.65</v>
      </c>
      <c r="F62" s="872">
        <f>'RFPR cover'!$C$12</f>
        <v>0.65</v>
      </c>
      <c r="G62" s="872">
        <f>'RFPR cover'!$C$12</f>
        <v>0.65</v>
      </c>
      <c r="H62" s="872">
        <f>'RFPR cover'!$C$12</f>
        <v>0.65</v>
      </c>
      <c r="I62" s="872">
        <f>'RFPR cover'!$C$12</f>
        <v>0.65</v>
      </c>
      <c r="J62" s="872">
        <f>'RFPR cover'!$C$12</f>
        <v>0.65</v>
      </c>
      <c r="K62" s="873">
        <f>'RFPR cover'!$C$12</f>
        <v>0.65</v>
      </c>
      <c r="N62" s="818"/>
    </row>
    <row r="63" spans="1:14" s="31" customFormat="1">
      <c r="B63" s="214" t="s">
        <v>405</v>
      </c>
      <c r="C63" s="156" t="s">
        <v>7</v>
      </c>
      <c r="D63" s="872">
        <f>'R8 - Net Debt'!D64</f>
        <v>0.50794083324969319</v>
      </c>
      <c r="E63" s="872">
        <f>'R8 - Net Debt'!E64</f>
        <v>0.49891916750552673</v>
      </c>
      <c r="F63" s="872">
        <f>'R8 - Net Debt'!F64</f>
        <v>0.4760837137079168</v>
      </c>
      <c r="G63" s="872">
        <f>'R8 - Net Debt'!G64</f>
        <v>0.46573377054982462</v>
      </c>
      <c r="H63" s="872">
        <f>'R8 - Net Debt'!H64</f>
        <v>0.47128119606880492</v>
      </c>
      <c r="I63" s="872">
        <f>'R8 - Net Debt'!I64</f>
        <v>0.48675893877586307</v>
      </c>
      <c r="J63" s="872">
        <f>'R8 - Net Debt'!J64</f>
        <v>0.47137112080218813</v>
      </c>
      <c r="K63" s="873">
        <f>'R8 - Net Debt'!K64</f>
        <v>0.43056828314955425</v>
      </c>
      <c r="N63" s="818"/>
    </row>
    <row r="64" spans="1:14" s="31" customFormat="1">
      <c r="B64" s="214"/>
      <c r="C64" s="156"/>
      <c r="D64" s="156"/>
      <c r="E64" s="156"/>
      <c r="F64" s="156"/>
      <c r="G64" s="156"/>
      <c r="H64" s="156"/>
      <c r="I64" s="156"/>
      <c r="J64" s="156"/>
      <c r="K64" s="156"/>
      <c r="N64" s="818"/>
    </row>
    <row r="65" spans="2:15">
      <c r="B65" s="214" t="s">
        <v>432</v>
      </c>
      <c r="C65" s="153" t="s">
        <v>127</v>
      </c>
      <c r="D65" s="96">
        <f t="shared" ref="D65:K65" si="8">D39</f>
        <v>37.841958942369423</v>
      </c>
      <c r="E65" s="97">
        <f t="shared" si="8"/>
        <v>30.673708071024052</v>
      </c>
      <c r="F65" s="97">
        <f t="shared" si="8"/>
        <v>18.784488187416919</v>
      </c>
      <c r="G65" s="97">
        <f t="shared" si="8"/>
        <v>23.807649395434265</v>
      </c>
      <c r="H65" s="97">
        <f t="shared" si="8"/>
        <v>25.468226191988965</v>
      </c>
      <c r="I65" s="97">
        <f t="shared" si="8"/>
        <v>26.819847613214911</v>
      </c>
      <c r="J65" s="97">
        <f t="shared" si="8"/>
        <v>-18.731826549339942</v>
      </c>
      <c r="K65" s="98">
        <f t="shared" si="8"/>
        <v>-48.8391723393731</v>
      </c>
      <c r="L65" s="31"/>
      <c r="M65" s="31"/>
    </row>
    <row r="66" spans="2:15" s="31" customFormat="1">
      <c r="B66" s="214" t="s">
        <v>450</v>
      </c>
      <c r="C66" s="153" t="s">
        <v>127</v>
      </c>
      <c r="D66" s="96">
        <f>((D62-D63)/D63)*D65</f>
        <v>10.583510526529556</v>
      </c>
      <c r="E66" s="96">
        <f t="shared" ref="E66:K66" si="9">((E62-E63)/E63)*E65</f>
        <v>9.2884973215855116</v>
      </c>
      <c r="F66" s="96">
        <f t="shared" si="9"/>
        <v>6.8620881819480957</v>
      </c>
      <c r="G66" s="96">
        <f t="shared" si="9"/>
        <v>9.4194281445156669</v>
      </c>
      <c r="H66" s="96">
        <f t="shared" si="9"/>
        <v>9.6580363512251886</v>
      </c>
      <c r="I66" s="96">
        <f t="shared" si="9"/>
        <v>8.9943913454598388</v>
      </c>
      <c r="J66" s="96">
        <f t="shared" si="9"/>
        <v>-7.0985366607569178</v>
      </c>
      <c r="K66" s="96">
        <f t="shared" si="9"/>
        <v>-24.890043822064406</v>
      </c>
      <c r="N66" s="818"/>
    </row>
    <row r="67" spans="2:15">
      <c r="B67" s="214" t="s">
        <v>449</v>
      </c>
      <c r="C67" s="153" t="s">
        <v>127</v>
      </c>
      <c r="D67" s="103">
        <f>SUM(D65:D66)</f>
        <v>48.425469468898982</v>
      </c>
      <c r="E67" s="104">
        <f t="shared" ref="E67:K67" si="10">SUM(E65:E66)</f>
        <v>39.962205392609562</v>
      </c>
      <c r="F67" s="104">
        <f t="shared" si="10"/>
        <v>25.646576369365015</v>
      </c>
      <c r="G67" s="104">
        <f t="shared" si="10"/>
        <v>33.227077539949931</v>
      </c>
      <c r="H67" s="104">
        <f t="shared" si="10"/>
        <v>35.126262543214153</v>
      </c>
      <c r="I67" s="104">
        <f t="shared" si="10"/>
        <v>35.81423895867475</v>
      </c>
      <c r="J67" s="104">
        <f t="shared" si="10"/>
        <v>-25.830363210096859</v>
      </c>
      <c r="K67" s="105">
        <f t="shared" si="10"/>
        <v>-73.729216161437506</v>
      </c>
      <c r="L67" s="31"/>
      <c r="M67" s="31"/>
    </row>
    <row r="68" spans="2:15">
      <c r="B68" s="214"/>
      <c r="C68" s="153"/>
      <c r="D68" s="153"/>
      <c r="E68" s="153"/>
      <c r="F68" s="153"/>
      <c r="G68" s="153"/>
      <c r="H68" s="153"/>
      <c r="I68" s="153"/>
      <c r="J68" s="153"/>
      <c r="K68" s="153"/>
      <c r="L68" s="153"/>
      <c r="M68" s="153"/>
      <c r="N68" s="153"/>
      <c r="O68" s="153"/>
    </row>
    <row r="69" spans="2:15">
      <c r="B69" s="828" t="s">
        <v>449</v>
      </c>
      <c r="C69" s="157" t="str">
        <f>'RFPR cover'!$C$14</f>
        <v>£m 12/13</v>
      </c>
      <c r="D69" s="146">
        <f t="shared" ref="D69:K69" si="11">D67/D41</f>
        <v>45.670757930960434</v>
      </c>
      <c r="E69" s="147">
        <f t="shared" si="11"/>
        <v>36.898293550132621</v>
      </c>
      <c r="F69" s="147">
        <f t="shared" si="11"/>
        <v>22.82609481417196</v>
      </c>
      <c r="G69" s="147">
        <f t="shared" si="11"/>
        <v>28.696101758818141</v>
      </c>
      <c r="H69" s="147">
        <f t="shared" si="11"/>
        <v>29.570806310722205</v>
      </c>
      <c r="I69" s="147">
        <f t="shared" si="11"/>
        <v>29.788687776717801</v>
      </c>
      <c r="J69" s="147">
        <f t="shared" si="11"/>
        <v>-20.311366310461082</v>
      </c>
      <c r="K69" s="148">
        <f t="shared" si="11"/>
        <v>-53.532778593532527</v>
      </c>
      <c r="L69" s="683">
        <f>SUM(D69:INDEX(D69:K69,0,MATCH('RFPR cover'!$C$7,$D$6:$K$6,0)))</f>
        <v>173.13937583106213</v>
      </c>
      <c r="M69" s="684">
        <f>SUM(D69:K69)</f>
        <v>119.6065972375296</v>
      </c>
    </row>
    <row r="70" spans="2:15">
      <c r="B70" s="366" t="s">
        <v>522</v>
      </c>
      <c r="C70" s="160" t="str">
        <f>'RFPR cover'!$C$14</f>
        <v>£m 12/13</v>
      </c>
      <c r="D70" s="96">
        <f>D56*((D62-D63)/D63)+D56</f>
        <v>1.1622268274878342</v>
      </c>
      <c r="E70" s="96">
        <f t="shared" ref="E70:K70" si="12">E56*((E62-E63)/E63)+E56</f>
        <v>0.94429927968885108</v>
      </c>
      <c r="F70" s="96">
        <f t="shared" si="12"/>
        <v>0.97334043726564579</v>
      </c>
      <c r="G70" s="96">
        <f t="shared" si="12"/>
        <v>0.98475556101941564</v>
      </c>
      <c r="H70" s="96">
        <f t="shared" si="12"/>
        <v>0.95325178118370335</v>
      </c>
      <c r="I70" s="96">
        <f t="shared" si="12"/>
        <v>0.81302920758629971</v>
      </c>
      <c r="J70" s="96">
        <f t="shared" si="12"/>
        <v>0.84143530879924766</v>
      </c>
      <c r="K70" s="96">
        <f t="shared" si="12"/>
        <v>0.91853457609097822</v>
      </c>
      <c r="L70" s="679">
        <f>SUM(D70:INDEX(D70:K70,0,MATCH('RFPR cover'!$C$7,$D$6:$K$6,0)))</f>
        <v>6.6723384030309969</v>
      </c>
      <c r="M70" s="680">
        <f>SUM(D70:K70)</f>
        <v>7.5908729791219756</v>
      </c>
      <c r="N70" s="156"/>
    </row>
    <row r="72" spans="2:15">
      <c r="B72" s="820" t="s">
        <v>315</v>
      </c>
      <c r="C72" s="821"/>
      <c r="D72" s="821"/>
      <c r="E72" s="821"/>
      <c r="F72" s="821"/>
      <c r="G72" s="821"/>
      <c r="H72" s="821"/>
      <c r="I72" s="821"/>
      <c r="J72" s="821"/>
      <c r="K72" s="821"/>
      <c r="L72" s="821"/>
      <c r="M72" s="821"/>
      <c r="N72" s="821"/>
      <c r="O72" s="156"/>
    </row>
    <row r="73" spans="2:15" s="31" customFormat="1">
      <c r="B73" s="822"/>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1">
        <v>24.517735038700998</v>
      </c>
      <c r="E79" s="591">
        <v>23.704794041151647</v>
      </c>
      <c r="F79" s="591">
        <v>22.677763997512582</v>
      </c>
      <c r="G79" s="591">
        <v>20.936834230559796</v>
      </c>
      <c r="H79" s="591">
        <v>19.708220450545937</v>
      </c>
      <c r="I79" s="591">
        <v>18.320924474169246</v>
      </c>
      <c r="J79" s="880">
        <v>16.846592400745212</v>
      </c>
      <c r="K79" s="883">
        <v>15.127362761166728</v>
      </c>
      <c r="L79" s="881"/>
      <c r="M79" s="881"/>
      <c r="O79" s="66"/>
    </row>
    <row r="80" spans="2:15">
      <c r="B80" s="366" t="s">
        <v>314</v>
      </c>
      <c r="C80" s="156" t="str">
        <f>'RFPR cover'!$C$14</f>
        <v>£m 12/13</v>
      </c>
      <c r="D80" s="681">
        <f>'R9 - RAV'!D49</f>
        <v>24.517735038700994</v>
      </c>
      <c r="E80" s="682">
        <f>'R9 - RAV'!E49</f>
        <v>23.704794041151647</v>
      </c>
      <c r="F80" s="682">
        <f>'R9 - RAV'!F49</f>
        <v>22.677763997512582</v>
      </c>
      <c r="G80" s="682">
        <f>'R9 - RAV'!G49</f>
        <v>20.936834230559796</v>
      </c>
      <c r="H80" s="682">
        <f>'R9 - RAV'!H49</f>
        <v>19.708220450545937</v>
      </c>
      <c r="I80" s="682">
        <f>'R9 - RAV'!I49</f>
        <v>18.320924474169246</v>
      </c>
      <c r="J80" s="682">
        <f>'R9 - RAV'!J49</f>
        <v>16.902039782514439</v>
      </c>
      <c r="K80" s="882">
        <f>'R9 - RAV'!K49</f>
        <v>15.289534664051139</v>
      </c>
      <c r="L80" s="884">
        <f>SUM(D80:INDEX(D80:K80,0,MATCH('RFPR cover'!$C$7,$D$6:$K$6,0)))</f>
        <v>146.76831201515463</v>
      </c>
      <c r="M80" s="884">
        <f>SUM(D80:K80)</f>
        <v>162.05784667920577</v>
      </c>
      <c r="O80" s="66"/>
    </row>
    <row r="81" spans="2:15" s="31" customFormat="1">
      <c r="B81" s="825"/>
      <c r="C81" s="66"/>
      <c r="D81" s="826"/>
      <c r="E81" s="826"/>
      <c r="F81" s="826"/>
      <c r="G81" s="826"/>
      <c r="H81" s="826"/>
      <c r="I81" s="826"/>
      <c r="J81" s="826"/>
      <c r="K81" s="826"/>
      <c r="L81" s="823"/>
      <c r="M81" s="823"/>
      <c r="O81" s="66"/>
    </row>
    <row r="82" spans="2:15" s="31" customFormat="1">
      <c r="B82" s="825"/>
      <c r="C82" s="66"/>
      <c r="D82" s="826"/>
      <c r="E82" s="827"/>
      <c r="F82" s="827"/>
      <c r="G82" s="827"/>
      <c r="H82" s="827"/>
      <c r="I82" s="827"/>
      <c r="J82" s="827"/>
      <c r="K82" s="827"/>
      <c r="L82" s="823"/>
      <c r="M82" s="823"/>
      <c r="O82" s="66"/>
    </row>
    <row r="83" spans="2:15">
      <c r="B83" s="829" t="s">
        <v>433</v>
      </c>
      <c r="C83" s="821"/>
      <c r="D83" s="821"/>
      <c r="E83" s="821"/>
      <c r="F83" s="821"/>
      <c r="G83" s="821"/>
      <c r="H83" s="821"/>
      <c r="I83" s="821"/>
      <c r="J83" s="821"/>
      <c r="K83" s="821"/>
      <c r="L83" s="821"/>
      <c r="M83" s="821"/>
      <c r="N83" s="821"/>
    </row>
    <row r="84" spans="2:15">
      <c r="B84" s="366"/>
      <c r="C84" s="156"/>
      <c r="D84" s="156"/>
      <c r="E84" s="156"/>
      <c r="F84" s="156"/>
      <c r="G84" s="156"/>
      <c r="H84" s="156"/>
      <c r="I84" s="156"/>
      <c r="J84" s="156"/>
      <c r="K84" s="156"/>
      <c r="L84" s="156"/>
      <c r="M84" s="156"/>
      <c r="N84" s="156"/>
    </row>
    <row r="85" spans="2:15">
      <c r="B85" s="841" t="s">
        <v>484</v>
      </c>
      <c r="C85" s="156"/>
      <c r="D85" s="156"/>
      <c r="E85" s="156"/>
      <c r="F85" s="156"/>
      <c r="G85" s="156"/>
      <c r="H85" s="156"/>
      <c r="I85" s="156"/>
      <c r="J85" s="156"/>
      <c r="K85" s="156"/>
      <c r="L85" s="156"/>
      <c r="M85" s="156"/>
      <c r="N85" s="156"/>
    </row>
    <row r="86" spans="2:15">
      <c r="B86" s="214" t="s">
        <v>485</v>
      </c>
      <c r="C86" s="156" t="str">
        <f>'RFPR cover'!$C$14</f>
        <v>£m 12/13</v>
      </c>
      <c r="D86" s="146">
        <f>D80-D43-D56</f>
        <v>-12.079780810185767</v>
      </c>
      <c r="E86" s="146">
        <f t="shared" ref="E86:K86" si="13">E80-E43-E56</f>
        <v>-5.341967360240881</v>
      </c>
      <c r="F86" s="146">
        <f t="shared" si="13"/>
        <v>5.2461893534271589</v>
      </c>
      <c r="G86" s="146">
        <f t="shared" si="13"/>
        <v>-0.32990052746990595</v>
      </c>
      <c r="H86" s="146">
        <f t="shared" si="13"/>
        <v>-2.4231866362649837</v>
      </c>
      <c r="I86" s="146">
        <f t="shared" si="13"/>
        <v>-4.5954744242910106</v>
      </c>
      <c r="J86" s="146">
        <f t="shared" si="13"/>
        <v>31.021367779736913</v>
      </c>
      <c r="K86" s="146">
        <f t="shared" si="13"/>
        <v>50.141880380668852</v>
      </c>
      <c r="L86" s="683">
        <f>SUM(D86:INDEX(D86:K86,0,MATCH('RFPR cover'!$C$7,$D$6:$K$6,0)))</f>
        <v>11.497247374711527</v>
      </c>
      <c r="M86" s="684">
        <f>SUM(D86:K86)</f>
        <v>61.639127755380379</v>
      </c>
    </row>
    <row r="87" spans="2:15">
      <c r="B87" s="214"/>
    </row>
    <row r="88" spans="2:15">
      <c r="B88" s="214" t="s">
        <v>486</v>
      </c>
      <c r="C88" s="156" t="str">
        <f>'RFPR cover'!$C$14</f>
        <v>£m 12/13</v>
      </c>
      <c r="D88" s="146">
        <f>D80-D69-D70</f>
        <v>-22.315249719747275</v>
      </c>
      <c r="E88" s="146">
        <f t="shared" ref="E88:K88" si="14">E80-E69-E70</f>
        <v>-14.137798788669825</v>
      </c>
      <c r="F88" s="146">
        <f t="shared" si="14"/>
        <v>-1.1216712539250238</v>
      </c>
      <c r="G88" s="146">
        <f t="shared" si="14"/>
        <v>-8.7440230892777606</v>
      </c>
      <c r="H88" s="146">
        <f t="shared" si="14"/>
        <v>-10.81583764135997</v>
      </c>
      <c r="I88" s="146">
        <f t="shared" si="14"/>
        <v>-12.280792510134855</v>
      </c>
      <c r="J88" s="146">
        <f t="shared" si="14"/>
        <v>36.37197078417627</v>
      </c>
      <c r="K88" s="146">
        <f t="shared" si="14"/>
        <v>67.903778681492682</v>
      </c>
      <c r="L88" s="683">
        <f>SUM(D88:INDEX(D88:K88,0,MATCH('RFPR cover'!$C$7,$D$6:$K$6,0)))</f>
        <v>-33.043402218938439</v>
      </c>
      <c r="M88" s="684">
        <f>SUM(D88:K88)</f>
        <v>34.860376462554242</v>
      </c>
    </row>
    <row r="89" spans="2:15">
      <c r="B89" s="214"/>
    </row>
    <row r="90" spans="2:15">
      <c r="B90" s="214" t="s">
        <v>487</v>
      </c>
      <c r="C90" s="156" t="str">
        <f>'RFPR cover'!$C$14</f>
        <v>£m 12/13</v>
      </c>
      <c r="D90" s="146">
        <f t="shared" ref="D90:K90" si="15">D86-D88</f>
        <v>10.235468909561508</v>
      </c>
      <c r="E90" s="146">
        <f t="shared" si="15"/>
        <v>8.7958314284289436</v>
      </c>
      <c r="F90" s="146">
        <f t="shared" si="15"/>
        <v>6.3678606073521831</v>
      </c>
      <c r="G90" s="146">
        <f t="shared" si="15"/>
        <v>8.4141225618078543</v>
      </c>
      <c r="H90" s="146">
        <f t="shared" si="15"/>
        <v>8.3926510050949865</v>
      </c>
      <c r="I90" s="146">
        <f t="shared" si="15"/>
        <v>7.6853180858438446</v>
      </c>
      <c r="J90" s="146">
        <f t="shared" si="15"/>
        <v>-5.3506030044393569</v>
      </c>
      <c r="K90" s="146">
        <f t="shared" si="15"/>
        <v>-17.76189830082383</v>
      </c>
      <c r="L90" s="683">
        <f>SUM(D90:INDEX(D90:K90,0,MATCH('RFPR cover'!$C$7,$D$6:$K$6,0)))</f>
        <v>44.540649593649967</v>
      </c>
      <c r="M90" s="684">
        <f>SUM(D90:K90)</f>
        <v>26.778751292826136</v>
      </c>
    </row>
    <row r="91" spans="2:15">
      <c r="B91" s="201"/>
    </row>
  </sheetData>
  <sheetProtection algorithmName="SHA-512" hashValue="L770U4nJCpoJSU1fIkz23HKm0m7+l/CnQstCL3qOMsAwWf7CV12jc9esRQkK6zCGBY5WJPLk/ucqTdGYvbnjWQ==" saltValue="ALkzc69LeZuC3YAmU0o4zw==" spinCount="100000" sheet="1" objects="1" scenarios="1"/>
  <conditionalFormatting sqref="D6:K6">
    <cfRule type="expression" dxfId="57" priority="22">
      <formula>AND(D$5="Actuals",E$5="Forecast")</formula>
    </cfRule>
  </conditionalFormatting>
  <conditionalFormatting sqref="D5:K5">
    <cfRule type="expression" dxfId="56" priority="15">
      <formula>AND(D$5="Actuals",E$5="Forecast")</formula>
    </cfRule>
  </conditionalFormatting>
  <conditionalFormatting sqref="D29:G29 I29:K29">
    <cfRule type="expression" dxfId="55" priority="13">
      <formula>D$5="Forecast"</formula>
    </cfRule>
    <cfRule type="expression" dxfId="54" priority="14">
      <formula>D$5="Actuals"</formula>
    </cfRule>
  </conditionalFormatting>
  <conditionalFormatting sqref="D47:G47">
    <cfRule type="expression" dxfId="53" priority="7">
      <formula>D$5="Forecast"</formula>
    </cfRule>
    <cfRule type="expression" dxfId="52" priority="8">
      <formula>D$5="Actuals"</formula>
    </cfRule>
  </conditionalFormatting>
  <conditionalFormatting sqref="I47:K47">
    <cfRule type="expression" dxfId="51" priority="5">
      <formula>I$5="Forecast"</formula>
    </cfRule>
    <cfRule type="expression" dxfId="50" priority="6">
      <formula>I$5="Actuals"</formula>
    </cfRule>
  </conditionalFormatting>
  <conditionalFormatting sqref="H47">
    <cfRule type="expression" dxfId="49" priority="3">
      <formula>H$5="Forecast"</formula>
    </cfRule>
    <cfRule type="expression" dxfId="48" priority="4">
      <formula>H$5="Actuals"</formula>
    </cfRule>
  </conditionalFormatting>
  <conditionalFormatting sqref="H29">
    <cfRule type="expression" dxfId="47" priority="1">
      <formula>H$5="Forecast"</formula>
    </cfRule>
    <cfRule type="expression" dxfId="46" priority="2">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90" t="s">
        <v>236</v>
      </c>
      <c r="B1" s="900"/>
      <c r="C1" s="257"/>
      <c r="D1" s="257"/>
      <c r="E1" s="257"/>
      <c r="F1" s="257"/>
      <c r="G1" s="257"/>
      <c r="H1" s="257"/>
      <c r="I1" s="258"/>
      <c r="J1" s="258"/>
      <c r="K1" s="259"/>
      <c r="L1" s="358"/>
    </row>
    <row r="2" spans="1:12" s="31" customFormat="1" ht="20.25">
      <c r="A2" s="893" t="str">
        <f>'RFPR cover'!C5</f>
        <v>NPgY</v>
      </c>
      <c r="B2" s="885"/>
      <c r="C2" s="29"/>
      <c r="D2" s="29"/>
      <c r="E2" s="29"/>
      <c r="F2" s="29"/>
      <c r="G2" s="29"/>
      <c r="H2" s="29"/>
      <c r="I2" s="27"/>
      <c r="J2" s="27"/>
      <c r="K2" s="27"/>
      <c r="L2" s="124"/>
    </row>
    <row r="3" spans="1:12" s="31" customFormat="1" ht="23.25">
      <c r="A3" s="896">
        <f>'RFPR cover'!C7</f>
        <v>2022</v>
      </c>
      <c r="B3" s="902"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4">
        <v>17.8</v>
      </c>
      <c r="E8" s="691">
        <f>D10</f>
        <v>0</v>
      </c>
      <c r="F8" s="691">
        <f t="shared" ref="F8:K8" si="1">E10</f>
        <v>0</v>
      </c>
      <c r="G8" s="691">
        <f t="shared" si="1"/>
        <v>10.5</v>
      </c>
      <c r="H8" s="691">
        <f t="shared" si="1"/>
        <v>18</v>
      </c>
      <c r="I8" s="691">
        <f t="shared" si="1"/>
        <v>4.8039999999999994</v>
      </c>
      <c r="J8" s="691">
        <f t="shared" si="1"/>
        <v>0</v>
      </c>
      <c r="K8" s="691">
        <f t="shared" si="1"/>
        <v>0</v>
      </c>
    </row>
    <row r="9" spans="1:12" s="2" customFormat="1">
      <c r="B9" s="214"/>
    </row>
    <row r="10" spans="1:12">
      <c r="B10" s="214" t="s">
        <v>519</v>
      </c>
      <c r="C10" s="153" t="s">
        <v>127</v>
      </c>
      <c r="D10" s="685">
        <v>0</v>
      </c>
      <c r="E10" s="686">
        <v>0</v>
      </c>
      <c r="F10" s="686">
        <v>10.5</v>
      </c>
      <c r="G10" s="686">
        <v>18</v>
      </c>
      <c r="H10" s="686">
        <v>4.8039999999999994</v>
      </c>
      <c r="I10" s="686">
        <v>0</v>
      </c>
      <c r="J10" s="686">
        <v>0</v>
      </c>
      <c r="K10" s="687">
        <v>0</v>
      </c>
    </row>
    <row r="11" spans="1:12">
      <c r="B11" s="214" t="s">
        <v>370</v>
      </c>
      <c r="C11" s="153" t="s">
        <v>127</v>
      </c>
      <c r="D11" s="688">
        <v>999.34</v>
      </c>
      <c r="E11" s="689">
        <v>1050.31</v>
      </c>
      <c r="F11" s="689">
        <v>1050.96</v>
      </c>
      <c r="G11" s="689">
        <v>1061.6300000000001</v>
      </c>
      <c r="H11" s="689">
        <v>1159.4909364300001</v>
      </c>
      <c r="I11" s="689">
        <v>1155.2677741800001</v>
      </c>
      <c r="J11" s="689">
        <v>1155.4584308000001</v>
      </c>
      <c r="K11" s="690">
        <v>998.37733443000002</v>
      </c>
    </row>
    <row r="12" spans="1:12">
      <c r="B12" s="214" t="s">
        <v>371</v>
      </c>
      <c r="C12" s="153" t="s">
        <v>127</v>
      </c>
      <c r="D12" s="688">
        <v>0</v>
      </c>
      <c r="E12" s="689">
        <v>0</v>
      </c>
      <c r="F12" s="689">
        <v>0</v>
      </c>
      <c r="G12" s="689">
        <v>0</v>
      </c>
      <c r="H12" s="689">
        <v>0</v>
      </c>
      <c r="I12" s="689">
        <v>0</v>
      </c>
      <c r="J12" s="689">
        <v>0</v>
      </c>
      <c r="K12" s="690">
        <v>0</v>
      </c>
    </row>
    <row r="13" spans="1:12">
      <c r="B13" s="214" t="s">
        <v>372</v>
      </c>
      <c r="C13" s="153" t="s">
        <v>127</v>
      </c>
      <c r="D13" s="688">
        <v>-141.59</v>
      </c>
      <c r="E13" s="689">
        <v>-208.31</v>
      </c>
      <c r="F13" s="689">
        <v>-207.91</v>
      </c>
      <c r="G13" s="689">
        <v>-204.66</v>
      </c>
      <c r="H13" s="689">
        <v>-223.7</v>
      </c>
      <c r="I13" s="689">
        <v>-155.80000000000001</v>
      </c>
      <c r="J13" s="689">
        <v>-132.95795567775571</v>
      </c>
      <c r="K13" s="690">
        <v>0</v>
      </c>
    </row>
    <row r="14" spans="1:12">
      <c r="B14" s="214" t="s">
        <v>373</v>
      </c>
      <c r="C14" s="153" t="s">
        <v>127</v>
      </c>
      <c r="D14" s="688">
        <v>0</v>
      </c>
      <c r="E14" s="689">
        <v>0</v>
      </c>
      <c r="F14" s="689">
        <v>0</v>
      </c>
      <c r="G14" s="689">
        <v>0</v>
      </c>
      <c r="H14" s="689">
        <v>0</v>
      </c>
      <c r="I14" s="689">
        <v>0</v>
      </c>
      <c r="J14" s="689">
        <v>0</v>
      </c>
      <c r="K14" s="690">
        <v>0</v>
      </c>
    </row>
    <row r="15" spans="1:12">
      <c r="B15" s="214" t="s">
        <v>290</v>
      </c>
      <c r="C15" s="153" t="s">
        <v>127</v>
      </c>
      <c r="D15" s="688">
        <v>0</v>
      </c>
      <c r="E15" s="689">
        <v>0</v>
      </c>
      <c r="F15" s="689">
        <v>0</v>
      </c>
      <c r="G15" s="689">
        <v>0</v>
      </c>
      <c r="H15" s="689">
        <v>0</v>
      </c>
      <c r="I15" s="689">
        <v>0</v>
      </c>
      <c r="J15" s="689">
        <v>0</v>
      </c>
      <c r="K15" s="690">
        <v>0</v>
      </c>
    </row>
    <row r="16" spans="1:12">
      <c r="B16" s="214" t="s">
        <v>291</v>
      </c>
      <c r="C16" s="153" t="s">
        <v>127</v>
      </c>
      <c r="D16" s="688">
        <v>0</v>
      </c>
      <c r="E16" s="689">
        <v>0</v>
      </c>
      <c r="F16" s="689">
        <v>0</v>
      </c>
      <c r="G16" s="689">
        <v>0</v>
      </c>
      <c r="H16" s="689">
        <v>0</v>
      </c>
      <c r="I16" s="689">
        <v>0</v>
      </c>
      <c r="J16" s="689">
        <v>0</v>
      </c>
      <c r="K16" s="690">
        <v>0</v>
      </c>
    </row>
    <row r="17" spans="2:13">
      <c r="B17" s="214" t="s">
        <v>295</v>
      </c>
      <c r="C17" s="153" t="s">
        <v>127</v>
      </c>
      <c r="D17" s="688">
        <v>0</v>
      </c>
      <c r="E17" s="689">
        <v>0</v>
      </c>
      <c r="F17" s="689">
        <v>0</v>
      </c>
      <c r="G17" s="689">
        <v>0</v>
      </c>
      <c r="H17" s="689">
        <v>0</v>
      </c>
      <c r="I17" s="689">
        <v>0</v>
      </c>
      <c r="J17" s="689">
        <v>0</v>
      </c>
      <c r="K17" s="690">
        <v>0</v>
      </c>
    </row>
    <row r="18" spans="2:13">
      <c r="B18" s="214" t="s">
        <v>296</v>
      </c>
      <c r="C18" s="153" t="s">
        <v>127</v>
      </c>
      <c r="D18" s="688">
        <v>0</v>
      </c>
      <c r="E18" s="689">
        <v>0</v>
      </c>
      <c r="F18" s="689">
        <v>0</v>
      </c>
      <c r="G18" s="689">
        <v>0</v>
      </c>
      <c r="H18" s="689">
        <v>0</v>
      </c>
      <c r="I18" s="689">
        <v>0</v>
      </c>
      <c r="J18" s="689">
        <v>0</v>
      </c>
      <c r="K18" s="690">
        <v>0</v>
      </c>
    </row>
    <row r="19" spans="2:13">
      <c r="B19" s="214" t="s">
        <v>297</v>
      </c>
      <c r="C19" s="153" t="s">
        <v>127</v>
      </c>
      <c r="D19" s="688">
        <v>0</v>
      </c>
      <c r="E19" s="689">
        <v>0</v>
      </c>
      <c r="F19" s="689">
        <v>0</v>
      </c>
      <c r="G19" s="689">
        <v>0</v>
      </c>
      <c r="H19" s="689">
        <v>0</v>
      </c>
      <c r="I19" s="689">
        <v>0</v>
      </c>
      <c r="J19" s="689">
        <v>0</v>
      </c>
      <c r="K19" s="690">
        <v>0</v>
      </c>
    </row>
    <row r="20" spans="2:13">
      <c r="B20" s="214" t="s">
        <v>298</v>
      </c>
      <c r="C20" s="153" t="s">
        <v>127</v>
      </c>
      <c r="D20" s="688">
        <v>0</v>
      </c>
      <c r="E20" s="689">
        <v>0</v>
      </c>
      <c r="F20" s="689">
        <v>0</v>
      </c>
      <c r="G20" s="689">
        <v>0</v>
      </c>
      <c r="H20" s="689">
        <v>0</v>
      </c>
      <c r="I20" s="689">
        <v>0</v>
      </c>
      <c r="J20" s="689">
        <v>0</v>
      </c>
      <c r="K20" s="690">
        <v>0</v>
      </c>
    </row>
    <row r="21" spans="2:13">
      <c r="B21" s="214" t="s">
        <v>299</v>
      </c>
      <c r="C21" s="153" t="s">
        <v>127</v>
      </c>
      <c r="D21" s="688">
        <v>0</v>
      </c>
      <c r="E21" s="689">
        <v>0</v>
      </c>
      <c r="F21" s="689">
        <v>0</v>
      </c>
      <c r="G21" s="689">
        <v>0</v>
      </c>
      <c r="H21" s="689">
        <v>0</v>
      </c>
      <c r="I21" s="689">
        <v>0</v>
      </c>
      <c r="J21" s="689">
        <v>0</v>
      </c>
      <c r="K21" s="690">
        <v>0</v>
      </c>
    </row>
    <row r="22" spans="2:13">
      <c r="B22" s="214" t="s">
        <v>300</v>
      </c>
      <c r="C22" s="153" t="s">
        <v>127</v>
      </c>
      <c r="D22" s="688">
        <v>0</v>
      </c>
      <c r="E22" s="689">
        <v>0</v>
      </c>
      <c r="F22" s="689">
        <v>0</v>
      </c>
      <c r="G22" s="689">
        <v>0</v>
      </c>
      <c r="H22" s="689">
        <v>0</v>
      </c>
      <c r="I22" s="689">
        <v>0</v>
      </c>
      <c r="J22" s="689">
        <v>0</v>
      </c>
      <c r="K22" s="690">
        <v>0</v>
      </c>
    </row>
    <row r="23" spans="2:13">
      <c r="B23" s="14" t="s">
        <v>316</v>
      </c>
      <c r="C23" s="236" t="s">
        <v>127</v>
      </c>
      <c r="D23" s="691">
        <f>SUM(D10:D22)</f>
        <v>857.75</v>
      </c>
      <c r="E23" s="691">
        <f t="shared" ref="E23:K23" si="2">SUM(E10:E22)</f>
        <v>842</v>
      </c>
      <c r="F23" s="691">
        <f t="shared" si="2"/>
        <v>853.55000000000007</v>
      </c>
      <c r="G23" s="691">
        <f t="shared" si="2"/>
        <v>874.97000000000014</v>
      </c>
      <c r="H23" s="691">
        <f t="shared" si="2"/>
        <v>940.59493643000019</v>
      </c>
      <c r="I23" s="691">
        <f t="shared" si="2"/>
        <v>999.46777418000011</v>
      </c>
      <c r="J23" s="691">
        <f t="shared" si="2"/>
        <v>1022.5004751222443</v>
      </c>
      <c r="K23" s="692">
        <f t="shared" si="2"/>
        <v>998.37733443000002</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8.67</v>
      </c>
      <c r="E26" s="342">
        <v>8.0399999999999991</v>
      </c>
      <c r="F26" s="342">
        <v>7.39</v>
      </c>
      <c r="G26" s="342">
        <v>6.72</v>
      </c>
      <c r="H26" s="342">
        <v>12.465</v>
      </c>
      <c r="I26" s="342">
        <v>11.814</v>
      </c>
      <c r="J26" s="342">
        <v>11.14</v>
      </c>
      <c r="K26" s="342">
        <v>10.465</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574</v>
      </c>
      <c r="C30" s="153" t="s">
        <v>127</v>
      </c>
      <c r="D30" s="342">
        <v>-27.01</v>
      </c>
      <c r="E30" s="374">
        <v>-27.35</v>
      </c>
      <c r="F30" s="374">
        <v>-27.35</v>
      </c>
      <c r="G30" s="374">
        <v>-27.36</v>
      </c>
      <c r="H30" s="374">
        <v>-26.766000000000002</v>
      </c>
      <c r="I30" s="374">
        <v>-26.748000000000001</v>
      </c>
      <c r="J30" s="374">
        <v>-26.757999999999999</v>
      </c>
      <c r="K30" s="378">
        <v>-22.408000000000001</v>
      </c>
    </row>
    <row r="31" spans="2:13">
      <c r="B31" s="364" t="s">
        <v>595</v>
      </c>
      <c r="C31" s="153" t="s">
        <v>127</v>
      </c>
      <c r="D31" s="342">
        <v>0</v>
      </c>
      <c r="E31" s="374">
        <v>0</v>
      </c>
      <c r="F31" s="374">
        <v>0</v>
      </c>
      <c r="G31" s="374">
        <v>0</v>
      </c>
      <c r="H31" s="374">
        <v>-7.6939364299999973</v>
      </c>
      <c r="I31" s="374">
        <v>-9.3377741799999985</v>
      </c>
      <c r="J31" s="374">
        <v>-8.8404307999999983</v>
      </c>
      <c r="K31" s="378">
        <v>-6.4343344299999972</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699">
        <f>SUM(D23,D26:D41)</f>
        <v>839.41</v>
      </c>
      <c r="E42" s="699">
        <f t="shared" ref="E42:K42" si="3">SUM(E23,E26:E41)</f>
        <v>822.68999999999994</v>
      </c>
      <c r="F42" s="699">
        <f t="shared" si="3"/>
        <v>833.59</v>
      </c>
      <c r="G42" s="699">
        <f t="shared" si="3"/>
        <v>854.33000000000015</v>
      </c>
      <c r="H42" s="699">
        <f t="shared" si="3"/>
        <v>918.60000000000025</v>
      </c>
      <c r="I42" s="699">
        <f t="shared" si="3"/>
        <v>975.19600000000003</v>
      </c>
      <c r="J42" s="699">
        <f t="shared" si="3"/>
        <v>998.04204432224435</v>
      </c>
      <c r="K42" s="699">
        <f t="shared" si="3"/>
        <v>980</v>
      </c>
    </row>
    <row r="43" spans="2:12">
      <c r="B43" s="365" t="s">
        <v>303</v>
      </c>
      <c r="C43" s="153" t="s">
        <v>127</v>
      </c>
      <c r="D43" s="700"/>
      <c r="E43" s="701"/>
      <c r="F43" s="701"/>
      <c r="G43" s="702"/>
      <c r="H43" s="702"/>
      <c r="I43" s="702"/>
      <c r="J43" s="702"/>
      <c r="K43" s="703">
        <v>22.684999999999999</v>
      </c>
    </row>
    <row r="44" spans="2:12">
      <c r="B44" s="341" t="s">
        <v>437</v>
      </c>
      <c r="C44" s="153" t="s">
        <v>127</v>
      </c>
      <c r="D44" s="96">
        <f>SUM(D42:D43)</f>
        <v>839.41</v>
      </c>
      <c r="E44" s="97">
        <f t="shared" ref="E44:K44" si="4">SUM(E42:E43)</f>
        <v>822.68999999999994</v>
      </c>
      <c r="F44" s="97">
        <f t="shared" si="4"/>
        <v>833.59</v>
      </c>
      <c r="G44" s="97">
        <f t="shared" si="4"/>
        <v>854.33000000000015</v>
      </c>
      <c r="H44" s="97">
        <f t="shared" si="4"/>
        <v>918.60000000000025</v>
      </c>
      <c r="I44" s="97">
        <f t="shared" si="4"/>
        <v>975.19600000000003</v>
      </c>
      <c r="J44" s="97">
        <f t="shared" si="4"/>
        <v>998.04204432224435</v>
      </c>
      <c r="K44" s="98">
        <f t="shared" si="4"/>
        <v>1002.6849999999999</v>
      </c>
    </row>
    <row r="45" spans="2:12">
      <c r="D45" s="227" t="s">
        <v>605</v>
      </c>
      <c r="E45" s="228" t="s">
        <v>605</v>
      </c>
      <c r="F45" s="228" t="s">
        <v>605</v>
      </c>
      <c r="G45" s="228" t="s">
        <v>605</v>
      </c>
      <c r="H45" s="228" t="s">
        <v>605</v>
      </c>
      <c r="I45" s="228" t="s">
        <v>605</v>
      </c>
      <c r="J45" s="228" t="s">
        <v>605</v>
      </c>
      <c r="K45" s="229" t="s">
        <v>605</v>
      </c>
    </row>
    <row r="47" spans="2:12">
      <c r="B47" s="816" t="s">
        <v>438</v>
      </c>
      <c r="C47" s="153" t="s">
        <v>127</v>
      </c>
      <c r="D47" s="831">
        <v>783.60194595000007</v>
      </c>
      <c r="E47" s="97">
        <f>D48</f>
        <v>839.41</v>
      </c>
      <c r="F47" s="97">
        <f t="shared" ref="F47:K47" si="5">E48</f>
        <v>822.68999999999994</v>
      </c>
      <c r="G47" s="97">
        <f t="shared" si="5"/>
        <v>833.59</v>
      </c>
      <c r="H47" s="97">
        <f t="shared" si="5"/>
        <v>854.33000000000015</v>
      </c>
      <c r="I47" s="97">
        <f t="shared" si="5"/>
        <v>918.60000000000025</v>
      </c>
      <c r="J47" s="97">
        <f t="shared" si="5"/>
        <v>975.19600000000003</v>
      </c>
      <c r="K47" s="98">
        <f t="shared" si="5"/>
        <v>998.04204432224435</v>
      </c>
      <c r="L47" s="815"/>
    </row>
    <row r="48" spans="2:12">
      <c r="B48" s="816" t="s">
        <v>439</v>
      </c>
      <c r="C48" s="153" t="s">
        <v>127</v>
      </c>
      <c r="D48" s="572">
        <f>D44</f>
        <v>839.41</v>
      </c>
      <c r="E48" s="573">
        <f>E44</f>
        <v>822.68999999999994</v>
      </c>
      <c r="F48" s="573">
        <f t="shared" ref="F48:K48" si="6">F44</f>
        <v>833.59</v>
      </c>
      <c r="G48" s="573">
        <f t="shared" si="6"/>
        <v>854.33000000000015</v>
      </c>
      <c r="H48" s="573">
        <f t="shared" si="6"/>
        <v>918.60000000000025</v>
      </c>
      <c r="I48" s="573">
        <f t="shared" si="6"/>
        <v>975.19600000000003</v>
      </c>
      <c r="J48" s="573">
        <f t="shared" si="6"/>
        <v>998.04204432224435</v>
      </c>
      <c r="K48" s="830">
        <f t="shared" si="6"/>
        <v>1002.6849999999999</v>
      </c>
      <c r="L48" s="815"/>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79">
        <f>1-D51</f>
        <v>1</v>
      </c>
      <c r="E52" s="480">
        <f t="shared" ref="E52:K52" si="7">1-E51</f>
        <v>1</v>
      </c>
      <c r="F52" s="480">
        <f t="shared" si="7"/>
        <v>1</v>
      </c>
      <c r="G52" s="480">
        <f t="shared" si="7"/>
        <v>1</v>
      </c>
      <c r="H52" s="480">
        <f t="shared" si="7"/>
        <v>1</v>
      </c>
      <c r="I52" s="480">
        <f t="shared" si="7"/>
        <v>1</v>
      </c>
      <c r="J52" s="480">
        <f t="shared" si="7"/>
        <v>1</v>
      </c>
      <c r="K52" s="481">
        <f t="shared" si="7"/>
        <v>1</v>
      </c>
    </row>
    <row r="53" spans="2:13">
      <c r="C53" s="815"/>
      <c r="D53" s="815"/>
      <c r="E53" s="815"/>
      <c r="F53" s="815"/>
      <c r="G53" s="815"/>
      <c r="H53" s="815"/>
      <c r="I53" s="815"/>
      <c r="J53" s="815"/>
      <c r="K53" s="815"/>
      <c r="L53" s="815"/>
    </row>
    <row r="54" spans="2:13">
      <c r="B54" s="201" t="s">
        <v>458</v>
      </c>
      <c r="C54" s="267" t="s">
        <v>127</v>
      </c>
      <c r="D54" s="704">
        <f>AVERAGE(D47:D48)*D52</f>
        <v>811.50597297500008</v>
      </c>
      <c r="E54" s="705">
        <f t="shared" ref="E54:K54" si="8">AVERAGE(E47:E48)*E52</f>
        <v>831.05</v>
      </c>
      <c r="F54" s="705">
        <f t="shared" si="8"/>
        <v>828.14</v>
      </c>
      <c r="G54" s="705">
        <f t="shared" si="8"/>
        <v>843.96</v>
      </c>
      <c r="H54" s="705">
        <f t="shared" si="8"/>
        <v>886.46500000000015</v>
      </c>
      <c r="I54" s="705">
        <f t="shared" si="8"/>
        <v>946.89800000000014</v>
      </c>
      <c r="J54" s="705">
        <f t="shared" si="8"/>
        <v>986.61902216112219</v>
      </c>
      <c r="K54" s="706">
        <f t="shared" si="8"/>
        <v>1000.3635221611221</v>
      </c>
    </row>
    <row r="55" spans="2:13">
      <c r="B55" s="201" t="s">
        <v>271</v>
      </c>
      <c r="C55" s="153" t="s">
        <v>127</v>
      </c>
      <c r="D55" s="693">
        <f>D56-D54</f>
        <v>786.13280668987591</v>
      </c>
      <c r="E55" s="694">
        <f t="shared" ref="E55:K55" si="9">E56-E54</f>
        <v>834.65068685684264</v>
      </c>
      <c r="F55" s="694">
        <f t="shared" si="9"/>
        <v>911.34399442219535</v>
      </c>
      <c r="G55" s="694">
        <f t="shared" si="9"/>
        <v>968.14823300113767</v>
      </c>
      <c r="H55" s="694">
        <f t="shared" si="9"/>
        <v>994.5033208124014</v>
      </c>
      <c r="I55" s="694">
        <f t="shared" si="9"/>
        <v>998.41399032796062</v>
      </c>
      <c r="J55" s="694">
        <f t="shared" si="9"/>
        <v>1106.4642801889995</v>
      </c>
      <c r="K55" s="695">
        <f t="shared" si="9"/>
        <v>1322.9927521180362</v>
      </c>
    </row>
    <row r="56" spans="2:13">
      <c r="B56" s="201" t="s">
        <v>506</v>
      </c>
      <c r="C56" s="153" t="s">
        <v>127</v>
      </c>
      <c r="D56" s="858">
        <f>IF(D6='RFPR cover'!$C$13,AVERAGE(('R9 - RAV'!D16*'R9 - RAV'!D36),'R9 - RAV'!D38),AVERAGE('R9 - RAV'!C38:D38))</f>
        <v>1597.638779664876</v>
      </c>
      <c r="E56" s="858">
        <f>IF(E6='RFPR cover'!$C$13,AVERAGE(('R9 - RAV'!E16*'R9 - RAV'!E36),'R9 - RAV'!E38),AVERAGE('R9 - RAV'!D38:E38))</f>
        <v>1665.7006868568426</v>
      </c>
      <c r="F56" s="858">
        <f>IF(F6='RFPR cover'!$C$13,AVERAGE(('R9 - RAV'!F16*'R9 - RAV'!F36),'R9 - RAV'!F38),AVERAGE('R9 - RAV'!E38:F38))</f>
        <v>1739.4839944221953</v>
      </c>
      <c r="G56" s="858">
        <f>IF(G6='RFPR cover'!$C$13,AVERAGE(('R9 - RAV'!G16*'R9 - RAV'!G36),'R9 - RAV'!G38),AVERAGE('R9 - RAV'!F38:G38))</f>
        <v>1812.1082330011377</v>
      </c>
      <c r="H56" s="858">
        <f>IF(H6='RFPR cover'!$C$13,AVERAGE(('R9 - RAV'!H16*'R9 - RAV'!H36),'R9 - RAV'!H38),AVERAGE('R9 - RAV'!G38:H38))</f>
        <v>1880.9683208124015</v>
      </c>
      <c r="I56" s="858">
        <f>IF(I6='RFPR cover'!$C$13,AVERAGE(('R9 - RAV'!I16*'R9 - RAV'!I36),'R9 - RAV'!I38),AVERAGE('R9 - RAV'!H38:I38))</f>
        <v>1945.3119903279608</v>
      </c>
      <c r="J56" s="858">
        <f>IF(J6='RFPR cover'!$C$13,AVERAGE(('R9 - RAV'!J16*'R9 - RAV'!J36),'R9 - RAV'!J38),AVERAGE('R9 - RAV'!I38:J38))</f>
        <v>2093.0833023501218</v>
      </c>
      <c r="K56" s="858">
        <f>IF(K6='RFPR cover'!$C$13,AVERAGE(('R9 - RAV'!K16*'R9 - RAV'!K36),'R9 - RAV'!K38),AVERAGE('R9 - RAV'!J38:K38))</f>
        <v>2323.3562742791582</v>
      </c>
    </row>
    <row r="57" spans="2:13">
      <c r="B57" s="201" t="s">
        <v>234</v>
      </c>
      <c r="C57" s="153" t="s">
        <v>7</v>
      </c>
      <c r="D57" s="232">
        <f>D54/D56</f>
        <v>0.50794083324969319</v>
      </c>
      <c r="E57" s="233">
        <f t="shared" ref="E57:K57" si="10">E54/E56</f>
        <v>0.49891916750552673</v>
      </c>
      <c r="F57" s="233">
        <f t="shared" si="10"/>
        <v>0.4760837137079168</v>
      </c>
      <c r="G57" s="233">
        <f t="shared" si="10"/>
        <v>0.46573377054982462</v>
      </c>
      <c r="H57" s="233">
        <f t="shared" si="10"/>
        <v>0.47128119606880492</v>
      </c>
      <c r="I57" s="233">
        <f t="shared" si="10"/>
        <v>0.48675893877586307</v>
      </c>
      <c r="J57" s="233">
        <f t="shared" si="10"/>
        <v>0.47137112080218818</v>
      </c>
      <c r="K57" s="234">
        <f t="shared" si="10"/>
        <v>0.43056828314955425</v>
      </c>
    </row>
    <row r="58" spans="2:13">
      <c r="B58" s="201" t="s">
        <v>115</v>
      </c>
      <c r="C58" s="153" t="s">
        <v>7</v>
      </c>
      <c r="D58" s="859">
        <f>'RFPR cover'!$C$12</f>
        <v>0.65</v>
      </c>
      <c r="E58" s="860">
        <f>'RFPR cover'!$C$12</f>
        <v>0.65</v>
      </c>
      <c r="F58" s="860">
        <f>'RFPR cover'!$C$12</f>
        <v>0.65</v>
      </c>
      <c r="G58" s="860">
        <f>'RFPR cover'!$C$12</f>
        <v>0.65</v>
      </c>
      <c r="H58" s="860">
        <f>'RFPR cover'!$C$12</f>
        <v>0.65</v>
      </c>
      <c r="I58" s="860">
        <f>'RFPR cover'!$C$12</f>
        <v>0.65</v>
      </c>
      <c r="J58" s="860">
        <f>'RFPR cover'!$C$12</f>
        <v>0.65</v>
      </c>
      <c r="K58" s="861">
        <f>'RFPR cover'!$C$12</f>
        <v>0.65</v>
      </c>
    </row>
    <row r="59" spans="2:13">
      <c r="B59" s="201" t="s">
        <v>235</v>
      </c>
      <c r="C59" s="153" t="s">
        <v>7</v>
      </c>
      <c r="D59" s="237">
        <f t="shared" ref="D59:K59" si="11">IF(ISBLANK(D23),"n/a",D57-D58)</f>
        <v>-0.14205916675030683</v>
      </c>
      <c r="E59" s="238">
        <f t="shared" si="11"/>
        <v>-0.15108083249447329</v>
      </c>
      <c r="F59" s="238">
        <f t="shared" si="11"/>
        <v>-0.17391628629208322</v>
      </c>
      <c r="G59" s="238">
        <f t="shared" si="11"/>
        <v>-0.1842662294501754</v>
      </c>
      <c r="H59" s="238">
        <f t="shared" si="11"/>
        <v>-0.1787188039311951</v>
      </c>
      <c r="I59" s="238">
        <f t="shared" si="11"/>
        <v>-0.16324106122413695</v>
      </c>
      <c r="J59" s="238">
        <f t="shared" si="11"/>
        <v>-0.17862887919781184</v>
      </c>
      <c r="K59" s="239">
        <f t="shared" si="11"/>
        <v>-0.21943171685044577</v>
      </c>
    </row>
    <row r="61" spans="2:13">
      <c r="B61" s="201" t="s">
        <v>513</v>
      </c>
      <c r="C61" s="156" t="str">
        <f>'RFPR cover'!$C$14</f>
        <v>£m 12/13</v>
      </c>
      <c r="D61" s="704">
        <f t="shared" ref="D61:K61" si="12">D63*D57</f>
        <v>751.34592850395063</v>
      </c>
      <c r="E61" s="697">
        <f t="shared" si="12"/>
        <v>751.86116394795613</v>
      </c>
      <c r="F61" s="697">
        <f t="shared" si="12"/>
        <v>725.32845834917578</v>
      </c>
      <c r="G61" s="697">
        <f t="shared" si="12"/>
        <v>717.77627895290766</v>
      </c>
      <c r="H61" s="697">
        <f t="shared" si="12"/>
        <v>736.56730422846715</v>
      </c>
      <c r="I61" s="697">
        <f t="shared" si="12"/>
        <v>770.77560539666024</v>
      </c>
      <c r="J61" s="697">
        <f t="shared" si="12"/>
        <v>756.61286193038961</v>
      </c>
      <c r="K61" s="698">
        <f t="shared" si="12"/>
        <v>703.33212504872813</v>
      </c>
      <c r="M61" s="321"/>
    </row>
    <row r="62" spans="2:13">
      <c r="B62" s="201" t="s">
        <v>511</v>
      </c>
      <c r="C62" s="156" t="str">
        <f>'RFPR cover'!$C$14</f>
        <v>£m 12/13</v>
      </c>
      <c r="D62" s="660">
        <f>D63*(1-D57)</f>
        <v>727.85377217182588</v>
      </c>
      <c r="E62" s="661">
        <f t="shared" ref="E62:K62" si="13">E63*(1-E57)</f>
        <v>755.11874966626181</v>
      </c>
      <c r="F62" s="661">
        <f t="shared" si="13"/>
        <v>798.20288175916005</v>
      </c>
      <c r="G62" s="661">
        <f t="shared" si="13"/>
        <v>823.39664931796449</v>
      </c>
      <c r="H62" s="661">
        <f t="shared" si="13"/>
        <v>826.33677590998934</v>
      </c>
      <c r="I62" s="661">
        <f t="shared" si="13"/>
        <v>812.70965598356838</v>
      </c>
      <c r="J62" s="661">
        <f t="shared" si="13"/>
        <v>848.51912121438113</v>
      </c>
      <c r="K62" s="662">
        <f t="shared" si="13"/>
        <v>930.16516811912845</v>
      </c>
      <c r="M62" s="321"/>
    </row>
    <row r="63" spans="2:13">
      <c r="B63" s="201" t="s">
        <v>512</v>
      </c>
      <c r="C63" s="156" t="str">
        <f>'RFPR cover'!$C$14</f>
        <v>£m 12/13</v>
      </c>
      <c r="D63" s="857">
        <f>'R9 - RAV'!D47</f>
        <v>1479.1997006757765</v>
      </c>
      <c r="E63" s="857">
        <f>'R9 - RAV'!E47</f>
        <v>1506.9799136142178</v>
      </c>
      <c r="F63" s="857">
        <f>'R9 - RAV'!F47</f>
        <v>1523.5313401083358</v>
      </c>
      <c r="G63" s="857">
        <f>'R9 - RAV'!G47</f>
        <v>1541.172928270872</v>
      </c>
      <c r="H63" s="857">
        <f>'R9 - RAV'!H47</f>
        <v>1562.9040801384565</v>
      </c>
      <c r="I63" s="857">
        <f>'R9 - RAV'!I47</f>
        <v>1583.4852613802286</v>
      </c>
      <c r="J63" s="857">
        <f>'R9 - RAV'!J47</f>
        <v>1605.1319831447709</v>
      </c>
      <c r="K63" s="857">
        <f>'R9 - RAV'!K47</f>
        <v>1633.4972931678567</v>
      </c>
    </row>
    <row r="64" spans="2:13">
      <c r="B64" s="201" t="s">
        <v>234</v>
      </c>
      <c r="C64" s="153" t="s">
        <v>7</v>
      </c>
      <c r="D64" s="232">
        <f>D61/D63</f>
        <v>0.50794083324969319</v>
      </c>
      <c r="E64" s="233">
        <f t="shared" ref="E64:K64" si="14">E61/E63</f>
        <v>0.49891916750552673</v>
      </c>
      <c r="F64" s="233">
        <f t="shared" si="14"/>
        <v>0.4760837137079168</v>
      </c>
      <c r="G64" s="233">
        <f t="shared" si="14"/>
        <v>0.46573377054982462</v>
      </c>
      <c r="H64" s="233">
        <f t="shared" si="14"/>
        <v>0.47128119606880492</v>
      </c>
      <c r="I64" s="233">
        <f t="shared" si="14"/>
        <v>0.48675893877586307</v>
      </c>
      <c r="J64" s="233">
        <f t="shared" si="14"/>
        <v>0.47137112080218813</v>
      </c>
      <c r="K64" s="234">
        <f t="shared" si="14"/>
        <v>0.43056828314955425</v>
      </c>
    </row>
    <row r="65" spans="2:11">
      <c r="B65" s="201" t="s">
        <v>115</v>
      </c>
      <c r="C65" s="153" t="s">
        <v>7</v>
      </c>
      <c r="D65" s="859">
        <f>'RFPR cover'!$C$12</f>
        <v>0.65</v>
      </c>
      <c r="E65" s="860">
        <f>'RFPR cover'!$C$12</f>
        <v>0.65</v>
      </c>
      <c r="F65" s="860">
        <f>'RFPR cover'!$C$12</f>
        <v>0.65</v>
      </c>
      <c r="G65" s="860">
        <f>'RFPR cover'!$C$12</f>
        <v>0.65</v>
      </c>
      <c r="H65" s="860">
        <f>'RFPR cover'!$C$12</f>
        <v>0.65</v>
      </c>
      <c r="I65" s="860">
        <f>'RFPR cover'!$C$12</f>
        <v>0.65</v>
      </c>
      <c r="J65" s="860">
        <f>'RFPR cover'!$C$12</f>
        <v>0.65</v>
      </c>
      <c r="K65" s="861">
        <f>'RFPR cover'!$C$12</f>
        <v>0.65</v>
      </c>
    </row>
    <row r="66" spans="2:11">
      <c r="B66" s="201" t="s">
        <v>235</v>
      </c>
      <c r="C66" s="153" t="s">
        <v>7</v>
      </c>
      <c r="D66" s="237">
        <f t="shared" ref="D66:K66" si="15">IF(ISBLANK(D23),"n/a",D64-D65)</f>
        <v>-0.14205916675030683</v>
      </c>
      <c r="E66" s="238">
        <f t="shared" si="15"/>
        <v>-0.15108083249447329</v>
      </c>
      <c r="F66" s="238">
        <f t="shared" si="15"/>
        <v>-0.17391628629208322</v>
      </c>
      <c r="G66" s="238">
        <f t="shared" si="15"/>
        <v>-0.1842662294501754</v>
      </c>
      <c r="H66" s="238">
        <f t="shared" si="15"/>
        <v>-0.1787188039311951</v>
      </c>
      <c r="I66" s="238">
        <f t="shared" si="15"/>
        <v>-0.16324106122413695</v>
      </c>
      <c r="J66" s="238">
        <f t="shared" si="15"/>
        <v>-0.1786288791978119</v>
      </c>
      <c r="K66" s="239">
        <f t="shared" si="15"/>
        <v>-0.21943171685044577</v>
      </c>
    </row>
  </sheetData>
  <sheetProtection algorithmName="SHA-512" hashValue="XiqufzYLL6jBjmz2YbwZ4PNmmuqKrz9hHI+wrYZ6V3uCZyrvEX7wJpUtbCfWwovV3zvsKGZ32bA2NVUwALxqHg==" saltValue="epZxRZj7p39iuuFBrucFAQ==" spinCount="100000" sheet="1" objects="1" scenarios="1"/>
  <conditionalFormatting sqref="D6:K6">
    <cfRule type="expression" dxfId="44" priority="18">
      <formula>AND(D$5="Actuals",E$5="Forecast")</formula>
    </cfRule>
  </conditionalFormatting>
  <conditionalFormatting sqref="D5:K5">
    <cfRule type="expression" dxfId="43"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90" t="s">
        <v>120</v>
      </c>
      <c r="B1" s="919"/>
      <c r="C1" s="392"/>
      <c r="D1" s="121"/>
      <c r="E1" s="121"/>
      <c r="F1" s="121"/>
      <c r="G1" s="121"/>
      <c r="H1" s="121"/>
      <c r="I1" s="127"/>
      <c r="J1" s="127"/>
      <c r="K1" s="128"/>
      <c r="L1" s="358"/>
      <c r="N1" s="213"/>
    </row>
    <row r="2" spans="1:14" s="31" customFormat="1" ht="20.25">
      <c r="A2" s="893" t="str">
        <f>'RFPR cover'!C5</f>
        <v>NPgY</v>
      </c>
      <c r="B2" s="885"/>
      <c r="C2" s="222"/>
      <c r="D2" s="29"/>
      <c r="E2" s="29"/>
      <c r="F2" s="29"/>
      <c r="G2" s="29"/>
      <c r="H2" s="29"/>
      <c r="I2" s="27"/>
      <c r="J2" s="27"/>
      <c r="K2" s="27"/>
      <c r="L2" s="124"/>
      <c r="N2" s="213"/>
    </row>
    <row r="3" spans="1:14" s="31" customFormat="1" ht="20.25">
      <c r="A3" s="896">
        <f>'RFPR cover'!C7</f>
        <v>2022</v>
      </c>
      <c r="B3" s="903"/>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Actuals</v>
      </c>
      <c r="I5" s="385" t="str">
        <f>IF(I6&lt;='RFPR cover'!$C$7-1,"Actuals","Forecast")</f>
        <v>Actuals</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07">
        <v>1525.2016235120498</v>
      </c>
      <c r="E11" s="708">
        <v>1543.4402925388886</v>
      </c>
      <c r="F11" s="708">
        <v>1557.5798770596</v>
      </c>
      <c r="G11" s="708">
        <v>1577.5000108825343</v>
      </c>
      <c r="H11" s="708">
        <v>1600.3467862955235</v>
      </c>
      <c r="I11" s="708">
        <v>1617.6486715615965</v>
      </c>
      <c r="J11" s="708">
        <v>1631.9670859837456</v>
      </c>
      <c r="K11" s="709">
        <v>1648.9627810199222</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6">
        <v>1488.431810081476</v>
      </c>
      <c r="E16" s="710">
        <f>D29</f>
        <v>1525.2016235120498</v>
      </c>
      <c r="F16" s="710">
        <f t="shared" ref="F16:K16" si="1">E29</f>
        <v>1543.4402925388886</v>
      </c>
      <c r="G16" s="710">
        <f t="shared" si="1"/>
        <v>1557.5798770596</v>
      </c>
      <c r="H16" s="710">
        <f t="shared" si="1"/>
        <v>1577.5000108825343</v>
      </c>
      <c r="I16" s="710">
        <f t="shared" si="1"/>
        <v>1600.3467862955235</v>
      </c>
      <c r="J16" s="710">
        <f t="shared" si="1"/>
        <v>1617.6486715615965</v>
      </c>
      <c r="K16" s="579">
        <f t="shared" si="1"/>
        <v>1642.8304549707175</v>
      </c>
      <c r="N16" s="130"/>
    </row>
    <row r="17" spans="2:14" s="2" customFormat="1">
      <c r="B17" s="387" t="s">
        <v>323</v>
      </c>
      <c r="C17" s="211" t="str">
        <f>'RFPR cover'!$C$14</f>
        <v>£m 12/13</v>
      </c>
      <c r="D17" s="584"/>
      <c r="E17" s="585"/>
      <c r="F17" s="585"/>
      <c r="G17" s="585"/>
      <c r="H17" s="585"/>
      <c r="I17" s="585"/>
      <c r="J17" s="585"/>
      <c r="K17" s="677"/>
      <c r="N17" s="130"/>
    </row>
    <row r="18" spans="2:14" s="2" customFormat="1">
      <c r="B18" s="12" t="s">
        <v>324</v>
      </c>
      <c r="C18" s="211" t="str">
        <f>'RFPR cover'!$C$14</f>
        <v>£m 12/13</v>
      </c>
      <c r="D18" s="711">
        <f>SUM(D16:D17)</f>
        <v>1488.431810081476</v>
      </c>
      <c r="E18" s="712">
        <f t="shared" ref="E18:K18" si="2">SUM(E16:E17)</f>
        <v>1525.2016235120498</v>
      </c>
      <c r="F18" s="712">
        <f t="shared" si="2"/>
        <v>1543.4402925388886</v>
      </c>
      <c r="G18" s="712">
        <f t="shared" si="2"/>
        <v>1557.5798770596</v>
      </c>
      <c r="H18" s="712">
        <f t="shared" si="2"/>
        <v>1577.5000108825343</v>
      </c>
      <c r="I18" s="712">
        <f t="shared" si="2"/>
        <v>1600.3467862955235</v>
      </c>
      <c r="J18" s="712">
        <f t="shared" si="2"/>
        <v>1617.6486715615965</v>
      </c>
      <c r="K18" s="713">
        <f t="shared" si="2"/>
        <v>1642.8304549707175</v>
      </c>
      <c r="N18" s="130"/>
    </row>
    <row r="19" spans="2:14" s="2" customFormat="1">
      <c r="B19" s="389" t="s">
        <v>325</v>
      </c>
      <c r="C19" s="211" t="str">
        <f>'RFPR cover'!$C$14</f>
        <v>£m 12/13</v>
      </c>
      <c r="D19" s="580">
        <v>171.99794153715521</v>
      </c>
      <c r="E19" s="580">
        <v>156.15150586639288</v>
      </c>
      <c r="F19" s="580">
        <v>152.63943605012247</v>
      </c>
      <c r="G19" s="580">
        <v>156.72932059688225</v>
      </c>
      <c r="H19" s="580">
        <v>158.50339127249765</v>
      </c>
      <c r="I19" s="580">
        <v>152.48712138064479</v>
      </c>
      <c r="J19" s="580">
        <v>146.17459105380911</v>
      </c>
      <c r="K19" s="580">
        <v>152.23706645418974</v>
      </c>
      <c r="M19" s="936"/>
      <c r="N19" s="130"/>
    </row>
    <row r="20" spans="2:14" s="2" customFormat="1">
      <c r="B20" s="389" t="s">
        <v>332</v>
      </c>
      <c r="C20" s="211" t="str">
        <f>'RFPR cover'!$C$14</f>
        <v>£m 12/13</v>
      </c>
      <c r="D20" s="584">
        <v>0</v>
      </c>
      <c r="E20" s="584">
        <v>0</v>
      </c>
      <c r="F20" s="584">
        <v>0</v>
      </c>
      <c r="G20" s="584">
        <v>0</v>
      </c>
      <c r="H20" s="584">
        <v>0</v>
      </c>
      <c r="I20" s="584">
        <v>0</v>
      </c>
      <c r="J20" s="584">
        <v>1.7818863528477416</v>
      </c>
      <c r="K20" s="584">
        <v>2.0058197404551179</v>
      </c>
      <c r="N20" s="130"/>
    </row>
    <row r="21" spans="2:14" s="2" customFormat="1">
      <c r="B21" s="388" t="s">
        <v>328</v>
      </c>
      <c r="C21" s="211" t="str">
        <f>'RFPR cover'!$C$14</f>
        <v>£m 12/13</v>
      </c>
      <c r="D21" s="711">
        <f t="shared" ref="D21:K21" si="3">SUM(D19:D20)</f>
        <v>171.99794153715521</v>
      </c>
      <c r="E21" s="712">
        <f t="shared" si="3"/>
        <v>156.15150586639288</v>
      </c>
      <c r="F21" s="712">
        <f t="shared" si="3"/>
        <v>152.63943605012247</v>
      </c>
      <c r="G21" s="712">
        <f t="shared" si="3"/>
        <v>156.72932059688225</v>
      </c>
      <c r="H21" s="712">
        <f t="shared" si="3"/>
        <v>158.50339127249765</v>
      </c>
      <c r="I21" s="712">
        <f t="shared" si="3"/>
        <v>152.48712138064479</v>
      </c>
      <c r="J21" s="712">
        <f t="shared" si="3"/>
        <v>147.95647740665686</v>
      </c>
      <c r="K21" s="713">
        <f t="shared" si="3"/>
        <v>154.24288619464485</v>
      </c>
      <c r="N21" s="130"/>
    </row>
    <row r="22" spans="2:14" s="2" customFormat="1">
      <c r="B22" s="389" t="s">
        <v>326</v>
      </c>
      <c r="C22" s="211" t="str">
        <f>'RFPR cover'!$C$14</f>
        <v>£m 12/13</v>
      </c>
      <c r="D22" s="580">
        <v>-135.22812810658132</v>
      </c>
      <c r="E22" s="580">
        <v>-137.91283683955407</v>
      </c>
      <c r="F22" s="580">
        <v>-138.49985152941105</v>
      </c>
      <c r="G22" s="580">
        <v>-136.80918677394789</v>
      </c>
      <c r="H22" s="580">
        <v>-135.65661585950835</v>
      </c>
      <c r="I22" s="580">
        <v>-135.18523611457181</v>
      </c>
      <c r="J22" s="580">
        <v>-122.77469399753588</v>
      </c>
      <c r="K22" s="580">
        <v>-123.55703426220664</v>
      </c>
      <c r="N22" s="130"/>
    </row>
    <row r="23" spans="2:14" s="2" customFormat="1">
      <c r="B23" s="389" t="s">
        <v>327</v>
      </c>
      <c r="C23" s="211" t="str">
        <f>'RFPR cover'!$C$14</f>
        <v>£m 12/13</v>
      </c>
      <c r="D23" s="584">
        <v>0</v>
      </c>
      <c r="E23" s="584">
        <v>0</v>
      </c>
      <c r="F23" s="584">
        <v>0</v>
      </c>
      <c r="G23" s="584">
        <v>0</v>
      </c>
      <c r="H23" s="584">
        <v>0</v>
      </c>
      <c r="I23" s="584">
        <v>0</v>
      </c>
      <c r="J23" s="584">
        <v>0</v>
      </c>
      <c r="K23" s="584">
        <v>-4.2552509918749593E-2</v>
      </c>
      <c r="N23" s="130"/>
    </row>
    <row r="24" spans="2:14" s="2" customFormat="1">
      <c r="B24" s="388" t="s">
        <v>329</v>
      </c>
      <c r="C24" s="211" t="str">
        <f>'RFPR cover'!$C$14</f>
        <v>£m 12/13</v>
      </c>
      <c r="D24" s="711">
        <f t="shared" ref="D24:K24" si="4">SUM(D22:D23)</f>
        <v>-135.22812810658132</v>
      </c>
      <c r="E24" s="712">
        <f t="shared" si="4"/>
        <v>-137.91283683955407</v>
      </c>
      <c r="F24" s="712">
        <f t="shared" si="4"/>
        <v>-138.49985152941105</v>
      </c>
      <c r="G24" s="712">
        <f t="shared" si="4"/>
        <v>-136.80918677394789</v>
      </c>
      <c r="H24" s="712">
        <f t="shared" si="4"/>
        <v>-135.65661585950835</v>
      </c>
      <c r="I24" s="712">
        <f t="shared" si="4"/>
        <v>-135.18523611457181</v>
      </c>
      <c r="J24" s="712">
        <f t="shared" si="4"/>
        <v>-122.77469399753588</v>
      </c>
      <c r="K24" s="713">
        <f t="shared" si="4"/>
        <v>-123.59958677212539</v>
      </c>
      <c r="N24" s="130"/>
    </row>
    <row r="25" spans="2:14" s="2" customFormat="1">
      <c r="B25" s="390" t="s">
        <v>267</v>
      </c>
      <c r="C25" s="211" t="str">
        <f>'RFPR cover'!$C$14</f>
        <v>£m 12/13</v>
      </c>
      <c r="D25" s="714"/>
      <c r="E25" s="715"/>
      <c r="F25" s="715"/>
      <c r="G25" s="715"/>
      <c r="H25" s="715"/>
      <c r="I25" s="715"/>
      <c r="J25" s="715"/>
      <c r="K25" s="716"/>
      <c r="N25" s="130"/>
    </row>
    <row r="26" spans="2:14" s="2" customFormat="1">
      <c r="B26" s="390" t="s">
        <v>267</v>
      </c>
      <c r="C26" s="211" t="str">
        <f>'RFPR cover'!$C$14</f>
        <v>£m 12/13</v>
      </c>
      <c r="D26" s="714"/>
      <c r="E26" s="715"/>
      <c r="F26" s="715"/>
      <c r="G26" s="715"/>
      <c r="H26" s="715"/>
      <c r="I26" s="715"/>
      <c r="J26" s="715"/>
      <c r="K26" s="716"/>
      <c r="N26" s="130"/>
    </row>
    <row r="27" spans="2:14" s="2" customFormat="1">
      <c r="B27" s="390" t="s">
        <v>267</v>
      </c>
      <c r="C27" s="211" t="str">
        <f>'RFPR cover'!$C$14</f>
        <v>£m 12/13</v>
      </c>
      <c r="D27" s="714"/>
      <c r="E27" s="715"/>
      <c r="F27" s="715"/>
      <c r="G27" s="715"/>
      <c r="H27" s="715"/>
      <c r="I27" s="715"/>
      <c r="J27" s="715"/>
      <c r="K27" s="716"/>
      <c r="N27" s="130"/>
    </row>
    <row r="28" spans="2:14" s="2" customFormat="1">
      <c r="B28" s="388" t="s">
        <v>330</v>
      </c>
      <c r="C28" s="211" t="str">
        <f>'RFPR cover'!$C$14</f>
        <v>£m 12/13</v>
      </c>
      <c r="D28" s="717">
        <f>SUM(D25:D27)</f>
        <v>0</v>
      </c>
      <c r="E28" s="718">
        <f t="shared" ref="E28:K28" si="5">SUM(E25:E27)</f>
        <v>0</v>
      </c>
      <c r="F28" s="718">
        <f t="shared" si="5"/>
        <v>0</v>
      </c>
      <c r="G28" s="718">
        <f t="shared" si="5"/>
        <v>0</v>
      </c>
      <c r="H28" s="718">
        <f t="shared" si="5"/>
        <v>0</v>
      </c>
      <c r="I28" s="718">
        <f t="shared" si="5"/>
        <v>0</v>
      </c>
      <c r="J28" s="718">
        <f t="shared" si="5"/>
        <v>0</v>
      </c>
      <c r="K28" s="719">
        <f t="shared" si="5"/>
        <v>0</v>
      </c>
      <c r="N28" s="130"/>
    </row>
    <row r="29" spans="2:14" s="2" customFormat="1">
      <c r="B29" s="12" t="s">
        <v>331</v>
      </c>
      <c r="C29" s="211" t="str">
        <f>'RFPR cover'!$C$14</f>
        <v>£m 12/13</v>
      </c>
      <c r="D29" s="720">
        <f>D18+D21+D24+D28</f>
        <v>1525.2016235120498</v>
      </c>
      <c r="E29" s="721">
        <f t="shared" ref="E29:K29" si="6">E18+E21+E24+E28</f>
        <v>1543.4402925388886</v>
      </c>
      <c r="F29" s="721">
        <f t="shared" si="6"/>
        <v>1557.5798770596</v>
      </c>
      <c r="G29" s="721">
        <f t="shared" si="6"/>
        <v>1577.5000108825343</v>
      </c>
      <c r="H29" s="721">
        <f t="shared" si="6"/>
        <v>1600.3467862955235</v>
      </c>
      <c r="I29" s="721">
        <f t="shared" si="6"/>
        <v>1617.6486715615965</v>
      </c>
      <c r="J29" s="721">
        <f t="shared" si="6"/>
        <v>1642.8304549707175</v>
      </c>
      <c r="K29" s="722">
        <f t="shared" si="6"/>
        <v>1673.473754393237</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20">
        <f t="shared" ref="D31:K31" si="7">(D20+D23+D28)</f>
        <v>0</v>
      </c>
      <c r="E31" s="720">
        <f t="shared" si="7"/>
        <v>0</v>
      </c>
      <c r="F31" s="720">
        <f t="shared" si="7"/>
        <v>0</v>
      </c>
      <c r="G31" s="720">
        <f t="shared" si="7"/>
        <v>0</v>
      </c>
      <c r="H31" s="720">
        <f t="shared" si="7"/>
        <v>0</v>
      </c>
      <c r="I31" s="720">
        <f t="shared" si="7"/>
        <v>0</v>
      </c>
      <c r="J31" s="720">
        <f t="shared" si="7"/>
        <v>1.7818863528477416</v>
      </c>
      <c r="K31" s="720">
        <f t="shared" si="7"/>
        <v>1.9632672305363683</v>
      </c>
      <c r="L31" s="211"/>
      <c r="N31" s="130"/>
    </row>
    <row r="32" spans="2:14" s="2" customFormat="1">
      <c r="B32" s="12" t="s">
        <v>510</v>
      </c>
      <c r="C32" s="211"/>
      <c r="D32" s="508" t="str">
        <f>IF(D5="Actuals",IF(ABS((D29-SUM($D$31:D31))-D11)&lt;'RFPR cover'!$F$14,"TRUE","FALSE"),"NA")</f>
        <v>TRUE</v>
      </c>
      <c r="E32" s="508" t="str">
        <f>IF(E5="Actuals",IF(ABS((E29-SUM($D$31:E31))-E11)&lt;'RFPR cover'!$F$14,"TRUE","FALSE"),"NA")</f>
        <v>TRUE</v>
      </c>
      <c r="F32" s="508" t="str">
        <f>IF(F5="Actuals",IF(ABS((F29-SUM($D$31:F31))-F11)&lt;'RFPR cover'!$F$14,"TRUE","FALSE"),"NA")</f>
        <v>TRUE</v>
      </c>
      <c r="G32" s="508" t="str">
        <f>IF(G5="Actuals",IF(ABS((G29-SUM($D$31:G31))-G11)&lt;'RFPR cover'!$F$14,"TRUE","FALSE"),"NA")</f>
        <v>TRUE</v>
      </c>
      <c r="H32" s="508" t="str">
        <f>IF(H5="Actuals",IF(ABS((H29-SUM($D$31:H31))-H11)&lt;'RFPR cover'!$F$14,"TRUE","FALSE"),"NA")</f>
        <v>TRUE</v>
      </c>
      <c r="I32" s="508" t="str">
        <f>IF(I5="Actuals",IF(ABS((I29-SUM($D$31:I31))-I11)&lt;'RFPR cover'!$F$14,"TRUE","FALSE"),"NA")</f>
        <v>TRUE</v>
      </c>
      <c r="J32" s="508" t="str">
        <f>IF(J5="Actuals",IF(ABS((J29-SUM($D$31:J31))-J11)&lt;'RFPR cover'!$F$14,"TRUE","FALSE"),"NA")</f>
        <v>NA</v>
      </c>
      <c r="K32" s="508"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1.3448452028200675</v>
      </c>
      <c r="K34" s="113">
        <f>Data!J$35</f>
        <v>1.4564673546541329</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1.2717196280780627</v>
      </c>
      <c r="K35" s="115">
        <f>Data!J$34</f>
        <v>1.3772723572085417</v>
      </c>
      <c r="L35" s="235"/>
      <c r="N35" s="213"/>
    </row>
    <row r="36" spans="2:14" s="31" customFormat="1">
      <c r="B36" s="172" t="s">
        <v>507</v>
      </c>
      <c r="C36" s="268" t="s">
        <v>126</v>
      </c>
      <c r="D36" s="854">
        <f>INDEX(Data!$F$14:$F$30,MATCH($D$6-1,Data!$C$14:$C$30,0),0)/IF('RFPR cover'!$C$6="ED1",Data!$E$17,Data!$E$14)</f>
        <v>1.0526208235414325</v>
      </c>
      <c r="E36" s="855"/>
      <c r="F36" s="855"/>
      <c r="G36" s="855"/>
      <c r="H36" s="855"/>
      <c r="I36" s="855"/>
      <c r="J36" s="855"/>
      <c r="K36" s="855"/>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20">
        <f t="shared" ref="D38:K38" si="8">D29*D34</f>
        <v>1628.5232416165238</v>
      </c>
      <c r="E38" s="720">
        <f t="shared" si="8"/>
        <v>1702.8781320971614</v>
      </c>
      <c r="F38" s="720">
        <f t="shared" si="8"/>
        <v>1776.0898567472293</v>
      </c>
      <c r="G38" s="720">
        <f t="shared" si="8"/>
        <v>1848.1266092550461</v>
      </c>
      <c r="H38" s="720">
        <f t="shared" si="8"/>
        <v>1913.8100323697568</v>
      </c>
      <c r="I38" s="720">
        <f t="shared" si="8"/>
        <v>1976.8139482861648</v>
      </c>
      <c r="J38" s="720">
        <f t="shared" si="8"/>
        <v>2209.3526564140784</v>
      </c>
      <c r="K38" s="720">
        <f t="shared" si="8"/>
        <v>2437.3598921442381</v>
      </c>
      <c r="N38" s="130"/>
    </row>
    <row r="39" spans="2:14" s="2" customFormat="1">
      <c r="B39" s="12"/>
      <c r="C39" s="211"/>
      <c r="D39" s="211"/>
      <c r="E39" s="211"/>
      <c r="F39" s="211"/>
      <c r="G39" s="211"/>
      <c r="H39" s="211"/>
      <c r="I39" s="211"/>
      <c r="J39" s="211"/>
      <c r="K39" s="211"/>
      <c r="N39" s="130"/>
    </row>
    <row r="40" spans="2:14" s="2" customFormat="1">
      <c r="B40" s="499"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1.6199999999999999E-2</v>
      </c>
      <c r="K40" s="405">
        <f>INDEX(Data!$K$73:$T$100,MATCH('RFPR cover'!$C$5,Data!$B$73:$B$100,0),MATCH('R9 - RAV'!K$6,Data!$K$72:$T$72,0))</f>
        <v>1.44E-2</v>
      </c>
      <c r="N40" s="130"/>
    </row>
    <row r="41" spans="2:14" s="2" customFormat="1">
      <c r="B41" s="499"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499"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3.1529999999999996E-2</v>
      </c>
      <c r="K43" s="402">
        <f t="shared" si="9"/>
        <v>3.0359999999999998E-2</v>
      </c>
      <c r="L43" s="212"/>
    </row>
    <row r="44" spans="2:14">
      <c r="C44" s="224"/>
      <c r="D44" s="219"/>
      <c r="E44" s="219"/>
      <c r="F44" s="219"/>
      <c r="G44" s="219"/>
      <c r="H44" s="219"/>
      <c r="I44" s="219"/>
      <c r="J44" s="219"/>
      <c r="K44" s="219"/>
    </row>
    <row r="45" spans="2:14">
      <c r="B45" s="366" t="s">
        <v>338</v>
      </c>
      <c r="C45" s="391" t="str">
        <f>'RFPR cover'!$C$14</f>
        <v>£m 12/13</v>
      </c>
      <c r="D45" s="96">
        <f t="shared" ref="D45:K45" si="10">D47*D42</f>
        <v>961.47980543925473</v>
      </c>
      <c r="E45" s="97">
        <f t="shared" si="10"/>
        <v>979.53694384924165</v>
      </c>
      <c r="F45" s="97">
        <f t="shared" si="10"/>
        <v>990.29537107041835</v>
      </c>
      <c r="G45" s="97">
        <f t="shared" si="10"/>
        <v>1001.7624033760669</v>
      </c>
      <c r="H45" s="97">
        <f t="shared" si="10"/>
        <v>1015.8876520899968</v>
      </c>
      <c r="I45" s="97">
        <f t="shared" si="10"/>
        <v>1029.2654198971486</v>
      </c>
      <c r="J45" s="97">
        <f t="shared" si="10"/>
        <v>1043.3357890441011</v>
      </c>
      <c r="K45" s="98">
        <f t="shared" si="10"/>
        <v>1061.7732405591069</v>
      </c>
    </row>
    <row r="46" spans="2:14">
      <c r="B46" s="366" t="s">
        <v>231</v>
      </c>
      <c r="C46" s="391" t="str">
        <f>'RFPR cover'!$C$14</f>
        <v>£m 12/13</v>
      </c>
      <c r="D46" s="514">
        <f t="shared" ref="D46:K46" si="11">D47*(1-D42)</f>
        <v>517.71989523652178</v>
      </c>
      <c r="E46" s="515">
        <f t="shared" si="11"/>
        <v>527.44296976497617</v>
      </c>
      <c r="F46" s="515">
        <f t="shared" si="11"/>
        <v>533.23596903791747</v>
      </c>
      <c r="G46" s="515">
        <f t="shared" si="11"/>
        <v>539.41052489480512</v>
      </c>
      <c r="H46" s="515">
        <f t="shared" si="11"/>
        <v>547.01642804845972</v>
      </c>
      <c r="I46" s="515">
        <f t="shared" si="11"/>
        <v>554.21984148308002</v>
      </c>
      <c r="J46" s="515">
        <f t="shared" si="11"/>
        <v>561.79619410066971</v>
      </c>
      <c r="K46" s="516">
        <f t="shared" si="11"/>
        <v>571.72405260874984</v>
      </c>
    </row>
    <row r="47" spans="2:14">
      <c r="B47" s="201" t="s">
        <v>230</v>
      </c>
      <c r="C47" s="211" t="str">
        <f>'RFPR cover'!$C$14</f>
        <v>£m 12/13</v>
      </c>
      <c r="D47" s="103">
        <f t="shared" ref="D47:K47" si="12">AVERAGE(D16,D29*(1/(1+D43)))</f>
        <v>1479.1997006757765</v>
      </c>
      <c r="E47" s="104">
        <f t="shared" si="12"/>
        <v>1506.9799136142178</v>
      </c>
      <c r="F47" s="104">
        <f t="shared" si="12"/>
        <v>1523.5313401083358</v>
      </c>
      <c r="G47" s="104">
        <f t="shared" si="12"/>
        <v>1541.172928270872</v>
      </c>
      <c r="H47" s="104">
        <f t="shared" si="12"/>
        <v>1562.9040801384565</v>
      </c>
      <c r="I47" s="104">
        <f t="shared" si="12"/>
        <v>1583.4852613802286</v>
      </c>
      <c r="J47" s="104">
        <f t="shared" si="12"/>
        <v>1605.1319831447709</v>
      </c>
      <c r="K47" s="105">
        <f t="shared" si="12"/>
        <v>1633.4972931678567</v>
      </c>
      <c r="N47" s="215"/>
    </row>
    <row r="48" spans="2:14">
      <c r="B48" s="201"/>
      <c r="C48" s="211"/>
      <c r="D48" s="211"/>
      <c r="E48" s="211"/>
      <c r="F48" s="211"/>
      <c r="G48" s="211"/>
      <c r="H48" s="211"/>
      <c r="I48" s="211"/>
      <c r="J48" s="211"/>
      <c r="K48" s="211"/>
      <c r="N48" s="215"/>
    </row>
    <row r="49" spans="2:14">
      <c r="B49" s="366" t="s">
        <v>339</v>
      </c>
      <c r="C49" s="391" t="str">
        <f>'RFPR cover'!$C$14</f>
        <v>£m 12/13</v>
      </c>
      <c r="D49" s="723">
        <f>D40*D45</f>
        <v>24.517735038700994</v>
      </c>
      <c r="E49" s="724">
        <f t="shared" ref="D49:K50" si="13">E40*E45</f>
        <v>23.704794041151647</v>
      </c>
      <c r="F49" s="724">
        <f t="shared" si="13"/>
        <v>22.677763997512582</v>
      </c>
      <c r="G49" s="724">
        <f t="shared" si="13"/>
        <v>20.936834230559796</v>
      </c>
      <c r="H49" s="724">
        <f t="shared" si="13"/>
        <v>19.708220450545937</v>
      </c>
      <c r="I49" s="724">
        <f t="shared" si="13"/>
        <v>18.320924474169246</v>
      </c>
      <c r="J49" s="724">
        <f t="shared" si="13"/>
        <v>16.902039782514439</v>
      </c>
      <c r="K49" s="725">
        <f t="shared" si="13"/>
        <v>15.289534664051139</v>
      </c>
    </row>
    <row r="50" spans="2:14">
      <c r="B50" s="366" t="s">
        <v>228</v>
      </c>
      <c r="C50" s="391" t="str">
        <f>'RFPR cover'!$C$14</f>
        <v>£m 12/13</v>
      </c>
      <c r="D50" s="93">
        <f t="shared" si="13"/>
        <v>31.063193714191307</v>
      </c>
      <c r="E50" s="94">
        <f t="shared" si="13"/>
        <v>31.646578185898569</v>
      </c>
      <c r="F50" s="94">
        <f t="shared" si="13"/>
        <v>31.994158142275047</v>
      </c>
      <c r="G50" s="94">
        <f t="shared" si="13"/>
        <v>32.364631493688307</v>
      </c>
      <c r="H50" s="94">
        <f t="shared" si="13"/>
        <v>32.820985682907583</v>
      </c>
      <c r="I50" s="94">
        <f t="shared" si="13"/>
        <v>33.253190488984799</v>
      </c>
      <c r="J50" s="94">
        <f t="shared" si="13"/>
        <v>33.707771646040179</v>
      </c>
      <c r="K50" s="95">
        <f t="shared" si="13"/>
        <v>34.303443156524992</v>
      </c>
      <c r="N50" s="215"/>
    </row>
    <row r="51" spans="2:14">
      <c r="B51" s="201" t="s">
        <v>341</v>
      </c>
      <c r="C51" s="391" t="str">
        <f>'RFPR cover'!$C$14</f>
        <v>£m 12/13</v>
      </c>
      <c r="D51" s="103">
        <f>SUM(D49:D50)</f>
        <v>55.580928752892305</v>
      </c>
      <c r="E51" s="104">
        <f t="shared" ref="E51:K51" si="14">SUM(E49:E50)</f>
        <v>55.35137222705022</v>
      </c>
      <c r="F51" s="104">
        <f t="shared" si="14"/>
        <v>54.671922139787625</v>
      </c>
      <c r="G51" s="104">
        <f t="shared" si="14"/>
        <v>53.301465724248104</v>
      </c>
      <c r="H51" s="104">
        <f t="shared" si="14"/>
        <v>52.529206133453521</v>
      </c>
      <c r="I51" s="104">
        <f t="shared" si="14"/>
        <v>51.574114963154045</v>
      </c>
      <c r="J51" s="104">
        <f t="shared" si="14"/>
        <v>50.609811428554622</v>
      </c>
      <c r="K51" s="105">
        <f t="shared" si="14"/>
        <v>49.592977820576131</v>
      </c>
      <c r="N51" s="215"/>
    </row>
    <row r="53" spans="2:14" s="31" customFormat="1">
      <c r="B53" s="366" t="s">
        <v>338</v>
      </c>
      <c r="C53" s="267" t="s">
        <v>127</v>
      </c>
      <c r="D53" s="96">
        <f t="shared" ref="D53:K54" si="15">D$35*D45</f>
        <v>1019.4731393257266</v>
      </c>
      <c r="E53" s="97">
        <f t="shared" si="15"/>
        <v>1060.8744408889272</v>
      </c>
      <c r="F53" s="97">
        <f t="shared" si="15"/>
        <v>1112.6601404729806</v>
      </c>
      <c r="G53" s="97">
        <f t="shared" si="15"/>
        <v>1159.9358454098979</v>
      </c>
      <c r="H53" s="97">
        <f t="shared" si="15"/>
        <v>1206.7420822672559</v>
      </c>
      <c r="I53" s="97">
        <f t="shared" si="15"/>
        <v>1237.4616155098988</v>
      </c>
      <c r="J53" s="97">
        <f t="shared" si="15"/>
        <v>1326.8306016036963</v>
      </c>
      <c r="K53" s="98">
        <f t="shared" si="15"/>
        <v>1462.3509338457932</v>
      </c>
      <c r="L53" s="235"/>
      <c r="N53" s="213"/>
    </row>
    <row r="54" spans="2:14" s="31" customFormat="1">
      <c r="B54" s="366" t="s">
        <v>231</v>
      </c>
      <c r="C54" s="267" t="s">
        <v>127</v>
      </c>
      <c r="D54" s="514">
        <f t="shared" si="15"/>
        <v>548.94707502154506</v>
      </c>
      <c r="E54" s="515">
        <f t="shared" si="15"/>
        <v>571.24008355557612</v>
      </c>
      <c r="F54" s="515">
        <f t="shared" si="15"/>
        <v>599.12469102391253</v>
      </c>
      <c r="G54" s="515">
        <f t="shared" si="15"/>
        <v>624.58083983609868</v>
      </c>
      <c r="H54" s="515">
        <f t="shared" si="15"/>
        <v>649.78419814390691</v>
      </c>
      <c r="I54" s="515">
        <f t="shared" si="15"/>
        <v>666.32548527456095</v>
      </c>
      <c r="J54" s="515">
        <f t="shared" si="15"/>
        <v>714.44724701737482</v>
      </c>
      <c r="K54" s="516">
        <f t="shared" si="15"/>
        <v>787.41973360927318</v>
      </c>
      <c r="L54" s="235"/>
      <c r="N54" s="213"/>
    </row>
    <row r="55" spans="2:14">
      <c r="B55" s="201" t="s">
        <v>340</v>
      </c>
      <c r="C55" s="267" t="s">
        <v>127</v>
      </c>
      <c r="D55" s="726">
        <f>SUM(D53:D54)</f>
        <v>1568.4202143472717</v>
      </c>
      <c r="E55" s="727">
        <f t="shared" ref="E55:K55" si="16">SUM(E53:E54)</f>
        <v>1632.1145244445033</v>
      </c>
      <c r="F55" s="727">
        <f t="shared" si="16"/>
        <v>1711.7848314968933</v>
      </c>
      <c r="G55" s="727">
        <f t="shared" si="16"/>
        <v>1784.5166852459965</v>
      </c>
      <c r="H55" s="727">
        <f t="shared" si="16"/>
        <v>1856.5262804111628</v>
      </c>
      <c r="I55" s="727">
        <f t="shared" si="16"/>
        <v>1903.7871007844597</v>
      </c>
      <c r="J55" s="727">
        <f t="shared" si="16"/>
        <v>2041.2778486210711</v>
      </c>
      <c r="K55" s="728">
        <f t="shared" si="16"/>
        <v>2249.7706674550664</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25.996565052806027</v>
      </c>
      <c r="E57" s="97">
        <f t="shared" si="17"/>
        <v>25.673161469512038</v>
      </c>
      <c r="F57" s="97">
        <f t="shared" si="17"/>
        <v>25.479917216831261</v>
      </c>
      <c r="G57" s="97">
        <f t="shared" si="17"/>
        <v>24.242659169066862</v>
      </c>
      <c r="H57" s="97">
        <f t="shared" si="17"/>
        <v>23.410796395984764</v>
      </c>
      <c r="I57" s="97">
        <f t="shared" si="17"/>
        <v>22.026816756076201</v>
      </c>
      <c r="J57" s="97">
        <f t="shared" si="17"/>
        <v>21.494655745979884</v>
      </c>
      <c r="K57" s="98">
        <f t="shared" si="17"/>
        <v>21.057853447379422</v>
      </c>
      <c r="L57" s="235"/>
      <c r="N57" s="213"/>
    </row>
    <row r="58" spans="2:14">
      <c r="B58" s="366" t="s">
        <v>237</v>
      </c>
      <c r="C58" s="267" t="s">
        <v>127</v>
      </c>
      <c r="D58" s="729">
        <f t="shared" si="17"/>
        <v>32.936824501292705</v>
      </c>
      <c r="E58" s="730">
        <f t="shared" si="17"/>
        <v>34.274405013334565</v>
      </c>
      <c r="F58" s="730">
        <f t="shared" si="17"/>
        <v>35.947481461434755</v>
      </c>
      <c r="G58" s="730">
        <f t="shared" si="17"/>
        <v>37.474850390165919</v>
      </c>
      <c r="H58" s="730">
        <f t="shared" si="17"/>
        <v>38.987051888634419</v>
      </c>
      <c r="I58" s="730">
        <f t="shared" si="17"/>
        <v>39.97952911647365</v>
      </c>
      <c r="J58" s="730">
        <f t="shared" si="17"/>
        <v>42.866834821042481</v>
      </c>
      <c r="K58" s="731">
        <f t="shared" si="17"/>
        <v>47.245184016556394</v>
      </c>
    </row>
    <row r="59" spans="2:14">
      <c r="B59" s="201" t="s">
        <v>341</v>
      </c>
      <c r="C59" s="267" t="s">
        <v>127</v>
      </c>
      <c r="D59" s="103">
        <f t="shared" ref="D59:K59" si="18">SUM(D57:D58)</f>
        <v>58.933389554098731</v>
      </c>
      <c r="E59" s="104">
        <f t="shared" si="18"/>
        <v>59.947566482846604</v>
      </c>
      <c r="F59" s="104">
        <f t="shared" si="18"/>
        <v>61.427398678266016</v>
      </c>
      <c r="G59" s="104">
        <f t="shared" si="18"/>
        <v>61.717509559232781</v>
      </c>
      <c r="H59" s="104">
        <f t="shared" si="18"/>
        <v>62.397848284619187</v>
      </c>
      <c r="I59" s="104">
        <f t="shared" si="18"/>
        <v>62.006345872549851</v>
      </c>
      <c r="J59" s="104">
        <f t="shared" si="18"/>
        <v>64.361490567022372</v>
      </c>
      <c r="K59" s="105">
        <f t="shared" si="18"/>
        <v>68.303037463935823</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algorithmName="SHA-512" hashValue="v/9G+B4dpJsl5FxztHrW6xVePh3W3PolY6UcheRekxZ5k6/tgPV2TtgeM4gWMAgOYoujNw+KozrU2gpFzQt+cw==" saltValue="16v40bu1zORDIprgX4peUA==" spinCount="100000" sheet="1" objects="1" scenarios="1"/>
  <conditionalFormatting sqref="D6:K6">
    <cfRule type="expression" dxfId="40" priority="13">
      <formula>AND(D$5="Actuals",E$5="Forecast")</formula>
    </cfRule>
  </conditionalFormatting>
  <conditionalFormatting sqref="D5:K5">
    <cfRule type="expression" dxfId="39"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102"/>
  <sheetViews>
    <sheetView showGridLines="0" zoomScale="80" zoomScaleNormal="80" workbookViewId="0">
      <pane ySplit="6" topLeftCell="A66" activePane="bottomLeft" state="frozen"/>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4" t="s">
        <v>260</v>
      </c>
      <c r="B1" s="900"/>
      <c r="C1" s="257"/>
      <c r="D1" s="257"/>
      <c r="E1" s="257"/>
      <c r="F1" s="257"/>
      <c r="G1" s="257"/>
      <c r="H1" s="257"/>
      <c r="I1" s="258"/>
      <c r="J1" s="258"/>
      <c r="K1" s="259"/>
      <c r="L1" s="260"/>
    </row>
    <row r="2" spans="1:13" s="31" customFormat="1" ht="20.25">
      <c r="A2" s="893" t="str">
        <f>'RFPR cover'!C5</f>
        <v>NPgY</v>
      </c>
      <c r="B2" s="885"/>
      <c r="C2" s="29"/>
      <c r="D2" s="29"/>
      <c r="E2" s="29"/>
      <c r="F2" s="29"/>
      <c r="G2" s="29"/>
      <c r="H2" s="29"/>
      <c r="I2" s="27"/>
      <c r="J2" s="27"/>
      <c r="K2" s="27"/>
      <c r="L2" s="124"/>
    </row>
    <row r="3" spans="1:13" s="31" customFormat="1" ht="20.25">
      <c r="A3" s="896">
        <f>'RFPR cover'!C7</f>
        <v>2022</v>
      </c>
      <c r="B3" s="903"/>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Actuals</v>
      </c>
      <c r="I5" s="384" t="str">
        <f>IF(I6&lt;=('RFPR cover'!$C$7-1),"Actuals","Forecast")</f>
        <v>Actuals</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2">
        <v>31.819017375000005</v>
      </c>
      <c r="E12" s="633">
        <v>29.986695830000006</v>
      </c>
      <c r="F12" s="633">
        <v>26.519530289999999</v>
      </c>
      <c r="G12" s="633">
        <v>27.211557480000003</v>
      </c>
      <c r="H12" s="633">
        <v>28.654261699999999</v>
      </c>
      <c r="I12" s="633">
        <v>29.674111329999999</v>
      </c>
      <c r="J12" s="633"/>
      <c r="K12" s="634"/>
    </row>
    <row r="13" spans="1:13">
      <c r="B13" s="14"/>
      <c r="C13" s="14"/>
      <c r="D13" s="732"/>
      <c r="E13" s="732"/>
      <c r="F13" s="732"/>
      <c r="G13" s="732"/>
      <c r="H13" s="732"/>
      <c r="I13" s="732"/>
      <c r="J13" s="732"/>
      <c r="K13" s="732"/>
    </row>
    <row r="14" spans="1:13">
      <c r="B14" s="14" t="s">
        <v>467</v>
      </c>
      <c r="C14" s="267"/>
      <c r="D14" s="732"/>
      <c r="E14" s="732"/>
      <c r="F14" s="732"/>
      <c r="G14" s="732"/>
      <c r="H14" s="732"/>
      <c r="I14" s="732"/>
      <c r="J14" s="732"/>
      <c r="K14" s="732"/>
    </row>
    <row r="15" spans="1:13">
      <c r="B15" s="364" t="s">
        <v>489</v>
      </c>
      <c r="C15" s="267" t="s">
        <v>127</v>
      </c>
      <c r="D15" s="588">
        <v>0.14532627807209497</v>
      </c>
      <c r="E15" s="589">
        <v>0.15326479410465785</v>
      </c>
      <c r="F15" s="589">
        <v>-5.1736557402666486E-2</v>
      </c>
      <c r="G15" s="589">
        <v>0.15283205545897532</v>
      </c>
      <c r="H15" s="589">
        <v>0.49831737961242417</v>
      </c>
      <c r="I15" s="589">
        <v>0.53612975401539198</v>
      </c>
      <c r="J15" s="589"/>
      <c r="K15" s="599"/>
    </row>
    <row r="16" spans="1:13">
      <c r="B16" s="425" t="s">
        <v>22</v>
      </c>
      <c r="C16" s="267" t="s">
        <v>127</v>
      </c>
      <c r="D16" s="588"/>
      <c r="E16" s="589"/>
      <c r="F16" s="589"/>
      <c r="G16" s="589"/>
      <c r="H16" s="589"/>
      <c r="I16" s="589"/>
      <c r="J16" s="589"/>
      <c r="K16" s="599"/>
    </row>
    <row r="17" spans="2:12">
      <c r="B17" s="425" t="s">
        <v>22</v>
      </c>
      <c r="C17" s="267" t="s">
        <v>127</v>
      </c>
      <c r="D17" s="588"/>
      <c r="E17" s="589"/>
      <c r="F17" s="589"/>
      <c r="G17" s="589"/>
      <c r="H17" s="589"/>
      <c r="I17" s="589"/>
      <c r="J17" s="589"/>
      <c r="K17" s="599"/>
    </row>
    <row r="18" spans="2:12">
      <c r="B18" s="425" t="s">
        <v>22</v>
      </c>
      <c r="C18" s="267" t="s">
        <v>127</v>
      </c>
      <c r="D18" s="588"/>
      <c r="E18" s="589"/>
      <c r="F18" s="589"/>
      <c r="G18" s="589"/>
      <c r="H18" s="589"/>
      <c r="I18" s="589"/>
      <c r="J18" s="589"/>
      <c r="K18" s="599"/>
    </row>
    <row r="19" spans="2:12">
      <c r="B19" s="269" t="s">
        <v>368</v>
      </c>
      <c r="C19" s="267" t="s">
        <v>127</v>
      </c>
      <c r="D19" s="733">
        <f>SUM(D15:D18)</f>
        <v>0.14532627807209497</v>
      </c>
      <c r="E19" s="734">
        <f t="shared" ref="E19:K19" si="1">SUM(E15:E18)</f>
        <v>0.15326479410465785</v>
      </c>
      <c r="F19" s="734">
        <f t="shared" si="1"/>
        <v>-5.1736557402666486E-2</v>
      </c>
      <c r="G19" s="734">
        <f t="shared" si="1"/>
        <v>0.15283205545897532</v>
      </c>
      <c r="H19" s="734">
        <f t="shared" si="1"/>
        <v>0.49831737961242417</v>
      </c>
      <c r="I19" s="734">
        <f t="shared" si="1"/>
        <v>0.53612975401539198</v>
      </c>
      <c r="J19" s="734">
        <f t="shared" si="1"/>
        <v>0</v>
      </c>
      <c r="K19" s="735">
        <f t="shared" si="1"/>
        <v>0</v>
      </c>
    </row>
    <row r="20" spans="2:12" s="31" customFormat="1">
      <c r="B20" s="364"/>
      <c r="C20" s="364"/>
      <c r="D20" s="736"/>
      <c r="E20" s="736"/>
      <c r="F20" s="736"/>
      <c r="G20" s="736"/>
      <c r="H20" s="736"/>
      <c r="I20" s="736"/>
      <c r="J20" s="736"/>
      <c r="K20" s="736"/>
      <c r="L20" s="364"/>
    </row>
    <row r="21" spans="2:12">
      <c r="B21" s="14" t="s">
        <v>330</v>
      </c>
      <c r="C21" s="267"/>
      <c r="D21" s="737"/>
      <c r="E21" s="737"/>
      <c r="F21" s="737"/>
      <c r="G21" s="737"/>
      <c r="H21" s="737"/>
      <c r="I21" s="737"/>
      <c r="J21" s="737"/>
      <c r="K21" s="737"/>
      <c r="L21" s="267"/>
    </row>
    <row r="22" spans="2:12">
      <c r="B22" s="364" t="s">
        <v>490</v>
      </c>
      <c r="C22" s="267" t="s">
        <v>127</v>
      </c>
      <c r="D22" s="842">
        <f>('R5 - Output Incentives'!D102)*INDEX(Data!$G$14:$G$30,MATCH('R10 - Tax'!D$6,Data!$C$14:$C$30,0),1)</f>
        <v>1.6014347229172388</v>
      </c>
      <c r="E22" s="843">
        <f>('R5 - Output Incentives'!E102)*INDEX(Data!$G$14:$G$30,MATCH('R10 - Tax'!E$6,Data!$C$14:$C$30,0),1)</f>
        <v>2.5824790098593442</v>
      </c>
      <c r="F22" s="843">
        <f>('R5 - Output Incentives'!F102)*INDEX(Data!$G$14:$G$30,MATCH('R10 - Tax'!F$6,Data!$C$14:$C$30,0),1)</f>
        <v>3.4770138134920061</v>
      </c>
      <c r="G22" s="843">
        <f>('R5 - Output Incentives'!G102)*INDEX(Data!$G$14:$G$30,MATCH('R10 - Tax'!G$6,Data!$C$14:$C$30,0),1)</f>
        <v>3.8182710544203018</v>
      </c>
      <c r="H22" s="845">
        <f>('R5 - Output Incentives'!H102)*INDEX(Data!$G$14:$G$30,MATCH('R10 - Tax'!H$6,Data!$C$14:$C$30,0),1)</f>
        <v>3.8398670257334451</v>
      </c>
      <c r="I22" s="845">
        <f>('R5 - Output Incentives'!I102)*INDEX(Data!$G$14:$G$30,MATCH('R10 - Tax'!I$6,Data!$C$14:$C$30,0),1)</f>
        <v>4.0070758766776473</v>
      </c>
      <c r="J22" s="845">
        <f>('R5 - Output Incentives'!J102)*INDEX(Data!$G$14:$G$30,MATCH('R10 - Tax'!J$6,Data!$C$14:$C$30,0),1)</f>
        <v>3.6789559242090952</v>
      </c>
      <c r="K22" s="846">
        <f>('R5 - Output Incentives'!K102)*INDEX(Data!$G$14:$G$30,MATCH('R10 - Tax'!K$6,Data!$C$14:$C$30,0),1)</f>
        <v>3.7610410099838387</v>
      </c>
    </row>
    <row r="23" spans="2:12">
      <c r="B23" s="364" t="s">
        <v>491</v>
      </c>
      <c r="C23" s="267" t="s">
        <v>127</v>
      </c>
      <c r="D23" s="592">
        <f>('R4 - Totex'!D77-'R4 - Totex'!D79)*D52</f>
        <v>0</v>
      </c>
      <c r="E23" s="594">
        <f>('R4 - Totex'!E77-'R4 - Totex'!E79)*E52</f>
        <v>0</v>
      </c>
      <c r="F23" s="594">
        <f>('R4 - Totex'!F77-'R4 - Totex'!F79)*F52</f>
        <v>0</v>
      </c>
      <c r="G23" s="594">
        <f>('R4 - Totex'!G77-'R4 - Totex'!G79)*G52</f>
        <v>0</v>
      </c>
      <c r="H23" s="847">
        <f>('R4 - Totex'!H77-'R4 - Totex'!H79)*H52</f>
        <v>0</v>
      </c>
      <c r="I23" s="847">
        <f>('R4 - Totex'!I77-'R4 - Totex'!I79)*I52</f>
        <v>0</v>
      </c>
      <c r="J23" s="847">
        <f>('R4 - Totex'!J77-'R4 - Totex'!J79)*J52</f>
        <v>0</v>
      </c>
      <c r="K23" s="848">
        <f>('R4 - Totex'!K77-'R4 - Totex'!K79)*K52</f>
        <v>0</v>
      </c>
    </row>
    <row r="24" spans="2:12">
      <c r="B24" s="364" t="s">
        <v>492</v>
      </c>
      <c r="C24" s="267" t="s">
        <v>127</v>
      </c>
      <c r="D24" s="590">
        <v>2.7175248000000001</v>
      </c>
      <c r="E24" s="591">
        <v>2.5330196405595777</v>
      </c>
      <c r="F24" s="591">
        <v>0.12873212725609975</v>
      </c>
      <c r="G24" s="591">
        <v>-0.59158086047112191</v>
      </c>
      <c r="H24" s="591">
        <v>0.33641833362238738</v>
      </c>
      <c r="I24" s="591">
        <v>1.5629402403514649</v>
      </c>
      <c r="J24" s="591"/>
      <c r="K24" s="600"/>
    </row>
    <row r="25" spans="2:12">
      <c r="B25" s="364" t="s">
        <v>493</v>
      </c>
      <c r="C25" s="267" t="s">
        <v>127</v>
      </c>
      <c r="D25" s="590">
        <v>-0.16439424227478183</v>
      </c>
      <c r="E25" s="591">
        <v>0.43642909404837915</v>
      </c>
      <c r="F25" s="591">
        <v>0.18111074635695518</v>
      </c>
      <c r="G25" s="591">
        <v>-7.558167655109671E-2</v>
      </c>
      <c r="H25" s="591">
        <v>-8.7557977610851434E-2</v>
      </c>
      <c r="I25" s="591">
        <v>-0.10109539323953232</v>
      </c>
      <c r="J25" s="591"/>
      <c r="K25" s="600"/>
    </row>
    <row r="26" spans="2:12">
      <c r="B26" s="364" t="s">
        <v>494</v>
      </c>
      <c r="C26" s="267" t="s">
        <v>127</v>
      </c>
      <c r="D26" s="590">
        <v>0</v>
      </c>
      <c r="E26" s="591">
        <v>0</v>
      </c>
      <c r="F26" s="591">
        <v>0</v>
      </c>
      <c r="G26" s="591">
        <v>-0.17279598197393156</v>
      </c>
      <c r="H26" s="591">
        <v>-0.1595223171534893</v>
      </c>
      <c r="I26" s="591">
        <v>-0.169412649899851</v>
      </c>
      <c r="J26" s="591"/>
      <c r="K26" s="600"/>
    </row>
    <row r="27" spans="2:12">
      <c r="B27" s="364" t="s">
        <v>495</v>
      </c>
      <c r="C27" s="267" t="s">
        <v>127</v>
      </c>
      <c r="D27" s="590"/>
      <c r="E27" s="591"/>
      <c r="F27" s="591"/>
      <c r="G27" s="591"/>
      <c r="H27" s="591"/>
      <c r="I27" s="591"/>
      <c r="J27" s="591"/>
      <c r="K27" s="600"/>
    </row>
    <row r="28" spans="2:12">
      <c r="B28" s="364" t="s">
        <v>545</v>
      </c>
      <c r="C28" s="267" t="s">
        <v>127</v>
      </c>
      <c r="D28" s="590"/>
      <c r="E28" s="591"/>
      <c r="F28" s="591"/>
      <c r="G28" s="591"/>
      <c r="H28" s="591"/>
      <c r="I28" s="591"/>
      <c r="J28" s="591"/>
      <c r="K28" s="600"/>
    </row>
    <row r="29" spans="2:12">
      <c r="B29" s="922" t="s">
        <v>576</v>
      </c>
      <c r="C29" s="267" t="s">
        <v>127</v>
      </c>
      <c r="D29" s="590"/>
      <c r="E29" s="591"/>
      <c r="F29" s="591"/>
      <c r="G29" s="591"/>
      <c r="H29" s="591"/>
      <c r="I29" s="591"/>
      <c r="J29" s="591"/>
      <c r="K29" s="600"/>
    </row>
    <row r="30" spans="2:12" ht="33" customHeight="1">
      <c r="B30" s="923" t="s">
        <v>577</v>
      </c>
      <c r="C30" s="267" t="s">
        <v>127</v>
      </c>
      <c r="D30" s="590">
        <v>15.472032298624999</v>
      </c>
      <c r="E30" s="591">
        <v>12.393227968000003</v>
      </c>
      <c r="F30" s="591">
        <v>12.521110218000004</v>
      </c>
      <c r="G30" s="591">
        <v>11.5046726093</v>
      </c>
      <c r="H30" s="591">
        <v>11.571499684800003</v>
      </c>
      <c r="I30" s="591">
        <v>12.032398975400001</v>
      </c>
      <c r="J30" s="591"/>
      <c r="K30" s="600"/>
    </row>
    <row r="31" spans="2:12" ht="33" customHeight="1">
      <c r="B31" s="923" t="s">
        <v>578</v>
      </c>
      <c r="C31" s="267" t="s">
        <v>127</v>
      </c>
      <c r="D31" s="590">
        <v>-12.393227968000003</v>
      </c>
      <c r="E31" s="591">
        <v>-12.521110218000004</v>
      </c>
      <c r="F31" s="591">
        <v>-11.5046726093</v>
      </c>
      <c r="G31" s="591">
        <v>-11.571499684800003</v>
      </c>
      <c r="H31" s="591">
        <v>-12.032398975400001</v>
      </c>
      <c r="I31" s="591">
        <v>-12.780721316999996</v>
      </c>
      <c r="J31" s="591"/>
      <c r="K31" s="600"/>
    </row>
    <row r="32" spans="2:12">
      <c r="B32" s="922" t="s">
        <v>330</v>
      </c>
      <c r="C32" s="267" t="s">
        <v>127</v>
      </c>
      <c r="D32" s="590"/>
      <c r="E32" s="591"/>
      <c r="F32" s="591"/>
      <c r="G32" s="591"/>
      <c r="H32" s="591"/>
      <c r="I32" s="591"/>
      <c r="J32" s="591"/>
      <c r="K32" s="600"/>
    </row>
    <row r="33" spans="2:11">
      <c r="B33" s="425" t="s">
        <v>579</v>
      </c>
      <c r="C33" s="267" t="s">
        <v>127</v>
      </c>
      <c r="D33" s="601">
        <v>-2.1983327754019637</v>
      </c>
      <c r="E33" s="602">
        <v>-2.3596954309100036</v>
      </c>
      <c r="F33" s="602">
        <v>-1.4281609286119421</v>
      </c>
      <c r="G33" s="602">
        <v>0</v>
      </c>
      <c r="H33" s="602">
        <v>0</v>
      </c>
      <c r="I33" s="602">
        <v>0</v>
      </c>
      <c r="J33" s="602"/>
      <c r="K33" s="603"/>
    </row>
    <row r="34" spans="2:11">
      <c r="B34" s="425" t="s">
        <v>580</v>
      </c>
      <c r="C34" s="267" t="s">
        <v>127</v>
      </c>
      <c r="D34" s="601">
        <v>0.25808700287714087</v>
      </c>
      <c r="E34" s="602">
        <v>3.5031749981199456E-2</v>
      </c>
      <c r="F34" s="602">
        <v>0.27901600134166887</v>
      </c>
      <c r="G34" s="602">
        <v>0.29748614771409471</v>
      </c>
      <c r="H34" s="602">
        <v>0.31544451875741258</v>
      </c>
      <c r="I34" s="602">
        <v>0.32966896641540749</v>
      </c>
      <c r="J34" s="602"/>
      <c r="K34" s="603"/>
    </row>
    <row r="35" spans="2:11">
      <c r="B35" s="425" t="s">
        <v>581</v>
      </c>
      <c r="C35" s="267" t="s">
        <v>127</v>
      </c>
      <c r="D35" s="601">
        <v>-0.10873515650993056</v>
      </c>
      <c r="E35" s="602">
        <v>-3.3873952259468688E-2</v>
      </c>
      <c r="F35" s="602">
        <v>-4.0188261673190936E-2</v>
      </c>
      <c r="G35" s="602">
        <v>-3.6807851836013192E-2</v>
      </c>
      <c r="H35" s="602">
        <v>-9.6563151515259626E-2</v>
      </c>
      <c r="I35" s="602">
        <v>-0.20837416221032593</v>
      </c>
      <c r="J35" s="602"/>
      <c r="K35" s="603"/>
    </row>
    <row r="36" spans="2:11">
      <c r="B36" s="425" t="s">
        <v>582</v>
      </c>
      <c r="C36" s="267" t="s">
        <v>127</v>
      </c>
      <c r="D36" s="601">
        <v>-0.14740631600000004</v>
      </c>
      <c r="E36" s="602">
        <v>-0.17408146400000002</v>
      </c>
      <c r="F36" s="602">
        <v>-5.2345355300000007E-2</v>
      </c>
      <c r="G36" s="602">
        <v>-0.26992289959999999</v>
      </c>
      <c r="H36" s="602">
        <v>-0.1518623298</v>
      </c>
      <c r="I36" s="602">
        <v>-0.175287255</v>
      </c>
      <c r="J36" s="602"/>
      <c r="K36" s="603"/>
    </row>
    <row r="37" spans="2:11">
      <c r="B37" s="425" t="s">
        <v>583</v>
      </c>
      <c r="C37" s="267" t="s">
        <v>127</v>
      </c>
      <c r="D37" s="601">
        <v>-1.6404976495490598E-2</v>
      </c>
      <c r="E37" s="602">
        <v>-1.565060917782779E-2</v>
      </c>
      <c r="F37" s="602">
        <v>-4.4289451820987272E-2</v>
      </c>
      <c r="G37" s="602">
        <v>-4.582652351634374E-2</v>
      </c>
      <c r="H37" s="602">
        <v>-4.4377217701028981E-2</v>
      </c>
      <c r="I37" s="602">
        <v>-4.6905659515210446E-2</v>
      </c>
      <c r="J37" s="602"/>
      <c r="K37" s="603"/>
    </row>
    <row r="38" spans="2:11">
      <c r="B38" s="425" t="s">
        <v>584</v>
      </c>
      <c r="C38" s="267" t="s">
        <v>127</v>
      </c>
      <c r="D38" s="601">
        <v>-4.1713590469566464E-4</v>
      </c>
      <c r="E38" s="602">
        <v>1.6771314000000002E-2</v>
      </c>
      <c r="F38" s="602">
        <v>3.2035957000000059E-3</v>
      </c>
      <c r="G38" s="602">
        <v>-1.1135252099999993E-2</v>
      </c>
      <c r="H38" s="602">
        <v>0</v>
      </c>
      <c r="I38" s="602">
        <v>-9.4999999949996194E-9</v>
      </c>
      <c r="J38" s="602"/>
      <c r="K38" s="603"/>
    </row>
    <row r="39" spans="2:11">
      <c r="B39" s="425" t="s">
        <v>585</v>
      </c>
      <c r="C39" s="267" t="s">
        <v>127</v>
      </c>
      <c r="D39" s="601">
        <v>-0.57943958392385819</v>
      </c>
      <c r="E39" s="602">
        <v>-0.51559498186171893</v>
      </c>
      <c r="F39" s="602">
        <v>-0.40912664245025504</v>
      </c>
      <c r="G39" s="602">
        <v>-0.44164106944545672</v>
      </c>
      <c r="H39" s="602">
        <v>-0.34311700803144485</v>
      </c>
      <c r="I39" s="602">
        <v>-0.20805133325227226</v>
      </c>
      <c r="J39" s="602"/>
      <c r="K39" s="603"/>
    </row>
    <row r="40" spans="2:11">
      <c r="B40" s="922" t="s">
        <v>586</v>
      </c>
      <c r="C40" s="267" t="s">
        <v>127</v>
      </c>
      <c r="D40" s="601"/>
      <c r="E40" s="602"/>
      <c r="F40" s="602"/>
      <c r="G40" s="602"/>
      <c r="H40" s="602"/>
      <c r="I40" s="602"/>
      <c r="J40" s="602"/>
      <c r="K40" s="603"/>
    </row>
    <row r="41" spans="2:11">
      <c r="B41" s="425" t="s">
        <v>587</v>
      </c>
      <c r="C41" s="267" t="s">
        <v>127</v>
      </c>
      <c r="D41" s="601">
        <v>-0.13045582397468253</v>
      </c>
      <c r="E41" s="602">
        <v>0.60036877589062676</v>
      </c>
      <c r="F41" s="602">
        <v>-0.32329694272193249</v>
      </c>
      <c r="G41" s="602">
        <v>-1.4966347730927811</v>
      </c>
      <c r="H41" s="602">
        <v>-1.0053462170427172</v>
      </c>
      <c r="I41" s="602">
        <v>-3.5058344715716192</v>
      </c>
      <c r="J41" s="602"/>
      <c r="K41" s="603"/>
    </row>
    <row r="42" spans="2:11">
      <c r="B42" s="425" t="s">
        <v>594</v>
      </c>
      <c r="C42" s="267" t="s">
        <v>127</v>
      </c>
      <c r="D42" s="590">
        <v>-6.3878826337342043E-2</v>
      </c>
      <c r="E42" s="591">
        <v>1.0110216210361214</v>
      </c>
      <c r="F42" s="591">
        <v>0.5280434316300846</v>
      </c>
      <c r="G42" s="591">
        <v>-0.30170095912134959</v>
      </c>
      <c r="H42" s="602">
        <v>-1.9530101573644825</v>
      </c>
      <c r="I42" s="602">
        <v>-0.94011476279695483</v>
      </c>
      <c r="J42" s="602"/>
      <c r="K42" s="603"/>
    </row>
    <row r="43" spans="2:11">
      <c r="B43" s="425" t="s">
        <v>588</v>
      </c>
      <c r="C43" s="267" t="s">
        <v>127</v>
      </c>
      <c r="D43" s="601">
        <v>1.4033401532645411</v>
      </c>
      <c r="E43" s="602">
        <v>0.25618891999591209</v>
      </c>
      <c r="F43" s="602">
        <v>-0.13871194753329982</v>
      </c>
      <c r="G43" s="602">
        <v>5.688984048763767E-2</v>
      </c>
      <c r="H43" s="602">
        <v>0.49822344263361001</v>
      </c>
      <c r="I43" s="602">
        <v>0.87672617288240817</v>
      </c>
      <c r="J43" s="602"/>
      <c r="K43" s="603"/>
    </row>
    <row r="44" spans="2:11">
      <c r="B44" s="425" t="s">
        <v>589</v>
      </c>
      <c r="C44" s="267" t="s">
        <v>127</v>
      </c>
      <c r="D44" s="601">
        <v>0</v>
      </c>
      <c r="E44" s="602">
        <v>0</v>
      </c>
      <c r="F44" s="602">
        <v>-1.5161484065984141</v>
      </c>
      <c r="G44" s="602">
        <v>-0.27923844175787088</v>
      </c>
      <c r="H44" s="602">
        <v>0.18195195216702881</v>
      </c>
      <c r="I44" s="602">
        <v>-7.7702521549475323E-2</v>
      </c>
      <c r="J44" s="602"/>
      <c r="K44" s="603"/>
    </row>
    <row r="45" spans="2:11">
      <c r="B45" s="425" t="s">
        <v>566</v>
      </c>
      <c r="C45" s="267" t="s">
        <v>127</v>
      </c>
      <c r="D45" s="601">
        <v>-9.196147392841568E-2</v>
      </c>
      <c r="E45" s="602">
        <v>-0.40372520738110751</v>
      </c>
      <c r="F45" s="602">
        <v>1.22766276617934</v>
      </c>
      <c r="G45" s="602">
        <v>1.7543367451268839</v>
      </c>
      <c r="H45" s="602">
        <v>-0.11592452843329049</v>
      </c>
      <c r="I45" s="602">
        <v>-0.66661390288611333</v>
      </c>
      <c r="J45" s="602"/>
      <c r="K45" s="603"/>
    </row>
    <row r="46" spans="2:11">
      <c r="B46" s="425" t="s">
        <v>20</v>
      </c>
      <c r="C46" s="267" t="s">
        <v>127</v>
      </c>
      <c r="D46" s="601"/>
      <c r="E46" s="602"/>
      <c r="F46" s="602"/>
      <c r="G46" s="602"/>
      <c r="H46" s="602"/>
      <c r="I46" s="602"/>
      <c r="J46" s="602"/>
      <c r="K46" s="603"/>
    </row>
    <row r="47" spans="2:11">
      <c r="B47" s="14" t="s">
        <v>176</v>
      </c>
      <c r="C47" s="267" t="s">
        <v>127</v>
      </c>
      <c r="D47" s="738">
        <f t="shared" ref="D47:K47" si="2">SUM(D22:D46)</f>
        <v>5.5577646989327523</v>
      </c>
      <c r="E47" s="739">
        <f t="shared" si="2"/>
        <v>3.8408062297810339</v>
      </c>
      <c r="F47" s="739">
        <f t="shared" si="2"/>
        <v>2.8889521539461374</v>
      </c>
      <c r="G47" s="739">
        <f t="shared" si="2"/>
        <v>2.1372904227829506</v>
      </c>
      <c r="H47" s="739">
        <f t="shared" si="2"/>
        <v>0.75372507766132124</v>
      </c>
      <c r="I47" s="739">
        <f t="shared" si="2"/>
        <v>-7.1303206694418919E-2</v>
      </c>
      <c r="J47" s="739">
        <f t="shared" si="2"/>
        <v>3.6789559242090952</v>
      </c>
      <c r="K47" s="740">
        <f t="shared" si="2"/>
        <v>3.7610410099838387</v>
      </c>
    </row>
    <row r="49" spans="2:13" ht="12.75" customHeight="1">
      <c r="B49" s="816" t="s">
        <v>502</v>
      </c>
      <c r="C49" s="267" t="s">
        <v>127</v>
      </c>
      <c r="D49" s="632"/>
      <c r="E49" s="632"/>
      <c r="F49" s="633"/>
      <c r="G49" s="633"/>
      <c r="H49" s="633"/>
      <c r="I49" s="633"/>
      <c r="J49" s="928">
        <v>35.613459613853458</v>
      </c>
      <c r="K49" s="929">
        <v>36.04340027218101</v>
      </c>
    </row>
    <row r="50" spans="2:13" ht="12.75" customHeight="1">
      <c r="B50" s="816" t="s">
        <v>471</v>
      </c>
      <c r="C50" s="267" t="s">
        <v>127</v>
      </c>
      <c r="D50" s="738">
        <f t="shared" ref="D50:K50" si="3">D12+D49-D19-D47</f>
        <v>26.11592639799516</v>
      </c>
      <c r="E50" s="739">
        <f>E12+E49-E19-E47</f>
        <v>25.992624806114314</v>
      </c>
      <c r="F50" s="739">
        <f>F12+F49-F19-F47</f>
        <v>23.682314693456526</v>
      </c>
      <c r="G50" s="739">
        <f>G12+G49-G19-G47</f>
        <v>24.921435001758077</v>
      </c>
      <c r="H50" s="739">
        <f t="shared" si="3"/>
        <v>27.402219242726254</v>
      </c>
      <c r="I50" s="739">
        <f t="shared" si="3"/>
        <v>29.209284782679028</v>
      </c>
      <c r="J50" s="739">
        <f t="shared" si="3"/>
        <v>31.934503689644362</v>
      </c>
      <c r="K50" s="740">
        <f t="shared" si="3"/>
        <v>32.282359262197168</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1.2022764892203943</v>
      </c>
      <c r="J52" s="113">
        <f>Data!I$34</f>
        <v>1.2717196280780627</v>
      </c>
      <c r="K52" s="113">
        <f>Data!J$34</f>
        <v>1.3772723572085417</v>
      </c>
      <c r="L52" s="267"/>
    </row>
    <row r="53" spans="2:13">
      <c r="B53" s="200"/>
      <c r="C53" s="267"/>
      <c r="D53" s="267"/>
      <c r="E53" s="267"/>
      <c r="F53" s="267"/>
      <c r="G53" s="267"/>
      <c r="H53" s="267"/>
      <c r="I53" s="267"/>
      <c r="J53" s="267"/>
      <c r="K53" s="267"/>
    </row>
    <row r="54" spans="2:13">
      <c r="B54" s="537" t="s">
        <v>472</v>
      </c>
      <c r="C54" s="391" t="str">
        <f>'RFPR cover'!$C$14</f>
        <v>£m 12/13</v>
      </c>
      <c r="D54" s="781">
        <f t="shared" ref="D54:K54" si="4">D50/D52</f>
        <v>24.630306443010202</v>
      </c>
      <c r="E54" s="782">
        <f t="shared" si="4"/>
        <v>23.999764047352446</v>
      </c>
      <c r="F54" s="782">
        <f t="shared" si="4"/>
        <v>21.077852763911839</v>
      </c>
      <c r="G54" s="782">
        <f t="shared" si="4"/>
        <v>21.523049504620971</v>
      </c>
      <c r="H54" s="782">
        <f t="shared" si="4"/>
        <v>23.068372751405668</v>
      </c>
      <c r="I54" s="782">
        <f t="shared" si="4"/>
        <v>24.294981266430263</v>
      </c>
      <c r="J54" s="782">
        <f t="shared" si="4"/>
        <v>25.111276876261368</v>
      </c>
      <c r="K54" s="783">
        <f t="shared" si="4"/>
        <v>23.439343056029323</v>
      </c>
    </row>
    <row r="55" spans="2:13">
      <c r="B55" s="816"/>
      <c r="C55" s="816"/>
      <c r="D55" s="816"/>
      <c r="E55" s="816"/>
      <c r="F55" s="816"/>
      <c r="G55" s="816"/>
      <c r="H55" s="816"/>
      <c r="I55" s="816"/>
      <c r="J55" s="816"/>
      <c r="K55" s="816"/>
    </row>
    <row r="56" spans="2:13">
      <c r="B56" s="824"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4">
        <f>'RFPR cover'!$C$12</f>
        <v>0.65</v>
      </c>
      <c r="E59" s="875">
        <f>'RFPR cover'!$C$12</f>
        <v>0.65</v>
      </c>
      <c r="F59" s="875">
        <f>'RFPR cover'!$C$12</f>
        <v>0.65</v>
      </c>
      <c r="G59" s="875">
        <f>'RFPR cover'!$C$12</f>
        <v>0.65</v>
      </c>
      <c r="H59" s="875">
        <f>'RFPR cover'!$C$12</f>
        <v>0.65</v>
      </c>
      <c r="I59" s="875">
        <f>'RFPR cover'!$C$12</f>
        <v>0.65</v>
      </c>
      <c r="J59" s="875">
        <f>'RFPR cover'!$C$12</f>
        <v>0.65</v>
      </c>
      <c r="K59" s="876">
        <f>'RFPR cover'!$C$12</f>
        <v>0.65</v>
      </c>
    </row>
    <row r="60" spans="2:13" ht="12.75" customHeight="1">
      <c r="B60" s="214" t="s">
        <v>405</v>
      </c>
      <c r="C60" s="156" t="s">
        <v>7</v>
      </c>
      <c r="D60" s="874">
        <f>'R8 - Net Debt'!D57</f>
        <v>0.50794083324969319</v>
      </c>
      <c r="E60" s="875">
        <f>'R8 - Net Debt'!E57</f>
        <v>0.49891916750552673</v>
      </c>
      <c r="F60" s="875">
        <f>'R8 - Net Debt'!F57</f>
        <v>0.4760837137079168</v>
      </c>
      <c r="G60" s="875">
        <f>'R8 - Net Debt'!G57</f>
        <v>0.46573377054982462</v>
      </c>
      <c r="H60" s="875">
        <f>'R8 - Net Debt'!H57</f>
        <v>0.47128119606880492</v>
      </c>
      <c r="I60" s="875">
        <f>'R8 - Net Debt'!I57</f>
        <v>0.48675893877586307</v>
      </c>
      <c r="J60" s="875">
        <f>'R8 - Net Debt'!J57</f>
        <v>0.47137112080218818</v>
      </c>
      <c r="K60" s="876">
        <f>'R8 - Net Debt'!K57</f>
        <v>0.43056828314955425</v>
      </c>
    </row>
    <row r="61" spans="2:13" ht="12.75" customHeight="1">
      <c r="B61" s="214"/>
      <c r="C61" s="156"/>
      <c r="D61" s="156"/>
      <c r="E61" s="156"/>
      <c r="F61" s="156"/>
      <c r="G61" s="156"/>
      <c r="H61" s="156"/>
      <c r="I61" s="156"/>
      <c r="J61" s="156"/>
      <c r="K61" s="156"/>
      <c r="L61" s="156"/>
    </row>
    <row r="62" spans="2:13" ht="12.75" customHeight="1">
      <c r="B62" s="816" t="s">
        <v>472</v>
      </c>
      <c r="C62" s="267" t="s">
        <v>127</v>
      </c>
      <c r="D62" s="781">
        <f>D50</f>
        <v>26.11592639799516</v>
      </c>
      <c r="E62" s="781">
        <f t="shared" ref="E62:K62" si="5">E50</f>
        <v>25.992624806114314</v>
      </c>
      <c r="F62" s="781">
        <f t="shared" si="5"/>
        <v>23.682314693456526</v>
      </c>
      <c r="G62" s="781">
        <f t="shared" si="5"/>
        <v>24.921435001758077</v>
      </c>
      <c r="H62" s="781">
        <f t="shared" si="5"/>
        <v>27.402219242726254</v>
      </c>
      <c r="I62" s="781">
        <f t="shared" si="5"/>
        <v>29.209284782679028</v>
      </c>
      <c r="J62" s="781">
        <f t="shared" si="5"/>
        <v>31.934503689644362</v>
      </c>
      <c r="K62" s="781">
        <f t="shared" si="5"/>
        <v>32.282359262197168</v>
      </c>
    </row>
    <row r="63" spans="2:13">
      <c r="B63" s="214" t="s">
        <v>453</v>
      </c>
      <c r="C63" s="267" t="s">
        <v>127</v>
      </c>
      <c r="D63" s="781">
        <f>D98-D100</f>
        <v>-2.6543731620726749</v>
      </c>
      <c r="E63" s="781">
        <f t="shared" ref="E63:K63" si="6">E98-E100</f>
        <v>-2.9837109138587068</v>
      </c>
      <c r="F63" s="781">
        <f t="shared" si="6"/>
        <v>-3.4966463477900698</v>
      </c>
      <c r="G63" s="781">
        <f t="shared" si="6"/>
        <v>-3.7569187527207282</v>
      </c>
      <c r="H63" s="781">
        <f t="shared" si="6"/>
        <v>-3.526350292018599</v>
      </c>
      <c r="I63" s="781">
        <f t="shared" si="6"/>
        <v>-2.4854877392182266</v>
      </c>
      <c r="J63" s="781">
        <f t="shared" si="6"/>
        <v>-2.8102954561575082</v>
      </c>
      <c r="K63" s="781">
        <f t="shared" si="6"/>
        <v>-3.3918661521755475</v>
      </c>
      <c r="L63" s="267"/>
    </row>
    <row r="64" spans="2:13" s="31" customFormat="1">
      <c r="B64" s="825" t="s">
        <v>413</v>
      </c>
      <c r="C64" s="267" t="s">
        <v>127</v>
      </c>
      <c r="D64" s="738">
        <f>SUM(D62:D63)</f>
        <v>23.461553235922487</v>
      </c>
      <c r="E64" s="739">
        <f t="shared" ref="E64:K64" si="7">SUM(E62:E63)</f>
        <v>23.008913892255606</v>
      </c>
      <c r="F64" s="739">
        <f t="shared" si="7"/>
        <v>20.185668345666457</v>
      </c>
      <c r="G64" s="739">
        <f t="shared" si="7"/>
        <v>21.164516249037348</v>
      </c>
      <c r="H64" s="739">
        <f t="shared" si="7"/>
        <v>23.875868950707655</v>
      </c>
      <c r="I64" s="739">
        <f t="shared" si="7"/>
        <v>26.723797043460802</v>
      </c>
      <c r="J64" s="739">
        <f t="shared" si="7"/>
        <v>29.124208233486854</v>
      </c>
      <c r="K64" s="740">
        <f t="shared" si="7"/>
        <v>28.89049311002162</v>
      </c>
      <c r="L64" s="801"/>
    </row>
    <row r="66" spans="2:14">
      <c r="B66" s="825" t="s">
        <v>413</v>
      </c>
      <c r="C66" s="391" t="str">
        <f>'RFPR cover'!$C$14</f>
        <v>£m 12/13</v>
      </c>
      <c r="D66" s="738">
        <f>D64/D52</f>
        <v>22.126928871806342</v>
      </c>
      <c r="E66" s="739">
        <f t="shared" ref="E66:K66" si="8">E64/E52</f>
        <v>21.244814962669214</v>
      </c>
      <c r="F66" s="739">
        <f t="shared" si="8"/>
        <v>17.965750005368854</v>
      </c>
      <c r="G66" s="739">
        <f t="shared" si="8"/>
        <v>18.278439060080242</v>
      </c>
      <c r="H66" s="739">
        <f t="shared" si="8"/>
        <v>20.099738632112341</v>
      </c>
      <c r="I66" s="739">
        <f t="shared" si="8"/>
        <v>22.227663339561449</v>
      </c>
      <c r="J66" s="739">
        <f t="shared" si="8"/>
        <v>22.901438013897749</v>
      </c>
      <c r="K66" s="740">
        <f t="shared" si="8"/>
        <v>20.976601293717192</v>
      </c>
    </row>
    <row r="67" spans="2:14">
      <c r="B67" s="825"/>
      <c r="C67" s="391"/>
      <c r="D67" s="391"/>
      <c r="E67" s="391"/>
      <c r="F67" s="391"/>
      <c r="G67" s="391"/>
      <c r="H67" s="391"/>
      <c r="I67" s="391"/>
      <c r="J67" s="391"/>
      <c r="K67" s="391"/>
    </row>
    <row r="69" spans="2:14">
      <c r="B69" s="784" t="s">
        <v>379</v>
      </c>
      <c r="C69" s="785"/>
      <c r="D69" s="785"/>
      <c r="E69" s="785"/>
      <c r="F69" s="785"/>
      <c r="G69" s="785"/>
      <c r="H69" s="785"/>
      <c r="I69" s="785"/>
      <c r="J69" s="785"/>
      <c r="K69" s="785"/>
      <c r="L69" s="785"/>
      <c r="M69" s="482"/>
    </row>
    <row r="70" spans="2:14" s="31" customFormat="1">
      <c r="B70" s="483"/>
      <c r="C70" s="482"/>
      <c r="D70" s="482"/>
      <c r="E70" s="482"/>
      <c r="F70" s="482"/>
      <c r="G70" s="482"/>
      <c r="H70" s="482"/>
      <c r="I70" s="482"/>
      <c r="J70" s="482"/>
      <c r="K70" s="482"/>
      <c r="L70" s="482"/>
      <c r="M70" s="482"/>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6">
        <v>24.080960725314274</v>
      </c>
      <c r="E73" s="577">
        <v>23.223447422379547</v>
      </c>
      <c r="F73" s="577">
        <v>21.383343553169247</v>
      </c>
      <c r="G73" s="577">
        <v>21.684778127549993</v>
      </c>
      <c r="H73" s="577">
        <v>22.319363864006807</v>
      </c>
      <c r="I73" s="577">
        <v>21.983119424216543</v>
      </c>
      <c r="J73" s="577">
        <v>20.710488098799111</v>
      </c>
      <c r="K73" s="678">
        <v>20.146951339436029</v>
      </c>
    </row>
    <row r="74" spans="2:14">
      <c r="B74" s="201" t="s">
        <v>381</v>
      </c>
      <c r="C74" s="211" t="str">
        <f>'RFPR cover'!$C$14</f>
        <v>£m 12/13</v>
      </c>
      <c r="D74" s="584"/>
      <c r="E74" s="585"/>
      <c r="F74" s="585"/>
      <c r="G74" s="585"/>
      <c r="H74" s="585"/>
      <c r="I74" s="585"/>
      <c r="J74" s="585"/>
      <c r="K74" s="677"/>
    </row>
    <row r="75" spans="2:14">
      <c r="B75" s="201" t="s">
        <v>382</v>
      </c>
      <c r="C75" s="211" t="str">
        <f>'RFPR cover'!$C$14</f>
        <v>£m 12/13</v>
      </c>
      <c r="D75" s="640">
        <f t="shared" ref="D75:K75" si="9">SUM(D73:D74)</f>
        <v>24.080960725314274</v>
      </c>
      <c r="E75" s="641">
        <f t="shared" si="9"/>
        <v>23.223447422379547</v>
      </c>
      <c r="F75" s="641">
        <f t="shared" si="9"/>
        <v>21.383343553169247</v>
      </c>
      <c r="G75" s="641">
        <f t="shared" si="9"/>
        <v>21.684778127549993</v>
      </c>
      <c r="H75" s="641">
        <f t="shared" si="9"/>
        <v>22.319363864006807</v>
      </c>
      <c r="I75" s="641">
        <f t="shared" si="9"/>
        <v>21.983119424216543</v>
      </c>
      <c r="J75" s="641">
        <f t="shared" si="9"/>
        <v>20.710488098799111</v>
      </c>
      <c r="K75" s="642">
        <f t="shared" si="9"/>
        <v>20.146951339436029</v>
      </c>
    </row>
    <row r="76" spans="2:14">
      <c r="B76" s="201"/>
      <c r="C76" s="211"/>
      <c r="D76" s="211"/>
      <c r="E76" s="211"/>
      <c r="F76" s="211"/>
      <c r="G76" s="211"/>
      <c r="H76" s="211"/>
      <c r="I76" s="211"/>
      <c r="J76" s="211"/>
      <c r="K76" s="211"/>
      <c r="L76" s="211"/>
    </row>
    <row r="77" spans="2:14">
      <c r="B77" s="505" t="s">
        <v>474</v>
      </c>
      <c r="C77" s="292"/>
      <c r="D77" s="292"/>
      <c r="E77" s="292"/>
      <c r="F77" s="292"/>
      <c r="G77" s="292"/>
      <c r="H77" s="292"/>
      <c r="I77" s="292"/>
      <c r="J77" s="292"/>
      <c r="K77" s="292"/>
      <c r="L77" s="292"/>
    </row>
    <row r="78" spans="2:14" s="31" customFormat="1">
      <c r="B78" s="506"/>
      <c r="C78" s="35"/>
      <c r="D78" s="35"/>
      <c r="E78" s="35"/>
      <c r="F78" s="35"/>
      <c r="G78" s="35"/>
      <c r="H78" s="35"/>
      <c r="I78" s="35"/>
      <c r="J78" s="35"/>
      <c r="K78" s="35"/>
      <c r="L78" s="35"/>
    </row>
    <row r="79" spans="2:14">
      <c r="B79" s="201" t="s">
        <v>369</v>
      </c>
      <c r="C79" s="211" t="str">
        <f>'RFPR cover'!$C$14</f>
        <v>£m 12/13</v>
      </c>
      <c r="D79" s="576">
        <v>24.080960725314274</v>
      </c>
      <c r="E79" s="576">
        <v>23.223447422379547</v>
      </c>
      <c r="F79" s="576">
        <v>21.383343553169247</v>
      </c>
      <c r="G79" s="576">
        <v>21.684778127549993</v>
      </c>
      <c r="H79" s="576">
        <v>22.319363864006807</v>
      </c>
      <c r="I79" s="576">
        <v>21.983119424216543</v>
      </c>
      <c r="J79" s="576">
        <v>21.506765833350034</v>
      </c>
      <c r="K79" s="576">
        <v>20.265416506064163</v>
      </c>
    </row>
    <row r="80" spans="2:14">
      <c r="B80" s="201" t="s">
        <v>384</v>
      </c>
      <c r="C80" s="211" t="str">
        <f>'RFPR cover'!$C$14</f>
        <v>£m 12/13</v>
      </c>
      <c r="D80" s="584"/>
      <c r="E80" s="585"/>
      <c r="F80" s="585"/>
      <c r="G80" s="585"/>
      <c r="H80" s="585"/>
      <c r="I80" s="585"/>
      <c r="J80" s="585"/>
      <c r="K80" s="677"/>
    </row>
    <row r="81" spans="2:13">
      <c r="B81" s="14" t="s">
        <v>385</v>
      </c>
      <c r="C81" s="211" t="str">
        <f>'RFPR cover'!$C$14</f>
        <v>£m 12/13</v>
      </c>
      <c r="D81" s="604">
        <f t="shared" ref="D81:K81" si="10">SUM(D79:D80)</f>
        <v>24.080960725314274</v>
      </c>
      <c r="E81" s="605">
        <f t="shared" si="10"/>
        <v>23.223447422379547</v>
      </c>
      <c r="F81" s="605">
        <f t="shared" si="10"/>
        <v>21.383343553169247</v>
      </c>
      <c r="G81" s="605">
        <f t="shared" si="10"/>
        <v>21.684778127549993</v>
      </c>
      <c r="H81" s="605">
        <f t="shared" si="10"/>
        <v>22.319363864006807</v>
      </c>
      <c r="I81" s="605">
        <f t="shared" si="10"/>
        <v>21.983119424216543</v>
      </c>
      <c r="J81" s="605">
        <f t="shared" si="10"/>
        <v>21.506765833350034</v>
      </c>
      <c r="K81" s="606">
        <f t="shared" si="10"/>
        <v>20.265416506064163</v>
      </c>
    </row>
    <row r="82" spans="2:13" s="31" customFormat="1">
      <c r="B82" s="506"/>
      <c r="C82" s="35"/>
      <c r="D82" s="741"/>
      <c r="E82" s="741"/>
      <c r="F82" s="741"/>
      <c r="G82" s="741"/>
      <c r="H82" s="741"/>
      <c r="I82" s="741"/>
      <c r="J82" s="741"/>
      <c r="K82" s="741"/>
      <c r="L82" s="35"/>
    </row>
    <row r="83" spans="2:13" s="31" customFormat="1">
      <c r="B83" s="507" t="s">
        <v>383</v>
      </c>
      <c r="C83" s="35"/>
      <c r="D83" s="696">
        <f t="shared" ref="D83:K83" si="11">D81-D75</f>
        <v>0</v>
      </c>
      <c r="E83" s="697">
        <f t="shared" si="11"/>
        <v>0</v>
      </c>
      <c r="F83" s="697">
        <f t="shared" si="11"/>
        <v>0</v>
      </c>
      <c r="G83" s="697">
        <f t="shared" si="11"/>
        <v>0</v>
      </c>
      <c r="H83" s="697">
        <f t="shared" si="11"/>
        <v>0</v>
      </c>
      <c r="I83" s="697">
        <f t="shared" si="11"/>
        <v>0</v>
      </c>
      <c r="J83" s="697">
        <f t="shared" si="11"/>
        <v>0.7962777345509231</v>
      </c>
      <c r="K83" s="698">
        <f t="shared" si="11"/>
        <v>0.118465166628134</v>
      </c>
      <c r="L83" s="35"/>
    </row>
    <row r="84" spans="2:13">
      <c r="B84" s="201" t="s">
        <v>380</v>
      </c>
      <c r="C84" s="211" t="str">
        <f>'RFPR cover'!$C$14</f>
        <v>£m 12/13</v>
      </c>
      <c r="D84" s="580"/>
      <c r="E84" s="581"/>
      <c r="F84" s="581"/>
      <c r="G84" s="581"/>
      <c r="H84" s="581"/>
      <c r="I84" s="581"/>
      <c r="J84" s="581"/>
      <c r="K84" s="676"/>
      <c r="L84" s="35"/>
    </row>
    <row r="85" spans="2:13">
      <c r="B85" s="201" t="s">
        <v>431</v>
      </c>
      <c r="C85" s="211" t="str">
        <f>'RFPR cover'!$C$14</f>
        <v>£m 12/13</v>
      </c>
      <c r="D85" s="580"/>
      <c r="E85" s="581"/>
      <c r="F85" s="581"/>
      <c r="G85" s="581"/>
      <c r="H85" s="581"/>
      <c r="I85" s="581"/>
      <c r="J85" s="581"/>
      <c r="K85" s="676"/>
      <c r="L85" s="35"/>
    </row>
    <row r="86" spans="2:13">
      <c r="B86" s="201" t="s">
        <v>330</v>
      </c>
      <c r="C86" s="211" t="str">
        <f>'RFPR cover'!$C$14</f>
        <v>£m 12/13</v>
      </c>
      <c r="D86" s="742">
        <f t="shared" ref="D86:G86" si="12">D79-D73-SUM(D84:D85)</f>
        <v>0</v>
      </c>
      <c r="E86" s="743">
        <f t="shared" si="12"/>
        <v>0</v>
      </c>
      <c r="F86" s="743">
        <f t="shared" si="12"/>
        <v>0</v>
      </c>
      <c r="G86" s="743">
        <f t="shared" si="12"/>
        <v>0</v>
      </c>
      <c r="H86" s="743">
        <f>H79-H73-SUM(H84:H85)</f>
        <v>0</v>
      </c>
      <c r="I86" s="743">
        <f t="shared" ref="I86:K86" si="13">I79-I73-SUM(I84:I85)</f>
        <v>0</v>
      </c>
      <c r="J86" s="743">
        <f t="shared" si="13"/>
        <v>0.7962777345509231</v>
      </c>
      <c r="K86" s="743">
        <f t="shared" si="13"/>
        <v>0.118465166628134</v>
      </c>
      <c r="L86" s="35"/>
    </row>
    <row r="87" spans="2:13">
      <c r="B87" s="201" t="s">
        <v>121</v>
      </c>
      <c r="C87" s="211" t="str">
        <f>'RFPR cover'!$C$14</f>
        <v>£m 12/13</v>
      </c>
      <c r="D87" s="508" t="str">
        <f>IF(ABS(D83-SUM(D84:D86))&lt;'RFPR cover'!$F$14,"OK","ERROR")</f>
        <v>OK</v>
      </c>
      <c r="E87" s="509" t="str">
        <f>IF(ABS(E83-SUM(E84:E86))&lt;'RFPR cover'!$F$14,"OK","ERROR")</f>
        <v>OK</v>
      </c>
      <c r="F87" s="509" t="str">
        <f>IF(ABS(F83-SUM(F84:F86))&lt;'RFPR cover'!$F$14,"OK","ERROR")</f>
        <v>OK</v>
      </c>
      <c r="G87" s="509" t="str">
        <f>IF(ABS(G83-SUM(G84:G86))&lt;'RFPR cover'!$F$14,"OK","ERROR")</f>
        <v>OK</v>
      </c>
      <c r="H87" s="509" t="str">
        <f>IF(ABS(H83-SUM(H84:H86))&lt;'RFPR cover'!$F$14,"OK","ERROR")</f>
        <v>OK</v>
      </c>
      <c r="I87" s="509" t="str">
        <f>IF(ABS(I83-SUM(I84:I86))&lt;'RFPR cover'!$F$14,"OK","ERROR")</f>
        <v>OK</v>
      </c>
      <c r="J87" s="509" t="str">
        <f>IF(ABS(J83-SUM(J84:J86))&lt;'RFPR cover'!$F$14,"OK","ERROR")</f>
        <v>OK</v>
      </c>
      <c r="K87" s="510" t="str">
        <f>IF(ABS(K83-SUM(K84:K86))&lt;'RFPR cover'!$F$14,"OK","ERROR")</f>
        <v>OK</v>
      </c>
    </row>
    <row r="88" spans="2:13">
      <c r="B88" s="201"/>
      <c r="C88" s="201"/>
      <c r="D88" s="201"/>
      <c r="E88" s="201"/>
      <c r="F88" s="201"/>
      <c r="G88" s="201"/>
      <c r="H88" s="201"/>
      <c r="I88" s="201"/>
      <c r="J88" s="201"/>
      <c r="K88" s="201"/>
      <c r="L88" s="201"/>
      <c r="M88" s="201"/>
    </row>
    <row r="90" spans="2:13">
      <c r="B90" s="829" t="s">
        <v>433</v>
      </c>
      <c r="C90" s="829"/>
      <c r="D90" s="829"/>
      <c r="E90" s="829"/>
      <c r="F90" s="829"/>
      <c r="G90" s="829"/>
      <c r="H90" s="829"/>
      <c r="I90" s="829"/>
      <c r="J90" s="829"/>
      <c r="K90" s="829"/>
      <c r="L90" s="829"/>
    </row>
    <row r="92" spans="2:13">
      <c r="B92" s="14" t="s">
        <v>434</v>
      </c>
      <c r="C92" s="212" t="str">
        <f>'RFPR cover'!$C$14</f>
        <v>£m 12/13</v>
      </c>
      <c r="D92" s="604">
        <f t="shared" ref="D92:K92" si="14">D$81-D54</f>
        <v>-0.54934571769592822</v>
      </c>
      <c r="E92" s="605">
        <f t="shared" si="14"/>
        <v>-0.77631662497289966</v>
      </c>
      <c r="F92" s="605">
        <f t="shared" si="14"/>
        <v>0.30549078925740858</v>
      </c>
      <c r="G92" s="605">
        <f t="shared" si="14"/>
        <v>0.16172862292902224</v>
      </c>
      <c r="H92" s="605">
        <f t="shared" si="14"/>
        <v>-0.74900888739886184</v>
      </c>
      <c r="I92" s="605">
        <f t="shared" si="14"/>
        <v>-2.3118618422137196</v>
      </c>
      <c r="J92" s="605">
        <f t="shared" si="14"/>
        <v>-3.6045110429113336</v>
      </c>
      <c r="K92" s="606">
        <f t="shared" si="14"/>
        <v>-3.1739265499651594</v>
      </c>
    </row>
    <row r="93" spans="2:13">
      <c r="B93" s="14"/>
      <c r="C93" s="14"/>
      <c r="D93" s="14"/>
      <c r="E93" s="14"/>
      <c r="F93" s="14"/>
      <c r="G93" s="14"/>
      <c r="H93" s="14"/>
      <c r="I93" s="14"/>
      <c r="J93" s="14"/>
      <c r="K93" s="14"/>
    </row>
    <row r="94" spans="2:13">
      <c r="B94" s="14" t="s">
        <v>445</v>
      </c>
      <c r="C94" s="212" t="str">
        <f>'RFPR cover'!$C$14</f>
        <v>£m 12/13</v>
      </c>
      <c r="D94" s="604">
        <f t="shared" ref="D94:K94" si="15">D$81-D66</f>
        <v>1.9540318535079315</v>
      </c>
      <c r="E94" s="605">
        <f t="shared" si="15"/>
        <v>1.9786324597103331</v>
      </c>
      <c r="F94" s="605">
        <f t="shared" si="15"/>
        <v>3.4175935478003936</v>
      </c>
      <c r="G94" s="605">
        <f t="shared" si="15"/>
        <v>3.4063390674697516</v>
      </c>
      <c r="H94" s="605">
        <f t="shared" si="15"/>
        <v>2.2196252318944651</v>
      </c>
      <c r="I94" s="605">
        <f t="shared" si="15"/>
        <v>-0.24454391534490583</v>
      </c>
      <c r="J94" s="605">
        <f t="shared" si="15"/>
        <v>-1.3946721805477154</v>
      </c>
      <c r="K94" s="606">
        <f t="shared" si="15"/>
        <v>-0.71118478765302839</v>
      </c>
    </row>
    <row r="96" spans="2:13">
      <c r="B96" s="14" t="s">
        <v>444</v>
      </c>
      <c r="C96" s="212" t="str">
        <f>'RFPR cover'!$C$14</f>
        <v>£m 12/13</v>
      </c>
      <c r="D96" s="604">
        <f>D92-D94</f>
        <v>-2.5033775712038597</v>
      </c>
      <c r="E96" s="605">
        <f t="shared" ref="E96:K96" si="16">E92-E94</f>
        <v>-2.7549490846832327</v>
      </c>
      <c r="F96" s="605">
        <f t="shared" si="16"/>
        <v>-3.112102758542985</v>
      </c>
      <c r="G96" s="605">
        <f t="shared" si="16"/>
        <v>-3.2446104445407293</v>
      </c>
      <c r="H96" s="605">
        <f t="shared" si="16"/>
        <v>-2.968634119293327</v>
      </c>
      <c r="I96" s="605">
        <f t="shared" si="16"/>
        <v>-2.0673179268688138</v>
      </c>
      <c r="J96" s="605">
        <f t="shared" si="16"/>
        <v>-2.2098388623636183</v>
      </c>
      <c r="K96" s="606">
        <f t="shared" si="16"/>
        <v>-2.462741762312131</v>
      </c>
    </row>
    <row r="98" spans="2:11">
      <c r="B98" t="s">
        <v>525</v>
      </c>
      <c r="C98" s="267" t="s">
        <v>127</v>
      </c>
      <c r="D98" s="580">
        <v>-1.9289421384356489</v>
      </c>
      <c r="E98" s="580">
        <v>-1.7136673550612926</v>
      </c>
      <c r="F98" s="580">
        <v>-1.5565247569290435</v>
      </c>
      <c r="G98" s="580">
        <v>-1.6015589289986989</v>
      </c>
      <c r="H98" s="580">
        <v>-1.9597724131941459</v>
      </c>
      <c r="I98" s="580">
        <v>-3.8730720145261666</v>
      </c>
      <c r="J98" s="580">
        <v>-4.3276849313535806</v>
      </c>
      <c r="K98" s="580">
        <v>-5.8384934422623092</v>
      </c>
    </row>
    <row r="99" spans="2:11">
      <c r="B99" t="s">
        <v>525</v>
      </c>
      <c r="C99" s="391" t="str">
        <f>'RFPR cover'!$C$14</f>
        <v>£m 12/13</v>
      </c>
      <c r="D99" s="781">
        <f>D98/D$52</f>
        <v>-1.8192131213906573</v>
      </c>
      <c r="E99" s="781">
        <f t="shared" ref="E99:K99" si="17">E98/E$52</f>
        <v>-1.5822800692082091</v>
      </c>
      <c r="F99" s="781">
        <f t="shared" si="17"/>
        <v>-1.3853459881182568</v>
      </c>
      <c r="G99" s="781">
        <f t="shared" si="17"/>
        <v>-1.3831640156746603</v>
      </c>
      <c r="H99" s="781">
        <f t="shared" si="17"/>
        <v>-1.6498211380264298</v>
      </c>
      <c r="I99" s="781">
        <f t="shared" si="17"/>
        <v>-3.2214486844349972</v>
      </c>
      <c r="J99" s="781">
        <f t="shared" si="17"/>
        <v>-3.4030181148449898</v>
      </c>
      <c r="K99" s="781">
        <f t="shared" si="17"/>
        <v>-4.2391712951356837</v>
      </c>
    </row>
    <row r="100" spans="2:11">
      <c r="B100" t="s">
        <v>526</v>
      </c>
      <c r="C100" s="267" t="s">
        <v>127</v>
      </c>
      <c r="D100" s="580">
        <v>0.72543102363702594</v>
      </c>
      <c r="E100" s="580">
        <v>1.2700435587974142</v>
      </c>
      <c r="F100" s="580">
        <v>1.9401215908610265</v>
      </c>
      <c r="G100" s="580">
        <v>2.1553598237220295</v>
      </c>
      <c r="H100" s="580">
        <v>1.5665778788244531</v>
      </c>
      <c r="I100" s="580">
        <v>-1.3875842753079399</v>
      </c>
      <c r="J100" s="580">
        <v>-1.5173894751960724</v>
      </c>
      <c r="K100" s="580">
        <v>-2.4466272900867616</v>
      </c>
    </row>
    <row r="101" spans="2:11">
      <c r="B101" t="s">
        <v>526</v>
      </c>
      <c r="C101" s="391" t="str">
        <f>'RFPR cover'!$C$14</f>
        <v>£m 12/13</v>
      </c>
      <c r="D101" s="781">
        <f t="shared" ref="D101:K101" si="18">D100/D$52</f>
        <v>0.68416444981320546</v>
      </c>
      <c r="E101" s="781">
        <f t="shared" si="18"/>
        <v>1.172669015475023</v>
      </c>
      <c r="F101" s="781">
        <f t="shared" si="18"/>
        <v>1.72675677042473</v>
      </c>
      <c r="G101" s="781">
        <f t="shared" si="18"/>
        <v>1.8614464288660666</v>
      </c>
      <c r="H101" s="781">
        <f t="shared" si="18"/>
        <v>1.3188129812668956</v>
      </c>
      <c r="I101" s="781">
        <f t="shared" si="18"/>
        <v>-1.1541307575661792</v>
      </c>
      <c r="J101" s="781">
        <f t="shared" si="18"/>
        <v>-1.1931792524813729</v>
      </c>
      <c r="K101" s="781">
        <f t="shared" si="18"/>
        <v>-1.7764295328235518</v>
      </c>
    </row>
    <row r="102" spans="2:11">
      <c r="B102" t="s">
        <v>529</v>
      </c>
      <c r="C102" s="391" t="str">
        <f>'RFPR cover'!$C$14</f>
        <v>£m 12/13</v>
      </c>
      <c r="D102" s="781">
        <f>D99-D101</f>
        <v>-2.5033775712038628</v>
      </c>
      <c r="E102" s="781">
        <f t="shared" ref="E102:K102" si="19">E99-E101</f>
        <v>-2.7549490846832319</v>
      </c>
      <c r="F102" s="781">
        <f t="shared" si="19"/>
        <v>-3.1121027585429868</v>
      </c>
      <c r="G102" s="781">
        <f t="shared" si="19"/>
        <v>-3.2446104445407267</v>
      </c>
      <c r="H102" s="781">
        <f t="shared" si="19"/>
        <v>-2.9686341192933252</v>
      </c>
      <c r="I102" s="781">
        <f t="shared" si="19"/>
        <v>-2.0673179268688182</v>
      </c>
      <c r="J102" s="781">
        <f t="shared" si="19"/>
        <v>-2.2098388623636169</v>
      </c>
      <c r="K102" s="781">
        <f t="shared" si="19"/>
        <v>-2.4627417623121319</v>
      </c>
    </row>
  </sheetData>
  <sheetProtection algorithmName="SHA-512" hashValue="dEGfDpUOXXYY4YTBrW4quWAIaVkQQyzNGNpuq+g3fYu81Tv/wgNaFrkZJ19XCKum5mAXrmvm00mbdPov0eaB7A==" saltValue="ncpl7lr1Qeo19JYvdizXmA==" spinCount="100000" sheet="1" objects="1" scenarios="1"/>
  <conditionalFormatting sqref="D6:K7">
    <cfRule type="expression" dxfId="38" priority="77">
      <formula>AND(D$6="Actuals",E$6="Forecast")</formula>
    </cfRule>
  </conditionalFormatting>
  <conditionalFormatting sqref="D5:K5">
    <cfRule type="expression" dxfId="37" priority="52">
      <formula>AND(D$5="Actuals",E$5="Forecast")</formula>
    </cfRule>
  </conditionalFormatting>
  <conditionalFormatting sqref="D49:F49">
    <cfRule type="expression" dxfId="36" priority="20">
      <formula>AND(D$5="Actuals",E$5="Actuals")</formula>
    </cfRule>
  </conditionalFormatting>
  <conditionalFormatting sqref="D16:K19 D24:F46 H46:K46 D15:H15 J15:K15 H24:H45 J24:K45 D12:K12">
    <cfRule type="expression" dxfId="35" priority="19">
      <formula>NOT(AND(D$5="Actuals"))</formula>
    </cfRule>
  </conditionalFormatting>
  <conditionalFormatting sqref="G49">
    <cfRule type="expression" dxfId="34" priority="185">
      <formula>AND(E$5="Actuals",F$5="Actuals")</formula>
    </cfRule>
  </conditionalFormatting>
  <conditionalFormatting sqref="J49:K49">
    <cfRule type="expression" dxfId="33" priority="8">
      <formula>AND(J$5="Actuals",K$5="Actuals")</formula>
    </cfRule>
  </conditionalFormatting>
  <conditionalFormatting sqref="G46 G24:G43">
    <cfRule type="expression" dxfId="32" priority="7">
      <formula>NOT(AND(G$5="Actuals"))</formula>
    </cfRule>
  </conditionalFormatting>
  <conditionalFormatting sqref="G44">
    <cfRule type="expression" dxfId="31" priority="6">
      <formula>NOT(AND(G$5="Actuals"))</formula>
    </cfRule>
  </conditionalFormatting>
  <conditionalFormatting sqref="G45">
    <cfRule type="expression" dxfId="30" priority="5">
      <formula>NOT(AND(G$5="Actuals"))</formula>
    </cfRule>
  </conditionalFormatting>
  <conditionalFormatting sqref="H49">
    <cfRule type="expression" dxfId="29" priority="4">
      <formula>AND(F$5="Actuals",G$5="Actuals")</formula>
    </cfRule>
  </conditionalFormatting>
  <conditionalFormatting sqref="I15">
    <cfRule type="expression" dxfId="28" priority="3">
      <formula>NOT(AND(I$5="Actuals"))</formula>
    </cfRule>
  </conditionalFormatting>
  <conditionalFormatting sqref="I24:I45">
    <cfRule type="expression" dxfId="27" priority="2">
      <formula>NOT(AND(I$5="Actuals"))</formula>
    </cfRule>
  </conditionalFormatting>
  <conditionalFormatting sqref="I49">
    <cfRule type="expression" dxfId="26" priority="1">
      <formula>AND(G$5="Actuals",H$5="Actuals")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08" t="s">
        <v>259</v>
      </c>
      <c r="B1" s="919"/>
      <c r="C1" s="121"/>
      <c r="D1" s="121"/>
      <c r="E1" s="121"/>
      <c r="F1" s="121"/>
      <c r="G1" s="121"/>
      <c r="H1" s="121"/>
      <c r="I1" s="127"/>
      <c r="J1" s="127"/>
      <c r="K1" s="128"/>
      <c r="L1" s="129"/>
    </row>
    <row r="2" spans="1:18" s="31" customFormat="1" ht="20.25">
      <c r="A2" s="893" t="str">
        <f>'RFPR cover'!C5</f>
        <v>NPgY</v>
      </c>
      <c r="B2" s="885"/>
      <c r="C2" s="29"/>
      <c r="D2" s="29"/>
      <c r="E2" s="29"/>
      <c r="F2" s="29"/>
      <c r="G2" s="29"/>
      <c r="H2" s="29"/>
      <c r="I2" s="27"/>
      <c r="J2" s="27"/>
      <c r="K2" s="27"/>
      <c r="L2" s="124"/>
    </row>
    <row r="3" spans="1:18" s="31" customFormat="1" ht="23.25">
      <c r="A3" s="910">
        <f>'RFPR cover'!C7</f>
        <v>2022</v>
      </c>
      <c r="B3" s="902"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Actuals</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2">
        <v>27.6</v>
      </c>
      <c r="E8" s="633">
        <v>28.7</v>
      </c>
      <c r="F8" s="633">
        <v>29.8</v>
      </c>
      <c r="G8" s="633">
        <v>31.2</v>
      </c>
      <c r="H8" s="633">
        <v>32.5</v>
      </c>
      <c r="I8" s="633">
        <v>33.6</v>
      </c>
      <c r="J8" s="633">
        <v>34.4</v>
      </c>
      <c r="K8" s="634"/>
    </row>
    <row r="9" spans="1:18">
      <c r="B9" s="15" t="s">
        <v>105</v>
      </c>
      <c r="C9" s="14"/>
      <c r="D9" s="744"/>
      <c r="E9" s="744"/>
      <c r="F9" s="744"/>
      <c r="G9" s="744"/>
      <c r="H9" s="744"/>
      <c r="I9" s="744"/>
      <c r="J9" s="744"/>
      <c r="K9" s="744"/>
    </row>
    <row r="10" spans="1:18">
      <c r="B10" s="425" t="s">
        <v>22</v>
      </c>
      <c r="C10" s="153" t="s">
        <v>127</v>
      </c>
      <c r="D10" s="588"/>
      <c r="E10" s="589"/>
      <c r="F10" s="589"/>
      <c r="G10" s="589"/>
      <c r="H10" s="589"/>
      <c r="I10" s="589"/>
      <c r="J10" s="589"/>
      <c r="K10" s="599"/>
    </row>
    <row r="11" spans="1:18">
      <c r="B11" s="425" t="s">
        <v>22</v>
      </c>
      <c r="C11" s="153" t="s">
        <v>127</v>
      </c>
      <c r="D11" s="590"/>
      <c r="E11" s="591"/>
      <c r="F11" s="591"/>
      <c r="G11" s="591"/>
      <c r="H11" s="591"/>
      <c r="I11" s="591"/>
      <c r="J11" s="591"/>
      <c r="K11" s="600"/>
    </row>
    <row r="12" spans="1:18">
      <c r="B12" s="425" t="s">
        <v>20</v>
      </c>
      <c r="C12" s="153" t="s">
        <v>127</v>
      </c>
      <c r="D12" s="601"/>
      <c r="E12" s="602"/>
      <c r="F12" s="602"/>
      <c r="G12" s="602"/>
      <c r="H12" s="602"/>
      <c r="I12" s="602"/>
      <c r="J12" s="602"/>
      <c r="K12" s="603"/>
      <c r="Q12" s="217"/>
    </row>
    <row r="13" spans="1:18">
      <c r="B13" s="14" t="s">
        <v>106</v>
      </c>
      <c r="C13" s="153" t="s">
        <v>127</v>
      </c>
      <c r="D13" s="733">
        <f>D8-SUM(D10:D12)</f>
        <v>27.6</v>
      </c>
      <c r="E13" s="734">
        <f t="shared" ref="E13:K13" si="1">E8-SUM(E10:E12)</f>
        <v>28.7</v>
      </c>
      <c r="F13" s="734">
        <f t="shared" si="1"/>
        <v>29.8</v>
      </c>
      <c r="G13" s="734">
        <f t="shared" si="1"/>
        <v>31.2</v>
      </c>
      <c r="H13" s="734">
        <f t="shared" si="1"/>
        <v>32.5</v>
      </c>
      <c r="I13" s="734">
        <f t="shared" si="1"/>
        <v>33.6</v>
      </c>
      <c r="J13" s="734">
        <f t="shared" si="1"/>
        <v>34.4</v>
      </c>
      <c r="K13" s="735">
        <f t="shared" si="1"/>
        <v>0</v>
      </c>
      <c r="R13" s="216"/>
    </row>
    <row r="14" spans="1:18">
      <c r="C14" s="14"/>
      <c r="Q14" s="217"/>
    </row>
    <row r="15" spans="1:18">
      <c r="B15" s="14" t="s">
        <v>501</v>
      </c>
      <c r="C15" s="153" t="s">
        <v>127</v>
      </c>
      <c r="D15" s="588"/>
      <c r="E15" s="589"/>
      <c r="F15" s="589"/>
      <c r="G15" s="589"/>
      <c r="H15" s="589"/>
      <c r="I15" s="589"/>
      <c r="J15" s="589"/>
      <c r="K15" s="599"/>
    </row>
  </sheetData>
  <sheetProtection algorithmName="SHA-512" hashValue="z9/30b9AXJUu0BXwL+sKPuLq0izBfpeeoUmeHkf4Bf6/y39DVi3QUgqsSChOsVFm6vW2wTbyx0LbWDG6mbe6NQ==" saltValue="JWEFov/DJnis8qIYzsxOQA==" spinCount="100000" sheet="1" objects="1" scenarios="1"/>
  <conditionalFormatting sqref="D6:K6">
    <cfRule type="expression" dxfId="25" priority="11">
      <formula>AND(D$5="Actuals",E$5="N/A")</formula>
    </cfRule>
  </conditionalFormatting>
  <conditionalFormatting sqref="D5:K5">
    <cfRule type="expression" dxfId="24" priority="4">
      <formula>AND(D$5="Actuals",E$5="N/A")</formula>
    </cfRule>
  </conditionalFormatting>
  <conditionalFormatting sqref="I8:K8 D5:K6 D10:K13">
    <cfRule type="expression" dxfId="23" priority="3">
      <formula>D$5="N/A"</formula>
    </cfRule>
  </conditionalFormatting>
  <conditionalFormatting sqref="D15:K15">
    <cfRule type="expression" dxfId="22" priority="2">
      <formula>D$5="N/A"</formula>
    </cfRule>
  </conditionalFormatting>
  <conditionalFormatting sqref="D8:H8">
    <cfRule type="expression" dxfId="21"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4" t="s">
        <v>258</v>
      </c>
      <c r="B1" s="900"/>
      <c r="C1" s="257"/>
      <c r="D1" s="257"/>
      <c r="E1" s="257"/>
      <c r="F1" s="257"/>
      <c r="G1" s="257"/>
      <c r="H1" s="257"/>
      <c r="I1" s="258"/>
      <c r="J1" s="258"/>
      <c r="K1" s="259"/>
      <c r="L1" s="260"/>
    </row>
    <row r="2" spans="1:12" s="31" customFormat="1" ht="20.25">
      <c r="A2" s="893" t="str">
        <f>'RFPR cover'!C5</f>
        <v>NPgY</v>
      </c>
      <c r="B2" s="885"/>
      <c r="C2" s="29"/>
      <c r="D2" s="29"/>
      <c r="E2" s="29"/>
      <c r="F2" s="29"/>
      <c r="G2" s="29"/>
      <c r="H2" s="29"/>
      <c r="I2" s="27"/>
      <c r="J2" s="27"/>
      <c r="K2" s="27"/>
      <c r="L2" s="124"/>
    </row>
    <row r="3" spans="1:12" s="31" customFormat="1" ht="20.25">
      <c r="A3" s="896">
        <f>'RFPR cover'!C7</f>
        <v>2022</v>
      </c>
      <c r="B3" s="903"/>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5">
        <v>8.5922039999999988</v>
      </c>
      <c r="E8" s="746">
        <v>5.5773494399999999</v>
      </c>
      <c r="F8" s="746">
        <v>8.4557356000000006</v>
      </c>
      <c r="G8" s="746">
        <v>9.2317239999999998</v>
      </c>
      <c r="H8" s="746">
        <v>9.4439735032690493</v>
      </c>
      <c r="I8" s="746">
        <v>9.6755686569312687</v>
      </c>
      <c r="J8" s="746">
        <v>0</v>
      </c>
      <c r="K8" s="747"/>
    </row>
    <row r="9" spans="1:12">
      <c r="B9" s="16" t="s">
        <v>24</v>
      </c>
      <c r="D9" s="744"/>
      <c r="E9" s="744"/>
      <c r="F9" s="744"/>
      <c r="G9" s="744"/>
      <c r="H9" s="744"/>
      <c r="I9" s="744"/>
      <c r="J9" s="744"/>
      <c r="K9" s="744"/>
    </row>
    <row r="10" spans="1:12">
      <c r="B10" t="s">
        <v>23</v>
      </c>
      <c r="C10" s="153" t="s">
        <v>127</v>
      </c>
      <c r="D10" s="671">
        <v>7.6174119333094925</v>
      </c>
      <c r="E10" s="672">
        <v>4.9502246471076443</v>
      </c>
      <c r="F10" s="672">
        <v>6.4811527123046231</v>
      </c>
      <c r="G10" s="672">
        <v>6.6829076380540382</v>
      </c>
      <c r="H10" s="672">
        <v>6.9094468800219717</v>
      </c>
      <c r="I10" s="672">
        <v>7.0474374365844454</v>
      </c>
      <c r="J10" s="672">
        <v>0</v>
      </c>
      <c r="K10" s="673"/>
    </row>
    <row r="11" spans="1:12">
      <c r="B11" t="s">
        <v>25</v>
      </c>
      <c r="C11" s="153" t="s">
        <v>127</v>
      </c>
      <c r="D11" s="748">
        <v>0.4450623402247782</v>
      </c>
      <c r="E11" s="749">
        <v>0.29013602905348534</v>
      </c>
      <c r="F11" s="749">
        <v>1.5850192902254789</v>
      </c>
      <c r="G11" s="749">
        <v>1.6393638252410587</v>
      </c>
      <c r="H11" s="749">
        <v>1.694935480333976</v>
      </c>
      <c r="I11" s="749">
        <v>1.7364856945581337</v>
      </c>
      <c r="J11" s="749">
        <v>0</v>
      </c>
      <c r="K11" s="750"/>
    </row>
    <row r="12" spans="1:12">
      <c r="D12" s="744"/>
      <c r="E12" s="744"/>
      <c r="F12" s="744"/>
      <c r="G12" s="744"/>
      <c r="H12" s="744"/>
      <c r="I12" s="744"/>
      <c r="J12" s="744"/>
      <c r="K12" s="744"/>
    </row>
    <row r="13" spans="1:12">
      <c r="D13" s="744"/>
      <c r="E13" s="744"/>
      <c r="F13" s="744"/>
      <c r="G13" s="744"/>
      <c r="H13" s="744"/>
      <c r="I13" s="744"/>
      <c r="J13" s="744"/>
      <c r="K13" s="744"/>
    </row>
    <row r="14" spans="1:12">
      <c r="B14" t="s">
        <v>23</v>
      </c>
      <c r="C14" s="211" t="str">
        <f>'RFPR cover'!$C$14</f>
        <v>£m 12/13</v>
      </c>
      <c r="D14" s="17">
        <f>D10/Data!C$34</f>
        <v>7.1840909397898498</v>
      </c>
      <c r="E14" s="17">
        <f>E10/Data!D$34</f>
        <v>4.5706897398074764</v>
      </c>
      <c r="F14" s="17">
        <f>F10/Data!E$34</f>
        <v>5.7683881148716436</v>
      </c>
      <c r="G14" s="17">
        <f>G10/Data!F$34</f>
        <v>5.7715999066064914</v>
      </c>
      <c r="H14" s="17">
        <f>H10/Data!G$34</f>
        <v>5.8166710777154575</v>
      </c>
      <c r="I14" s="17">
        <f>I10/Data!H$34</f>
        <v>5.8617443656028696</v>
      </c>
      <c r="J14" s="17">
        <f>J10/Data!I$34</f>
        <v>0</v>
      </c>
      <c r="K14" s="17">
        <f>K10/Data!J$34</f>
        <v>0</v>
      </c>
    </row>
    <row r="15" spans="1:12">
      <c r="D15" s="744"/>
      <c r="E15" s="744"/>
      <c r="F15" s="744"/>
      <c r="G15" s="744"/>
      <c r="H15" s="744"/>
      <c r="I15" s="744"/>
      <c r="J15" s="744"/>
      <c r="K15" s="744"/>
    </row>
    <row r="16" spans="1:12">
      <c r="D16" s="744"/>
      <c r="E16" s="744"/>
      <c r="F16" s="744"/>
      <c r="G16" s="744"/>
      <c r="H16" s="744"/>
      <c r="I16" s="744"/>
      <c r="J16" s="744"/>
      <c r="K16" s="744"/>
    </row>
    <row r="17" spans="2:11" s="2" customFormat="1">
      <c r="B17" s="14" t="s">
        <v>310</v>
      </c>
      <c r="C17" s="211" t="str">
        <f>'RFPR cover'!$C$14</f>
        <v>£m 12/13</v>
      </c>
      <c r="D17" s="864">
        <v>6.878365211101003</v>
      </c>
      <c r="E17" s="864">
        <v>6.878365211101003</v>
      </c>
      <c r="F17" s="864">
        <v>6.878365211101003</v>
      </c>
      <c r="G17" s="864">
        <v>5.3414466442766493</v>
      </c>
      <c r="H17" s="864">
        <v>5.3414466442766511</v>
      </c>
      <c r="I17" s="864">
        <v>5.3414466442766493</v>
      </c>
      <c r="J17" s="746">
        <v>5.1833368861500206</v>
      </c>
      <c r="K17" s="746">
        <v>2.1456327736527792</v>
      </c>
    </row>
    <row r="18" spans="2:11" s="2" customFormat="1">
      <c r="B18" s="201" t="s">
        <v>311</v>
      </c>
      <c r="C18" s="211" t="str">
        <f>'RFPR cover'!$C$14</f>
        <v>£m 12/13</v>
      </c>
      <c r="D18" s="864">
        <v>2.3455993263814753E-2</v>
      </c>
      <c r="E18" s="864">
        <v>2.3455993263814753E-2</v>
      </c>
      <c r="F18" s="864">
        <v>2.3455993263814753E-2</v>
      </c>
      <c r="G18" s="864">
        <v>-0.44451490954897988</v>
      </c>
      <c r="H18" s="864">
        <v>-0.44451490954897854</v>
      </c>
      <c r="I18" s="864">
        <v>-0.44451490954898043</v>
      </c>
      <c r="J18" s="746">
        <v>-0.60262466767560874</v>
      </c>
      <c r="K18" s="746">
        <v>-0.60262466767560874</v>
      </c>
    </row>
    <row r="19" spans="2:11" s="2" customFormat="1">
      <c r="B19" s="14" t="s">
        <v>312</v>
      </c>
      <c r="C19" s="211" t="str">
        <f>'RFPR cover'!$C$14</f>
        <v>£m 12/13</v>
      </c>
      <c r="D19" s="17">
        <f>D17-D18</f>
        <v>6.8549092178371884</v>
      </c>
      <c r="E19" s="17">
        <f t="shared" ref="E19:K19" si="1">E17-E18</f>
        <v>6.8549092178371884</v>
      </c>
      <c r="F19" s="17">
        <f t="shared" si="1"/>
        <v>6.8549092178371884</v>
      </c>
      <c r="G19" s="17">
        <f t="shared" si="1"/>
        <v>5.7859615538256293</v>
      </c>
      <c r="H19" s="17">
        <f t="shared" si="1"/>
        <v>5.7859615538256293</v>
      </c>
      <c r="I19" s="17">
        <f t="shared" si="1"/>
        <v>5.7859615538256293</v>
      </c>
      <c r="J19" s="17">
        <f t="shared" si="1"/>
        <v>5.7859615538256293</v>
      </c>
      <c r="K19" s="17">
        <f t="shared" si="1"/>
        <v>2.7482574413283878</v>
      </c>
    </row>
    <row r="20" spans="2:11" s="2" customFormat="1">
      <c r="B20" s="14"/>
      <c r="C20" s="14"/>
      <c r="D20" s="14"/>
      <c r="E20" s="14"/>
      <c r="F20" s="14"/>
      <c r="G20" s="14"/>
      <c r="H20" s="14"/>
      <c r="I20" s="14"/>
      <c r="J20" s="14"/>
      <c r="K20" s="14"/>
    </row>
    <row r="21" spans="2:11" s="2" customFormat="1">
      <c r="B21" s="14"/>
      <c r="C21" s="14"/>
      <c r="D21" s="984" t="s">
        <v>118</v>
      </c>
      <c r="E21" s="14"/>
      <c r="F21" s="14"/>
      <c r="G21" s="14"/>
      <c r="H21" s="14"/>
      <c r="I21" s="14"/>
      <c r="J21" s="14"/>
      <c r="K21" s="14"/>
    </row>
    <row r="22" spans="2:11" s="2" customFormat="1" ht="12.75" customHeight="1">
      <c r="B22" s="14"/>
      <c r="C22" s="14"/>
      <c r="D22" s="985"/>
      <c r="E22" s="14"/>
      <c r="F22" s="14"/>
      <c r="G22" s="14"/>
      <c r="H22" s="14"/>
      <c r="I22" s="14"/>
      <c r="J22" s="14"/>
      <c r="K22" s="14"/>
    </row>
    <row r="23" spans="2:11">
      <c r="C23" s="14"/>
      <c r="D23" s="986"/>
      <c r="E23" s="14"/>
    </row>
    <row r="24" spans="2:11">
      <c r="B24" s="14" t="s">
        <v>117</v>
      </c>
      <c r="C24" s="14"/>
      <c r="D24" s="517">
        <v>43555</v>
      </c>
    </row>
    <row r="25" spans="2:11">
      <c r="B25" s="14"/>
      <c r="C25" s="14"/>
      <c r="D25" s="40"/>
      <c r="E25" s="41"/>
      <c r="F25" s="41"/>
    </row>
    <row r="26" spans="2:11">
      <c r="B26" s="201" t="s">
        <v>309</v>
      </c>
      <c r="C26" s="14"/>
      <c r="D26" s="924">
        <v>43555</v>
      </c>
      <c r="E26" s="41"/>
      <c r="F26" s="41"/>
    </row>
    <row r="27" spans="2:11">
      <c r="B27" s="201"/>
      <c r="C27" s="14"/>
      <c r="D27" s="40"/>
      <c r="E27" s="41"/>
      <c r="F27" s="41"/>
    </row>
    <row r="28" spans="2:11">
      <c r="B28" s="14"/>
      <c r="D28" s="357" t="s">
        <v>280</v>
      </c>
      <c r="E28" s="41"/>
      <c r="F28" s="41"/>
    </row>
    <row r="29" spans="2:11">
      <c r="B29" t="s">
        <v>26</v>
      </c>
      <c r="D29" s="751">
        <v>199.6523</v>
      </c>
    </row>
    <row r="30" spans="2:11">
      <c r="B30" t="s">
        <v>27</v>
      </c>
      <c r="D30" s="751">
        <v>1539.0476999999998</v>
      </c>
    </row>
    <row r="31" spans="2:11">
      <c r="D31" s="744"/>
    </row>
    <row r="32" spans="2:11">
      <c r="B32" t="s">
        <v>28</v>
      </c>
      <c r="D32" s="751">
        <v>185.96023569110412</v>
      </c>
    </row>
    <row r="33" spans="2:4">
      <c r="B33" t="s">
        <v>29</v>
      </c>
      <c r="D33" s="751">
        <v>1436.4397643088957</v>
      </c>
    </row>
    <row r="34" spans="2:4">
      <c r="D34" s="744"/>
    </row>
    <row r="35" spans="2:4">
      <c r="B35" s="43" t="s">
        <v>31</v>
      </c>
      <c r="D35" s="17">
        <f>D29-D32</f>
        <v>13.69206430889588</v>
      </c>
    </row>
    <row r="36" spans="2:4">
      <c r="B36" s="43" t="s">
        <v>30</v>
      </c>
      <c r="D36" s="17">
        <f>D30-D33</f>
        <v>102.6079356911041</v>
      </c>
    </row>
    <row r="37" spans="2:4">
      <c r="D37" s="744"/>
    </row>
    <row r="38" spans="2:4">
      <c r="B38" t="s">
        <v>32</v>
      </c>
      <c r="D38" s="751">
        <v>27.320565795825701</v>
      </c>
    </row>
    <row r="39" spans="2:4">
      <c r="B39" t="s">
        <v>33</v>
      </c>
      <c r="D39" s="751">
        <v>7.0940921922657738</v>
      </c>
    </row>
  </sheetData>
  <sheetProtection algorithmName="SHA-512" hashValue="Ssk8T72poHHXyXM1s6enQO5XoTSQYtqkFuRpJorXnQk87h+8rY4fnnJJFejiLp/VZX2AvyHWID9qs1pMuRPxQw==" saltValue="Hne4bUFQSJlTLf3eFURbNQ==" spinCount="100000" sheet="1" objects="1" scenarios="1"/>
  <mergeCells count="1">
    <mergeCell ref="D21:D23"/>
  </mergeCells>
  <conditionalFormatting sqref="D6:J6">
    <cfRule type="expression" dxfId="20" priority="24">
      <formula>AND(D$4="Actuals",E$4="Forecast")</formula>
    </cfRule>
  </conditionalFormatting>
  <conditionalFormatting sqref="I11:K11">
    <cfRule type="expression" dxfId="19" priority="18">
      <formula>I$5="Forecast"</formula>
    </cfRule>
    <cfRule type="expression" dxfId="18" priority="19">
      <formula>I$5="Actuals"</formula>
    </cfRule>
  </conditionalFormatting>
  <conditionalFormatting sqref="I8:K8">
    <cfRule type="expression" dxfId="17" priority="22">
      <formula>I$5="Forecast"</formula>
    </cfRule>
    <cfRule type="expression" dxfId="16" priority="23">
      <formula>I$5="Actuals"</formula>
    </cfRule>
  </conditionalFormatting>
  <conditionalFormatting sqref="I10:K10">
    <cfRule type="expression" dxfId="15" priority="20">
      <formula>I$5="Forecast"</formula>
    </cfRule>
    <cfRule type="expression" dxfId="14" priority="21">
      <formula>I$5="Actuals"</formula>
    </cfRule>
  </conditionalFormatting>
  <conditionalFormatting sqref="D5:K6">
    <cfRule type="expression" dxfId="13" priority="17">
      <formula>AND(D$5="Actuals",E$5="Forecast")</formula>
    </cfRule>
  </conditionalFormatting>
  <conditionalFormatting sqref="D21">
    <cfRule type="expression" dxfId="12" priority="14">
      <formula>AND(E$4="Actuals",F$4="Forecast")</formula>
    </cfRule>
  </conditionalFormatting>
  <conditionalFormatting sqref="K6">
    <cfRule type="expression" dxfId="11" priority="120">
      <formula>AND(K$4="Actuals",#REF!="Forecast")</formula>
    </cfRule>
  </conditionalFormatting>
  <conditionalFormatting sqref="K5">
    <cfRule type="expression" dxfId="10" priority="122">
      <formula>AND(K$5="Actuals",#REF!="Forecast")</formula>
    </cfRule>
  </conditionalFormatting>
  <conditionalFormatting sqref="D11:H11">
    <cfRule type="expression" dxfId="9" priority="3">
      <formula>D$5="Forecast"</formula>
    </cfRule>
    <cfRule type="expression" dxfId="8" priority="4">
      <formula>D$5="Actuals"</formula>
    </cfRule>
  </conditionalFormatting>
  <conditionalFormatting sqref="D8:H8">
    <cfRule type="expression" dxfId="7" priority="7">
      <formula>D$5="Forecast"</formula>
    </cfRule>
    <cfRule type="expression" dxfId="6" priority="8">
      <formula>D$5="Actuals"</formula>
    </cfRule>
  </conditionalFormatting>
  <conditionalFormatting sqref="D10:H10">
    <cfRule type="expression" dxfId="5" priority="5">
      <formula>D$5="Forecast"</formula>
    </cfRule>
    <cfRule type="expression" dxfId="4" priority="6">
      <formula>D$5="Actuals"</formula>
    </cfRule>
  </conditionalFormatting>
  <conditionalFormatting sqref="J17:K18">
    <cfRule type="expression" dxfId="3" priority="1">
      <formula>J$5="Forecast"</formula>
    </cfRule>
    <cfRule type="expression" dxfId="2" priority="2">
      <formula>J$5="Actuals"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90" t="s">
        <v>257</v>
      </c>
      <c r="B1" s="900"/>
      <c r="C1" s="257"/>
      <c r="D1" s="257"/>
      <c r="E1" s="257"/>
      <c r="F1" s="257"/>
      <c r="G1" s="257"/>
      <c r="H1" s="257"/>
      <c r="I1" s="258"/>
      <c r="J1" s="258"/>
      <c r="K1" s="259"/>
      <c r="L1" s="358"/>
      <c r="M1" s="33"/>
      <c r="N1" s="33"/>
      <c r="O1" s="32" t="s">
        <v>84</v>
      </c>
      <c r="P1" s="33"/>
      <c r="Q1" s="33"/>
      <c r="R1" s="33"/>
      <c r="S1" s="33"/>
    </row>
    <row r="2" spans="1:19" s="31" customFormat="1" ht="20.25">
      <c r="A2" s="893" t="str">
        <f>'RFPR cover'!C5</f>
        <v>NPgY</v>
      </c>
      <c r="B2" s="885"/>
      <c r="C2" s="29"/>
      <c r="D2" s="29"/>
      <c r="E2" s="29"/>
      <c r="F2" s="29"/>
      <c r="G2" s="29"/>
      <c r="H2" s="29"/>
      <c r="I2" s="27"/>
      <c r="J2" s="27"/>
      <c r="K2" s="27"/>
      <c r="L2" s="124"/>
      <c r="M2" s="33"/>
      <c r="N2" s="33"/>
      <c r="O2" s="32" t="s">
        <v>84</v>
      </c>
      <c r="P2" s="33"/>
      <c r="Q2" s="33"/>
      <c r="R2" s="33"/>
      <c r="S2" s="33"/>
    </row>
    <row r="3" spans="1:19" s="31" customFormat="1" ht="20.25">
      <c r="A3" s="896">
        <f>'RFPR cover'!C7</f>
        <v>2022</v>
      </c>
      <c r="B3" s="903"/>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5"/>
      <c r="E7" s="755"/>
      <c r="F7" s="755"/>
      <c r="G7" s="755"/>
      <c r="H7" s="755"/>
      <c r="I7" s="755"/>
      <c r="J7" s="755"/>
      <c r="K7" s="755"/>
    </row>
    <row r="8" spans="1:19">
      <c r="B8" s="51" t="s">
        <v>464</v>
      </c>
      <c r="C8" s="211" t="str">
        <f>'RFPR cover'!$C$14</f>
        <v>£m 12/13</v>
      </c>
      <c r="D8" s="752">
        <f>(D16+D21)/Data!C34</f>
        <v>0.1479022193013225</v>
      </c>
      <c r="E8" s="752">
        <f>(E16+E21)/Data!D34</f>
        <v>0.11985928292174858</v>
      </c>
      <c r="F8" s="752">
        <f>(F16+F21)/Data!E34</f>
        <v>0.12489543192631718</v>
      </c>
      <c r="G8" s="752">
        <f>(G16+G21)/Data!F34</f>
        <v>0.174197246640582</v>
      </c>
      <c r="H8" s="752">
        <f>(H16+H21)/Data!G34</f>
        <v>0.19169793182420292</v>
      </c>
      <c r="I8" s="752">
        <f>(I16+I21)/Data!H34</f>
        <v>0.14646714094374966</v>
      </c>
      <c r="J8" s="752">
        <f>(J16+J21)/Data!I34</f>
        <v>1.1339145176828893</v>
      </c>
      <c r="K8" s="752">
        <f>(K16+K21)/Data!J34</f>
        <v>0.12785706405732825</v>
      </c>
    </row>
    <row r="9" spans="1:19">
      <c r="D9" s="755"/>
      <c r="E9" s="755"/>
      <c r="F9" s="755"/>
      <c r="G9" s="755"/>
      <c r="H9" s="755"/>
      <c r="I9" s="755"/>
      <c r="J9" s="755"/>
      <c r="K9" s="755"/>
    </row>
    <row r="10" spans="1:19">
      <c r="B10" s="14" t="s">
        <v>451</v>
      </c>
      <c r="D10" s="755"/>
      <c r="E10" s="755"/>
      <c r="F10" s="755"/>
      <c r="G10" s="755"/>
      <c r="H10" s="755"/>
      <c r="I10" s="755"/>
      <c r="J10" s="755"/>
      <c r="K10" s="755"/>
    </row>
    <row r="11" spans="1:19">
      <c r="B11" s="44" t="s">
        <v>603</v>
      </c>
      <c r="C11" s="153" t="s">
        <v>127</v>
      </c>
      <c r="D11" s="632"/>
      <c r="E11" s="633"/>
      <c r="F11" s="633"/>
      <c r="G11" s="633"/>
      <c r="H11" s="633"/>
      <c r="I11" s="633"/>
      <c r="J11" s="633">
        <v>0.61519999999999997</v>
      </c>
      <c r="K11" s="634"/>
    </row>
    <row r="12" spans="1:19">
      <c r="B12" s="44" t="s">
        <v>36</v>
      </c>
      <c r="C12" s="153" t="s">
        <v>127</v>
      </c>
      <c r="D12" s="632"/>
      <c r="E12" s="633"/>
      <c r="F12" s="633"/>
      <c r="G12" s="633"/>
      <c r="H12" s="633"/>
      <c r="I12" s="633"/>
      <c r="J12" s="633"/>
      <c r="K12" s="634"/>
    </row>
    <row r="13" spans="1:19">
      <c r="B13" s="44" t="s">
        <v>20</v>
      </c>
      <c r="C13" s="153" t="s">
        <v>127</v>
      </c>
      <c r="D13" s="632"/>
      <c r="E13" s="633"/>
      <c r="F13" s="633"/>
      <c r="G13" s="633"/>
      <c r="H13" s="633"/>
      <c r="I13" s="633"/>
      <c r="J13" s="633"/>
      <c r="K13" s="634"/>
    </row>
    <row r="14" spans="1:19">
      <c r="B14" s="14" t="s">
        <v>461</v>
      </c>
      <c r="C14" s="153" t="s">
        <v>127</v>
      </c>
      <c r="D14" s="752">
        <f>SUM(D11:D13)</f>
        <v>0</v>
      </c>
      <c r="E14" s="753">
        <f t="shared" ref="E14:K14" si="1">SUM(E11:E13)</f>
        <v>0</v>
      </c>
      <c r="F14" s="753">
        <f t="shared" si="1"/>
        <v>0</v>
      </c>
      <c r="G14" s="753">
        <f t="shared" si="1"/>
        <v>0</v>
      </c>
      <c r="H14" s="753">
        <f t="shared" si="1"/>
        <v>0</v>
      </c>
      <c r="I14" s="753">
        <f t="shared" si="1"/>
        <v>0</v>
      </c>
      <c r="J14" s="753">
        <f t="shared" si="1"/>
        <v>0.61519999999999997</v>
      </c>
      <c r="K14" s="754">
        <f t="shared" si="1"/>
        <v>0</v>
      </c>
    </row>
    <row r="15" spans="1:19">
      <c r="B15" s="35" t="s">
        <v>455</v>
      </c>
      <c r="C15" s="153" t="s">
        <v>127</v>
      </c>
      <c r="D15" s="632"/>
      <c r="E15" s="633"/>
      <c r="F15" s="633"/>
      <c r="G15" s="633"/>
      <c r="H15" s="633"/>
      <c r="I15" s="633"/>
      <c r="J15" s="633">
        <v>0.11688799999999999</v>
      </c>
      <c r="K15" s="634"/>
    </row>
    <row r="16" spans="1:19">
      <c r="B16" s="51" t="s">
        <v>462</v>
      </c>
      <c r="C16" s="153" t="s">
        <v>127</v>
      </c>
      <c r="D16" s="752">
        <f>D14-D15</f>
        <v>0</v>
      </c>
      <c r="E16" s="752">
        <f t="shared" ref="E16:K16" si="2">E14-E15</f>
        <v>0</v>
      </c>
      <c r="F16" s="752">
        <f t="shared" si="2"/>
        <v>0</v>
      </c>
      <c r="G16" s="752">
        <f t="shared" si="2"/>
        <v>0</v>
      </c>
      <c r="H16" s="752">
        <f t="shared" si="2"/>
        <v>0</v>
      </c>
      <c r="I16" s="752">
        <f t="shared" si="2"/>
        <v>0</v>
      </c>
      <c r="J16" s="752">
        <f t="shared" si="2"/>
        <v>0.49831199999999998</v>
      </c>
      <c r="K16" s="752">
        <f t="shared" si="2"/>
        <v>0</v>
      </c>
    </row>
    <row r="18" spans="2:13">
      <c r="B18" s="14" t="s">
        <v>459</v>
      </c>
      <c r="D18" s="755"/>
      <c r="E18" s="755"/>
      <c r="F18" s="755"/>
      <c r="G18" s="755"/>
      <c r="H18" s="755"/>
      <c r="I18" s="755"/>
      <c r="J18" s="755"/>
      <c r="K18" s="755"/>
    </row>
    <row r="19" spans="2:13">
      <c r="B19" s="835" t="s">
        <v>460</v>
      </c>
      <c r="C19" s="153" t="s">
        <v>127</v>
      </c>
      <c r="D19" s="632">
        <v>0.19602900000000001</v>
      </c>
      <c r="E19" s="633">
        <v>0.16226500000000002</v>
      </c>
      <c r="F19" s="633">
        <v>0.17541000000000001</v>
      </c>
      <c r="G19" s="633">
        <v>0.24901500000000004</v>
      </c>
      <c r="H19" s="633">
        <v>0.27502499999999996</v>
      </c>
      <c r="I19" s="633">
        <v>0.21740000000000001</v>
      </c>
      <c r="J19" s="633">
        <v>1.1650732699999999</v>
      </c>
      <c r="K19" s="634">
        <v>0.21740000000000001</v>
      </c>
      <c r="M19" s="935"/>
    </row>
    <row r="20" spans="2:13">
      <c r="B20" s="35" t="s">
        <v>455</v>
      </c>
      <c r="C20" s="153" t="s">
        <v>127</v>
      </c>
      <c r="D20" s="632">
        <v>3.9205800000000006E-2</v>
      </c>
      <c r="E20" s="633">
        <v>3.2453000000000003E-2</v>
      </c>
      <c r="F20" s="633">
        <v>3.5082000000000002E-2</v>
      </c>
      <c r="G20" s="633">
        <v>4.731285000000001E-2</v>
      </c>
      <c r="H20" s="633">
        <v>4.731285000000001E-2</v>
      </c>
      <c r="I20" s="633">
        <v>4.1306000000000002E-2</v>
      </c>
      <c r="J20" s="633">
        <v>0.22136392129999999</v>
      </c>
      <c r="K20" s="634">
        <v>4.1306000000000002E-2</v>
      </c>
    </row>
    <row r="21" spans="2:13">
      <c r="B21" s="51" t="s">
        <v>463</v>
      </c>
      <c r="C21" s="153" t="s">
        <v>127</v>
      </c>
      <c r="D21" s="752">
        <f>D19-D20</f>
        <v>0.1568232</v>
      </c>
      <c r="E21" s="752">
        <f t="shared" ref="E21:K21" si="3">E19-E20</f>
        <v>0.12981200000000001</v>
      </c>
      <c r="F21" s="752">
        <f t="shared" si="3"/>
        <v>0.14032800000000001</v>
      </c>
      <c r="G21" s="752">
        <f t="shared" si="3"/>
        <v>0.20170215000000002</v>
      </c>
      <c r="H21" s="752">
        <f t="shared" si="3"/>
        <v>0.22771214999999995</v>
      </c>
      <c r="I21" s="752">
        <f t="shared" si="3"/>
        <v>0.176094</v>
      </c>
      <c r="J21" s="752">
        <f t="shared" si="3"/>
        <v>0.94370934869999989</v>
      </c>
      <c r="K21" s="926">
        <f t="shared" si="3"/>
        <v>0.176094</v>
      </c>
    </row>
  </sheetData>
  <sheetProtection algorithmName="SHA-512" hashValue="aaRQF02pAQKdhreZ/+V1FeDL9xhUDpKKFej8Xvk7eKNXY6Dsv9PfvcznIuiz4espi2IZgvLEqA0uYi6zmY3HZg==" saltValue="jpRbq+IfrqW2xYSUFGNTGQ==" spinCount="100000"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85FE4-1466-4BF7-8FA9-67F63A3D57B8}">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631298fc-6a88-4548-b7d9-3b164918c4a3"/>
    <ds:schemaRef ds:uri="http://schemas.microsoft.com/sharepoint/v3/fields"/>
    <ds:schemaRef ds:uri="http://purl.org/dc/dcmitype/"/>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'R4 - Totex'!Print_Area</vt:lpstr>
      <vt:lpstr>'R5 - Output Incentives'!Print_Area</vt:lpstr>
      <vt:lpstr>'R6 - Innovation'!Print_Area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Atack, Kathryn (Northern Powergrid)</cp:lastModifiedBy>
  <cp:lastPrinted>2022-07-29T12:14:19Z</cp:lastPrinted>
  <dcterms:created xsi:type="dcterms:W3CDTF">2018-06-13T08:32:09Z</dcterms:created>
  <dcterms:modified xsi:type="dcterms:W3CDTF">2022-07-29T13:48:09Z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DLPManualFileClassification">
    <vt:lpwstr>{0F742C78-7CA1-4A83-96D0-F7EDA8C31D24}</vt:lpwstr>
  </property>
  <property fmtid="{D5CDD505-2E9C-101B-9397-08002B2CF9AE}" pid="22" name="DLPManualFileClassificationLastModifiedBy">
    <vt:lpwstr>AD03\Kathryn.Atack</vt:lpwstr>
  </property>
  <property fmtid="{D5CDD505-2E9C-101B-9397-08002B2CF9AE}" pid="23" name="DLPManualFileClassificationLastModificationDate">
    <vt:lpwstr>1592327147</vt:lpwstr>
  </property>
  <property fmtid="{D5CDD505-2E9C-101B-9397-08002B2CF9AE}" pid="24" name="DLPManualFileClassificationVersion">
    <vt:lpwstr>11.3.2.8</vt:lpwstr>
  </property>
</Properties>
</file>