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8_{F2941EDA-5A56-491F-9314-70AF0FEFF3AB}" xr6:coauthVersionLast="47" xr6:coauthVersionMax="47" xr10:uidLastSave="{00000000-0000-0000-0000-000000000000}"/>
  <bookViews>
    <workbookView xWindow="-110" yWindow="-110" windowWidth="19420" windowHeight="10420" tabRatio="847" xr2:uid="{00000000-000D-0000-FFFF-FFFF00000000}"/>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0" l="1"/>
  <c r="H20" i="10"/>
  <c r="G20" i="10"/>
  <c r="F20" i="10"/>
  <c r="E20" i="10"/>
  <c r="D20" i="10"/>
  <c r="K20" i="10" l="1"/>
  <c r="J20" i="10"/>
  <c r="D27" i="28" l="1"/>
  <c r="F26" i="28" l="1"/>
  <c r="K87" i="29" l="1"/>
  <c r="J87" i="29"/>
  <c r="I87" i="29"/>
  <c r="H87" i="29"/>
  <c r="G87" i="29"/>
  <c r="F87" i="29"/>
  <c r="E87" i="29"/>
  <c r="D87" i="29"/>
  <c r="D26" i="28" l="1"/>
  <c r="B21" i="1" l="1"/>
  <c r="B3" i="1" l="1"/>
  <c r="M47" i="17" l="1"/>
  <c r="K21" i="20" l="1"/>
  <c r="J21" i="20"/>
  <c r="I21" i="20"/>
  <c r="H21" i="20"/>
  <c r="G21" i="20"/>
  <c r="F21" i="20"/>
  <c r="E21" i="20"/>
  <c r="D21" i="20"/>
  <c r="K14" i="20"/>
  <c r="K16" i="20" s="1"/>
  <c r="J14" i="20"/>
  <c r="I14" i="20"/>
  <c r="I16" i="20" s="1"/>
  <c r="H14" i="20"/>
  <c r="H16" i="20" s="1"/>
  <c r="G14" i="20"/>
  <c r="G16" i="20" s="1"/>
  <c r="F14" i="20"/>
  <c r="F16" i="20" s="1"/>
  <c r="E14" i="20"/>
  <c r="E16" i="20" s="1"/>
  <c r="D14" i="20"/>
  <c r="D16" i="20" s="1"/>
  <c r="A3" i="20"/>
  <c r="A2" i="20"/>
  <c r="K19" i="19"/>
  <c r="J19" i="19"/>
  <c r="I19" i="19"/>
  <c r="H19" i="19"/>
  <c r="G19" i="19"/>
  <c r="F19" i="19"/>
  <c r="E19" i="19"/>
  <c r="D19" i="19"/>
  <c r="A3" i="19"/>
  <c r="A2" i="19"/>
  <c r="K13" i="11"/>
  <c r="J13" i="11"/>
  <c r="I13" i="11"/>
  <c r="H13" i="11"/>
  <c r="G13" i="11"/>
  <c r="F13" i="11"/>
  <c r="E13" i="11"/>
  <c r="D13" i="11"/>
  <c r="B3" i="11"/>
  <c r="A3" i="11"/>
  <c r="A2" i="11"/>
  <c r="K76" i="29"/>
  <c r="J76" i="29"/>
  <c r="I76" i="29"/>
  <c r="H76" i="29"/>
  <c r="G76" i="29"/>
  <c r="F76" i="29"/>
  <c r="E76" i="29"/>
  <c r="D76" i="29"/>
  <c r="K19" i="29"/>
  <c r="J19" i="29"/>
  <c r="I19" i="29"/>
  <c r="H19" i="29"/>
  <c r="G19" i="29"/>
  <c r="F19" i="29"/>
  <c r="E19" i="29"/>
  <c r="D19" i="29"/>
  <c r="A3" i="29"/>
  <c r="A2" i="29"/>
  <c r="K28" i="10"/>
  <c r="J28" i="10"/>
  <c r="I28" i="10"/>
  <c r="H28" i="10"/>
  <c r="G28" i="10"/>
  <c r="F28" i="10"/>
  <c r="E28" i="10"/>
  <c r="D28" i="10"/>
  <c r="K24" i="10"/>
  <c r="J24" i="10"/>
  <c r="I24" i="10"/>
  <c r="H24" i="10"/>
  <c r="G24" i="10"/>
  <c r="F24" i="10"/>
  <c r="E24" i="10"/>
  <c r="D24" i="10"/>
  <c r="D18" i="10"/>
  <c r="A3" i="10"/>
  <c r="A2" i="10"/>
  <c r="I8" i="27"/>
  <c r="K52" i="27"/>
  <c r="J52" i="27"/>
  <c r="I52" i="27"/>
  <c r="H52" i="27"/>
  <c r="G52" i="27"/>
  <c r="F52" i="27"/>
  <c r="E52" i="27"/>
  <c r="D52" i="27"/>
  <c r="H8" i="27"/>
  <c r="B3" i="27"/>
  <c r="A3" i="27"/>
  <c r="A2" i="27"/>
  <c r="L6" i="17"/>
  <c r="B3" i="17"/>
  <c r="A3" i="17"/>
  <c r="A2" i="17"/>
  <c r="K17" i="3"/>
  <c r="K18" i="4" s="1"/>
  <c r="J17" i="3"/>
  <c r="I17" i="3"/>
  <c r="G17" i="3"/>
  <c r="F17" i="3"/>
  <c r="F18" i="4" s="1"/>
  <c r="E17" i="3"/>
  <c r="D17" i="3"/>
  <c r="K12" i="3"/>
  <c r="K17" i="4" s="1"/>
  <c r="J12" i="3"/>
  <c r="J17" i="4" s="1"/>
  <c r="I12" i="3"/>
  <c r="I17" i="4" s="1"/>
  <c r="G12" i="3"/>
  <c r="G17" i="4" s="1"/>
  <c r="F12" i="3"/>
  <c r="F17" i="4" s="1"/>
  <c r="E12" i="3"/>
  <c r="D12" i="3"/>
  <c r="B3" i="3"/>
  <c r="A3" i="3"/>
  <c r="A2" i="3"/>
  <c r="A110" i="5"/>
  <c r="A109" i="5"/>
  <c r="I102" i="5"/>
  <c r="I15" i="4" s="1"/>
  <c r="H102" i="5"/>
  <c r="H15" i="4" s="1"/>
  <c r="G102" i="5"/>
  <c r="G15" i="4" s="1"/>
  <c r="F102" i="5"/>
  <c r="E102" i="5"/>
  <c r="E15" i="4" s="1"/>
  <c r="D102" i="5"/>
  <c r="D15" i="4" s="1"/>
  <c r="A100" i="5"/>
  <c r="A111" i="5" s="1"/>
  <c r="A97" i="5"/>
  <c r="A94" i="5"/>
  <c r="A91" i="5"/>
  <c r="A108" i="5" s="1"/>
  <c r="A88" i="5"/>
  <c r="A107" i="5" s="1"/>
  <c r="A85" i="5"/>
  <c r="A106" i="5" s="1"/>
  <c r="A82" i="5"/>
  <c r="A105" i="5" s="1"/>
  <c r="K73" i="5"/>
  <c r="J73" i="5"/>
  <c r="I73" i="5"/>
  <c r="H73" i="5"/>
  <c r="G73" i="5"/>
  <c r="F73" i="5"/>
  <c r="E73" i="5"/>
  <c r="D73" i="5"/>
  <c r="G69" i="5"/>
  <c r="F69" i="5"/>
  <c r="A69" i="5"/>
  <c r="J69" i="5" s="1"/>
  <c r="J65" i="5"/>
  <c r="I65" i="5"/>
  <c r="H65" i="5"/>
  <c r="G65" i="5"/>
  <c r="F65" i="5"/>
  <c r="D65" i="5"/>
  <c r="A65" i="5"/>
  <c r="K65" i="5" s="1"/>
  <c r="K61" i="5"/>
  <c r="J61" i="5"/>
  <c r="I61" i="5"/>
  <c r="G61" i="5"/>
  <c r="F61" i="5"/>
  <c r="D61" i="5"/>
  <c r="A61" i="5"/>
  <c r="E61" i="5" s="1"/>
  <c r="K57" i="5"/>
  <c r="J57" i="5"/>
  <c r="I57" i="5"/>
  <c r="G57" i="5"/>
  <c r="F57" i="5"/>
  <c r="D57" i="5"/>
  <c r="A57" i="5"/>
  <c r="E57" i="5" s="1"/>
  <c r="K53" i="5"/>
  <c r="J53" i="5"/>
  <c r="I53" i="5"/>
  <c r="G53" i="5"/>
  <c r="F53" i="5"/>
  <c r="D53" i="5"/>
  <c r="A53" i="5"/>
  <c r="E53" i="5" s="1"/>
  <c r="K49" i="5"/>
  <c r="J49" i="5"/>
  <c r="I49" i="5"/>
  <c r="G49" i="5"/>
  <c r="F49" i="5"/>
  <c r="E49" i="5"/>
  <c r="D49" i="5"/>
  <c r="A49" i="5"/>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6" i="2" s="1"/>
  <c r="M55" i="2"/>
  <c r="M54" i="2"/>
  <c r="M53" i="2"/>
  <c r="M52" i="2"/>
  <c r="M51" i="2"/>
  <c r="M50" i="2"/>
  <c r="K44" i="2"/>
  <c r="K47" i="2" s="1"/>
  <c r="J44" i="2"/>
  <c r="I44" i="2"/>
  <c r="H44" i="2"/>
  <c r="G44" i="2"/>
  <c r="F44" i="2"/>
  <c r="F46" i="2" s="1"/>
  <c r="E44" i="2"/>
  <c r="D44" i="2"/>
  <c r="M42" i="2"/>
  <c r="K42" i="2"/>
  <c r="J42" i="2"/>
  <c r="I42" i="2"/>
  <c r="H42" i="2"/>
  <c r="G42" i="2"/>
  <c r="F42" i="2"/>
  <c r="E42" i="2"/>
  <c r="D42" i="2"/>
  <c r="M41" i="2"/>
  <c r="M40"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J64" i="4"/>
  <c r="I64" i="4"/>
  <c r="H64" i="4"/>
  <c r="G64" i="4"/>
  <c r="F64" i="4"/>
  <c r="E64" i="4"/>
  <c r="D64" i="4"/>
  <c r="J45" i="4"/>
  <c r="J66" i="4" s="1"/>
  <c r="J68" i="4" s="1"/>
  <c r="I45" i="4"/>
  <c r="H45" i="4"/>
  <c r="G45" i="4"/>
  <c r="G66" i="4" s="1"/>
  <c r="G68" i="4" s="1"/>
  <c r="F45" i="4"/>
  <c r="F66" i="4" s="1"/>
  <c r="F68" i="4" s="1"/>
  <c r="E45" i="4"/>
  <c r="E66" i="4" s="1"/>
  <c r="E68" i="4" s="1"/>
  <c r="D45" i="4"/>
  <c r="D66" i="4" s="1"/>
  <c r="D68" i="4" s="1"/>
  <c r="J18" i="4"/>
  <c r="I18" i="4"/>
  <c r="G18" i="4"/>
  <c r="E18" i="4"/>
  <c r="D18" i="4"/>
  <c r="E17" i="4"/>
  <c r="D17" i="4"/>
  <c r="F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F159" i="28" s="1"/>
  <c r="B202" i="28"/>
  <c r="F158" i="28" s="1"/>
  <c r="E192" i="28"/>
  <c r="B192" i="28"/>
  <c r="F156" i="28" s="1"/>
  <c r="E182" i="28"/>
  <c r="B182" i="28"/>
  <c r="F155" i="28"/>
  <c r="F154" i="28"/>
  <c r="F153" i="28"/>
  <c r="F152" i="28"/>
  <c r="D118" i="28"/>
  <c r="E118" i="28" s="1"/>
  <c r="F118" i="28" s="1"/>
  <c r="G118" i="28" s="1"/>
  <c r="H118" i="28" s="1"/>
  <c r="I118" i="28" s="1"/>
  <c r="J118" i="28" s="1"/>
  <c r="K118" i="28" s="1"/>
  <c r="L118" i="28" s="1"/>
  <c r="F105" i="28"/>
  <c r="G105" i="28" s="1"/>
  <c r="H105" i="28" s="1"/>
  <c r="I105" i="28" s="1"/>
  <c r="J105" i="28" s="1"/>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C14" i="13" s="1"/>
  <c r="T73" i="28"/>
  <c r="S73" i="28"/>
  <c r="R73" i="28"/>
  <c r="Q73" i="28"/>
  <c r="P73" i="28"/>
  <c r="O73" i="28"/>
  <c r="N73" i="28"/>
  <c r="M73" i="28"/>
  <c r="H73" i="28"/>
  <c r="N72" i="28"/>
  <c r="O72" i="28" s="1"/>
  <c r="P72" i="28" s="1"/>
  <c r="Q72" i="28" s="1"/>
  <c r="R72" i="28" s="1"/>
  <c r="S72" i="28" s="1"/>
  <c r="T72" i="28" s="1"/>
  <c r="M72" i="28"/>
  <c r="L72" i="28"/>
  <c r="D62" i="28"/>
  <c r="E62" i="28" s="1"/>
  <c r="F62" i="28" s="1"/>
  <c r="G62" i="28" s="1"/>
  <c r="H62" i="28" s="1"/>
  <c r="I62" i="28" s="1"/>
  <c r="J62" i="28" s="1"/>
  <c r="K62" i="28" s="1"/>
  <c r="L62" i="28" s="1"/>
  <c r="J51" i="28"/>
  <c r="I51" i="28"/>
  <c r="H51" i="28"/>
  <c r="G51" i="28"/>
  <c r="F51" i="28"/>
  <c r="E51" i="28"/>
  <c r="D51" i="28"/>
  <c r="C51" i="28"/>
  <c r="F50" i="28"/>
  <c r="G50" i="28" s="1"/>
  <c r="H50" i="28" s="1"/>
  <c r="I50" i="28" s="1"/>
  <c r="J50" i="28" s="1"/>
  <c r="E50" i="28"/>
  <c r="D50" i="28"/>
  <c r="C48" i="28"/>
  <c r="B45" i="28"/>
  <c r="F42" i="28"/>
  <c r="G42" i="28" s="1"/>
  <c r="H42" i="28" s="1"/>
  <c r="I42" i="28" s="1"/>
  <c r="J42" i="28" s="1"/>
  <c r="E42" i="28"/>
  <c r="G38" i="28"/>
  <c r="H38" i="28" s="1"/>
  <c r="I38" i="28" s="1"/>
  <c r="J38" i="28" s="1"/>
  <c r="F38" i="28"/>
  <c r="E38" i="28"/>
  <c r="D30" i="28"/>
  <c r="D29" i="28"/>
  <c r="D28" i="28"/>
  <c r="D25" i="28"/>
  <c r="D24" i="28"/>
  <c r="D23" i="28"/>
  <c r="D22" i="28"/>
  <c r="D21" i="28"/>
  <c r="D20" i="28"/>
  <c r="D19" i="28"/>
  <c r="D18" i="28"/>
  <c r="D17" i="28"/>
  <c r="D16" i="28"/>
  <c r="D15" i="28"/>
  <c r="D14" i="28"/>
  <c r="A3" i="28"/>
  <c r="A2" i="28"/>
  <c r="C13" i="13"/>
  <c r="D6" i="15" s="1"/>
  <c r="C12" i="13"/>
  <c r="C11" i="13"/>
  <c r="C10" i="13"/>
  <c r="C6" i="13"/>
  <c r="A3" i="13"/>
  <c r="A2" i="13"/>
  <c r="J16" i="20" l="1"/>
  <c r="J48" i="15"/>
  <c r="K48" i="15"/>
  <c r="C42" i="2"/>
  <c r="C24" i="2"/>
  <c r="C23" i="2"/>
  <c r="C22" i="2"/>
  <c r="K69" i="5"/>
  <c r="E65" i="5"/>
  <c r="M65" i="5" s="1"/>
  <c r="D69" i="5"/>
  <c r="E69" i="5"/>
  <c r="E58" i="2"/>
  <c r="H69" i="5"/>
  <c r="D55" i="17"/>
  <c r="H58" i="2"/>
  <c r="I69" i="5"/>
  <c r="E156" i="28"/>
  <c r="I58" i="2"/>
  <c r="I66" i="4"/>
  <c r="I68" i="4" s="1"/>
  <c r="I55" i="17"/>
  <c r="I48" i="15"/>
  <c r="K55" i="17"/>
  <c r="H48" i="15"/>
  <c r="E48" i="15"/>
  <c r="E80" i="15" s="1"/>
  <c r="F31" i="2"/>
  <c r="I26" i="4"/>
  <c r="E31" i="2"/>
  <c r="M14" i="2"/>
  <c r="M73" i="5"/>
  <c r="J18" i="2"/>
  <c r="M52" i="17"/>
  <c r="E55" i="17"/>
  <c r="H55" i="17"/>
  <c r="M51" i="17"/>
  <c r="F55" i="17"/>
  <c r="J55" i="17"/>
  <c r="M48" i="17"/>
  <c r="G55" i="17"/>
  <c r="M49" i="17"/>
  <c r="M50" i="17"/>
  <c r="M53" i="17"/>
  <c r="K8" i="27"/>
  <c r="D23" i="27"/>
  <c r="D42" i="27" s="1"/>
  <c r="F26" i="4"/>
  <c r="F28" i="4" s="1"/>
  <c r="E26" i="4"/>
  <c r="E28" i="4" s="1"/>
  <c r="D26" i="4"/>
  <c r="D28" i="4" s="1"/>
  <c r="G26" i="4"/>
  <c r="G28" i="4" s="1"/>
  <c r="D19" i="2"/>
  <c r="G19" i="2"/>
  <c r="D48" i="15"/>
  <c r="D80" i="15" s="1"/>
  <c r="F48" i="15"/>
  <c r="F80" i="15" s="1"/>
  <c r="G48" i="15"/>
  <c r="G80" i="15" s="1"/>
  <c r="I59" i="2"/>
  <c r="K46" i="2"/>
  <c r="G18" i="2"/>
  <c r="K18" i="2"/>
  <c r="G30" i="2"/>
  <c r="F47" i="2"/>
  <c r="G31" i="2"/>
  <c r="E46" i="2"/>
  <c r="E62" i="2" s="1"/>
  <c r="I46" i="2"/>
  <c r="I62" i="2" s="1"/>
  <c r="E59" i="2"/>
  <c r="E6" i="15"/>
  <c r="D5" i="15"/>
  <c r="E154" i="28"/>
  <c r="E159" i="28"/>
  <c r="C51" i="1"/>
  <c r="C55" i="1"/>
  <c r="C61" i="1"/>
  <c r="C11" i="4"/>
  <c r="J60" i="29"/>
  <c r="F60" i="29"/>
  <c r="J42" i="10"/>
  <c r="F42" i="10"/>
  <c r="I65" i="27"/>
  <c r="E65" i="27"/>
  <c r="H58" i="27"/>
  <c r="D58" i="27"/>
  <c r="J62" i="17"/>
  <c r="F62" i="17"/>
  <c r="I60" i="29"/>
  <c r="E60" i="29"/>
  <c r="I42" i="10"/>
  <c r="E42" i="10"/>
  <c r="H65" i="27"/>
  <c r="D65" i="27"/>
  <c r="K58" i="27"/>
  <c r="G58" i="27"/>
  <c r="I62" i="17"/>
  <c r="E62" i="17"/>
  <c r="H60" i="29"/>
  <c r="D60" i="29"/>
  <c r="H42" i="10"/>
  <c r="D42" i="10"/>
  <c r="K65" i="27"/>
  <c r="G65" i="27"/>
  <c r="J58" i="27"/>
  <c r="F58" i="27"/>
  <c r="H62" i="17"/>
  <c r="D62" i="17"/>
  <c r="J65" i="27"/>
  <c r="E58" i="27"/>
  <c r="K42" i="10"/>
  <c r="F65" i="27"/>
  <c r="K62" i="17"/>
  <c r="K60" i="29"/>
  <c r="G42" i="10"/>
  <c r="G62" i="17"/>
  <c r="G60"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100" i="29"/>
  <c r="C88" i="29"/>
  <c r="C82" i="29"/>
  <c r="C75" i="29"/>
  <c r="C47" i="10"/>
  <c r="C29" i="10"/>
  <c r="C25" i="10"/>
  <c r="C21" i="10"/>
  <c r="C17" i="10"/>
  <c r="C16" i="10"/>
  <c r="C61" i="27"/>
  <c r="C90" i="17"/>
  <c r="C79" i="17"/>
  <c r="C28" i="3"/>
  <c r="C19" i="19"/>
  <c r="C97" i="29"/>
  <c r="C87" i="29"/>
  <c r="C81" i="29"/>
  <c r="C74" i="29"/>
  <c r="C51" i="10"/>
  <c r="C46" i="10"/>
  <c r="C28" i="10"/>
  <c r="C24" i="10"/>
  <c r="C20" i="10"/>
  <c r="C11" i="10"/>
  <c r="C88" i="17"/>
  <c r="C70" i="17"/>
  <c r="C18" i="19"/>
  <c r="C103" i="29"/>
  <c r="C95" i="29"/>
  <c r="C86" i="29"/>
  <c r="C80" i="29"/>
  <c r="C67" i="29"/>
  <c r="C50" i="10"/>
  <c r="C45" i="10"/>
  <c r="C27" i="10"/>
  <c r="C23" i="10"/>
  <c r="C19" i="10"/>
  <c r="C63" i="27"/>
  <c r="C86" i="17"/>
  <c r="C69" i="17"/>
  <c r="C17" i="19"/>
  <c r="C85" i="29"/>
  <c r="C55" i="29"/>
  <c r="C49" i="10"/>
  <c r="C26" i="10"/>
  <c r="C80" i="17"/>
  <c r="C69" i="5"/>
  <c r="C53" i="5"/>
  <c r="C43" i="5"/>
  <c r="C39" i="5"/>
  <c r="C17" i="5"/>
  <c r="C16" i="5"/>
  <c r="C15" i="5"/>
  <c r="C14" i="5"/>
  <c r="C13" i="5"/>
  <c r="C12" i="5"/>
  <c r="C11" i="5"/>
  <c r="C76" i="29"/>
  <c r="C22" i="10"/>
  <c r="C102" i="29"/>
  <c r="C18" i="10"/>
  <c r="C62" i="27"/>
  <c r="C73" i="5"/>
  <c r="C61" i="5"/>
  <c r="C93"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I19" i="2"/>
  <c r="G58" i="2"/>
  <c r="G59" i="2"/>
  <c r="K58" i="2"/>
  <c r="K62" i="2" s="1"/>
  <c r="K59" i="2"/>
  <c r="K63" i="2" s="1"/>
  <c r="G46" i="2"/>
  <c r="G62" i="2" s="1"/>
  <c r="G47" i="2"/>
  <c r="G63" i="2" s="1"/>
  <c r="E18" i="2"/>
  <c r="I18" i="2"/>
  <c r="F19" i="2"/>
  <c r="J19" i="2"/>
  <c r="E30" i="2"/>
  <c r="D59" i="2"/>
  <c r="D46" i="2"/>
  <c r="H59" i="2"/>
  <c r="H46" i="2"/>
  <c r="H62" i="2" s="1"/>
  <c r="H47" i="2"/>
  <c r="F18" i="2"/>
  <c r="K19" i="2"/>
  <c r="F30" i="2"/>
  <c r="D47" i="2"/>
  <c r="D58" i="2"/>
  <c r="E47" i="2"/>
  <c r="I47" i="2"/>
  <c r="I63" i="2" s="1"/>
  <c r="E23" i="27"/>
  <c r="E42" i="27" s="1"/>
  <c r="E44" i="27" s="1"/>
  <c r="E48" i="27" s="1"/>
  <c r="F47" i="27" s="1"/>
  <c r="F23" i="27"/>
  <c r="F42" i="27" s="1"/>
  <c r="E8" i="27"/>
  <c r="F8" i="27"/>
  <c r="K23" i="27"/>
  <c r="K42" i="27" s="1"/>
  <c r="G23" i="27"/>
  <c r="G42" i="27" s="1"/>
  <c r="H23" i="27"/>
  <c r="H42" i="27" s="1"/>
  <c r="G8" i="27"/>
  <c r="K80" i="15" l="1"/>
  <c r="J80" i="15"/>
  <c r="M69" i="5"/>
  <c r="D31" i="10"/>
  <c r="D21" i="10"/>
  <c r="D29" i="10" s="1"/>
  <c r="J31" i="10"/>
  <c r="J21" i="10"/>
  <c r="E31" i="10"/>
  <c r="E21" i="10"/>
  <c r="K31" i="10"/>
  <c r="K21" i="10"/>
  <c r="I31" i="10"/>
  <c r="I21" i="10"/>
  <c r="H31" i="10"/>
  <c r="H21" i="10"/>
  <c r="G31" i="10"/>
  <c r="G21" i="10"/>
  <c r="F31" i="10"/>
  <c r="F21" i="10"/>
  <c r="I80" i="15"/>
  <c r="I28" i="4"/>
  <c r="M46" i="17"/>
  <c r="J23" i="27"/>
  <c r="J42" i="27" s="1"/>
  <c r="J44" i="27" s="1"/>
  <c r="F35" i="2"/>
  <c r="H80" i="15"/>
  <c r="D50" i="15"/>
  <c r="E35" i="2"/>
  <c r="G35" i="2"/>
  <c r="G70" i="2" s="1"/>
  <c r="H28" i="17"/>
  <c r="H30" i="17" s="1"/>
  <c r="H33" i="17" s="1"/>
  <c r="K28" i="17"/>
  <c r="K30" i="17" s="1"/>
  <c r="F28" i="17"/>
  <c r="F30" i="17" s="1"/>
  <c r="F33" i="17" s="1"/>
  <c r="E28" i="17"/>
  <c r="E30" i="17" s="1"/>
  <c r="E33" i="17" s="1"/>
  <c r="I28" i="17"/>
  <c r="I30" i="17" s="1"/>
  <c r="G28" i="17"/>
  <c r="G30" i="17" s="1"/>
  <c r="G33" i="17" s="1"/>
  <c r="J28" i="17"/>
  <c r="J30" i="17" s="1"/>
  <c r="D44" i="27"/>
  <c r="D48" i="27" s="1"/>
  <c r="E47" i="27" s="1"/>
  <c r="E54" i="27" s="1"/>
  <c r="F44" i="27"/>
  <c r="F48" i="27" s="1"/>
  <c r="G47" i="27" s="1"/>
  <c r="G34" i="2"/>
  <c r="I64" i="2"/>
  <c r="F63" i="2"/>
  <c r="M58" i="2"/>
  <c r="M59" i="2"/>
  <c r="E63" i="2"/>
  <c r="E64" i="2" s="1"/>
  <c r="K64" i="2"/>
  <c r="D78" i="2"/>
  <c r="E6" i="2"/>
  <c r="D5" i="2"/>
  <c r="D77" i="2"/>
  <c r="E6" i="27"/>
  <c r="D5" i="27"/>
  <c r="D5" i="20"/>
  <c r="E6" i="20"/>
  <c r="F6" i="15"/>
  <c r="E5" i="15"/>
  <c r="E50" i="15" s="1"/>
  <c r="F34" i="2"/>
  <c r="D5" i="1"/>
  <c r="E6" i="1"/>
  <c r="E6" i="29"/>
  <c r="E5" i="29" s="1"/>
  <c r="D22" i="29"/>
  <c r="E6" i="10"/>
  <c r="E5" i="10" s="1"/>
  <c r="D40" i="10"/>
  <c r="D43" i="10" s="1"/>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D35" i="2"/>
  <c r="K44" i="27"/>
  <c r="J8" i="27"/>
  <c r="I23" i="27"/>
  <c r="I42" i="27" s="1"/>
  <c r="G44" i="27"/>
  <c r="G48" i="27" s="1"/>
  <c r="H47" i="27" s="1"/>
  <c r="H44" i="27"/>
  <c r="M55" i="17"/>
  <c r="E5" i="17"/>
  <c r="F6" i="17"/>
  <c r="E16" i="10" l="1"/>
  <c r="E18" i="10" s="1"/>
  <c r="E29" i="10" s="1"/>
  <c r="D32" i="10"/>
  <c r="D38" i="10"/>
  <c r="D56" i="27" s="1"/>
  <c r="D47" i="10"/>
  <c r="K33" i="17"/>
  <c r="J33" i="17"/>
  <c r="I33" i="17"/>
  <c r="F70" i="2"/>
  <c r="G36" i="2"/>
  <c r="G69" i="2"/>
  <c r="G71" i="2" s="1"/>
  <c r="G49" i="1"/>
  <c r="K48" i="27"/>
  <c r="H48" i="27"/>
  <c r="I47" i="27" s="1"/>
  <c r="J48" i="27"/>
  <c r="D54" i="27"/>
  <c r="F54" i="27"/>
  <c r="F64" i="2"/>
  <c r="F49" i="1"/>
  <c r="E49" i="1"/>
  <c r="J64" i="2"/>
  <c r="E70" i="2"/>
  <c r="D79" i="2"/>
  <c r="D50" i="1" s="1"/>
  <c r="D70" i="2"/>
  <c r="D49" i="1"/>
  <c r="D42" i="5"/>
  <c r="D41" i="5"/>
  <c r="B49" i="5"/>
  <c r="B82" i="5"/>
  <c r="B39" i="5"/>
  <c r="B51" i="1" s="1"/>
  <c r="B94" i="5"/>
  <c r="B65" i="5"/>
  <c r="B43" i="5"/>
  <c r="B55" i="1" s="1"/>
  <c r="M63" i="2"/>
  <c r="E78" i="2"/>
  <c r="E77" i="2"/>
  <c r="E5" i="2"/>
  <c r="F6" i="2"/>
  <c r="E33" i="28"/>
  <c r="D36" i="28"/>
  <c r="E39" i="17" s="1"/>
  <c r="D35" i="28"/>
  <c r="E34" i="10" s="1"/>
  <c r="D34" i="28"/>
  <c r="D32" i="28"/>
  <c r="F6" i="11"/>
  <c r="E5" i="11"/>
  <c r="F6" i="4"/>
  <c r="E5" i="4"/>
  <c r="B97" i="5"/>
  <c r="B44" i="5"/>
  <c r="B69" i="5"/>
  <c r="B91" i="5"/>
  <c r="B61" i="5"/>
  <c r="B42" i="5"/>
  <c r="B54" i="1" s="1"/>
  <c r="M62" i="2"/>
  <c r="D64" i="2"/>
  <c r="D69" i="2"/>
  <c r="D36" i="2"/>
  <c r="F6" i="29"/>
  <c r="F5" i="29" s="1"/>
  <c r="E22" i="29"/>
  <c r="H64" i="2"/>
  <c r="D35" i="10"/>
  <c r="D53"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G6" i="15"/>
  <c r="F5" i="15"/>
  <c r="F50" i="15" s="1"/>
  <c r="E5" i="27"/>
  <c r="F6" i="27"/>
  <c r="D45" i="5"/>
  <c r="D44" i="5"/>
  <c r="D39" i="5"/>
  <c r="F6" i="3"/>
  <c r="E5" i="3"/>
  <c r="B85" i="5"/>
  <c r="B40" i="5"/>
  <c r="B52" i="1" s="1"/>
  <c r="B53" i="5"/>
  <c r="B100" i="5"/>
  <c r="B73" i="5"/>
  <c r="B45" i="5"/>
  <c r="E36" i="2"/>
  <c r="E69" i="2"/>
  <c r="F69" i="2"/>
  <c r="F36" i="2"/>
  <c r="F6" i="20"/>
  <c r="E5" i="20"/>
  <c r="I44" i="27"/>
  <c r="G54" i="27"/>
  <c r="G6" i="17"/>
  <c r="F5" i="17"/>
  <c r="D63" i="27" l="1"/>
  <c r="F16" i="10"/>
  <c r="F18" i="10" s="1"/>
  <c r="F29" i="10" s="1"/>
  <c r="E32" i="10"/>
  <c r="E47" i="10"/>
  <c r="E46" i="10" s="1"/>
  <c r="E38" i="10"/>
  <c r="E56" i="27" s="1"/>
  <c r="F71" i="2"/>
  <c r="D46" i="10"/>
  <c r="D65" i="1" s="1"/>
  <c r="D45" i="10"/>
  <c r="D49" i="10" s="1"/>
  <c r="D57" i="10" s="1"/>
  <c r="K47" i="27"/>
  <c r="K54" i="27" s="1"/>
  <c r="H54" i="27"/>
  <c r="I48" i="27"/>
  <c r="E71" i="2"/>
  <c r="B33" i="1"/>
  <c r="B14" i="1"/>
  <c r="D46" i="5"/>
  <c r="D51" i="1"/>
  <c r="G6" i="19"/>
  <c r="F5" i="19"/>
  <c r="G6" i="4"/>
  <c r="F5" i="4"/>
  <c r="E41" i="17"/>
  <c r="E56" i="17" s="1"/>
  <c r="E8" i="20"/>
  <c r="E57" i="1" s="1"/>
  <c r="E35" i="10"/>
  <c r="E14" i="19"/>
  <c r="E53" i="29"/>
  <c r="E86" i="2"/>
  <c r="E28" i="3"/>
  <c r="E56" i="1" s="1"/>
  <c r="E79" i="2"/>
  <c r="B36" i="1"/>
  <c r="B17" i="1"/>
  <c r="D53" i="1"/>
  <c r="D55" i="1"/>
  <c r="D52" i="1"/>
  <c r="B35" i="1"/>
  <c r="B16" i="1"/>
  <c r="F77" i="2"/>
  <c r="G6" i="2"/>
  <c r="F78" i="2"/>
  <c r="F5" i="2"/>
  <c r="D55" i="27"/>
  <c r="D57" i="27"/>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48" i="29" s="1"/>
  <c r="D51" i="29" s="1"/>
  <c r="D71" i="2"/>
  <c r="F5" i="11"/>
  <c r="G6" i="11"/>
  <c r="E65" i="17"/>
  <c r="G6" i="3"/>
  <c r="F5" i="3"/>
  <c r="G6" i="27"/>
  <c r="F5" i="27"/>
  <c r="G6" i="10"/>
  <c r="G5" i="10" s="1"/>
  <c r="F40" i="10"/>
  <c r="F43" i="10" s="1"/>
  <c r="E46" i="5"/>
  <c r="E51" i="1"/>
  <c r="G6" i="29"/>
  <c r="G5" i="29" s="1"/>
  <c r="F22" i="29"/>
  <c r="M64" i="2"/>
  <c r="E36" i="28"/>
  <c r="F39" i="17" s="1"/>
  <c r="E35" i="28"/>
  <c r="F34" i="10" s="1"/>
  <c r="F38" i="10" s="1"/>
  <c r="E34" i="28"/>
  <c r="E32" i="28"/>
  <c r="F33" i="28"/>
  <c r="B32" i="1"/>
  <c r="B13" i="1"/>
  <c r="D54" i="1"/>
  <c r="G5" i="17"/>
  <c r="H6" i="17"/>
  <c r="H5" i="17" s="1"/>
  <c r="F47" i="10" l="1"/>
  <c r="F46" i="10" s="1"/>
  <c r="F32" i="10"/>
  <c r="E63" i="27"/>
  <c r="D11" i="1"/>
  <c r="E57" i="27"/>
  <c r="E62" i="27" s="1"/>
  <c r="E66" i="1" s="1"/>
  <c r="G16" i="10"/>
  <c r="G18" i="10" s="1"/>
  <c r="G29" i="10" s="1"/>
  <c r="E45" i="10"/>
  <c r="E49" i="10" s="1"/>
  <c r="E80" i="17" s="1"/>
  <c r="F56" i="27"/>
  <c r="F55" i="27" s="1"/>
  <c r="D54" i="10"/>
  <c r="E55" i="27"/>
  <c r="D12" i="1"/>
  <c r="D19" i="1"/>
  <c r="D18" i="1"/>
  <c r="D50" i="10"/>
  <c r="D58" i="10" s="1"/>
  <c r="D59" i="10" s="1"/>
  <c r="D80" i="17"/>
  <c r="D53" i="10"/>
  <c r="D14" i="1"/>
  <c r="D13" i="1"/>
  <c r="D17" i="1"/>
  <c r="D15" i="1"/>
  <c r="D16" i="1"/>
  <c r="J47" i="27"/>
  <c r="J54" i="27" s="1"/>
  <c r="I54" i="27"/>
  <c r="E23" i="29"/>
  <c r="E48" i="29" s="1"/>
  <c r="E43" i="17"/>
  <c r="F41" i="17"/>
  <c r="F56" i="17" s="1"/>
  <c r="F14" i="19"/>
  <c r="F35" i="10"/>
  <c r="F8" i="20"/>
  <c r="F57" i="1" s="1"/>
  <c r="F86" i="2"/>
  <c r="F28" i="3"/>
  <c r="F56" i="1" s="1"/>
  <c r="F53" i="29"/>
  <c r="H6" i="3"/>
  <c r="G5" i="3"/>
  <c r="D120" i="2"/>
  <c r="I6" i="15"/>
  <c r="H5" i="15"/>
  <c r="E54" i="10"/>
  <c r="E50" i="10"/>
  <c r="E65" i="1"/>
  <c r="H6" i="19"/>
  <c r="G5" i="19"/>
  <c r="F63" i="27"/>
  <c r="F45" i="10"/>
  <c r="F49" i="10" s="1"/>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H6" i="4"/>
  <c r="G5" i="4"/>
  <c r="G33" i="28"/>
  <c r="F36" i="28"/>
  <c r="G39" i="17" s="1"/>
  <c r="G65" i="17" s="1"/>
  <c r="F35" i="28"/>
  <c r="G34" i="10" s="1"/>
  <c r="F34" i="28"/>
  <c r="F32" i="28"/>
  <c r="F65" i="17"/>
  <c r="G22" i="29"/>
  <c r="H6" i="29"/>
  <c r="H5" i="29" s="1"/>
  <c r="H6" i="27"/>
  <c r="G5" i="27"/>
  <c r="H6" i="11"/>
  <c r="G5" i="11"/>
  <c r="D55" i="29"/>
  <c r="D63" i="29"/>
  <c r="D134" i="2"/>
  <c r="H6" i="20"/>
  <c r="G5" i="20"/>
  <c r="G77" i="2"/>
  <c r="G78" i="2"/>
  <c r="H6" i="2"/>
  <c r="G5" i="2"/>
  <c r="E102" i="2"/>
  <c r="E119" i="2"/>
  <c r="E105" i="2"/>
  <c r="E90" i="2"/>
  <c r="E101" i="2"/>
  <c r="E128" i="2"/>
  <c r="E131" i="2"/>
  <c r="E100" i="2"/>
  <c r="E130" i="2"/>
  <c r="E132" i="2"/>
  <c r="E103" i="2"/>
  <c r="E91" i="2"/>
  <c r="E118" i="2"/>
  <c r="E104" i="2"/>
  <c r="E133" i="2"/>
  <c r="E129" i="2"/>
  <c r="H6" i="10"/>
  <c r="H5" i="10" s="1"/>
  <c r="G40" i="10"/>
  <c r="G43" i="10" s="1"/>
  <c r="D81" i="15"/>
  <c r="D82" i="15"/>
  <c r="F39" i="5"/>
  <c r="F44" i="5"/>
  <c r="H6" i="1"/>
  <c r="G5" i="1"/>
  <c r="D61" i="27"/>
  <c r="D59" i="27"/>
  <c r="D62" i="27"/>
  <c r="D66" i="1" s="1"/>
  <c r="D61" i="29"/>
  <c r="E50" i="1"/>
  <c r="I6" i="17"/>
  <c r="E61" i="27" l="1"/>
  <c r="E59" i="27"/>
  <c r="F57" i="27"/>
  <c r="F62" i="27" s="1"/>
  <c r="F66" i="1" s="1"/>
  <c r="D55" i="10"/>
  <c r="E86" i="17"/>
  <c r="E61" i="29"/>
  <c r="E53" i="10"/>
  <c r="E55" i="10" s="1"/>
  <c r="E57" i="10"/>
  <c r="D48" i="1"/>
  <c r="D58" i="1" s="1"/>
  <c r="D51" i="10"/>
  <c r="E51" i="29"/>
  <c r="E63" i="29" s="1"/>
  <c r="H16" i="10"/>
  <c r="H18" i="10" s="1"/>
  <c r="H29" i="10" s="1"/>
  <c r="E92" i="2"/>
  <c r="E97" i="2" s="1"/>
  <c r="G32" i="10"/>
  <c r="G47" i="10"/>
  <c r="G38" i="10"/>
  <c r="G56" i="27" s="1"/>
  <c r="E32" i="1"/>
  <c r="E64" i="27"/>
  <c r="D64" i="27"/>
  <c r="E55" i="29"/>
  <c r="F43" i="17"/>
  <c r="E120" i="2"/>
  <c r="E125" i="2" s="1"/>
  <c r="G79" i="2"/>
  <c r="G50" i="1" s="1"/>
  <c r="F46" i="5"/>
  <c r="F51" i="1"/>
  <c r="H5" i="1"/>
  <c r="I6" i="1"/>
  <c r="I6" i="10"/>
  <c r="I5" i="10" s="1"/>
  <c r="H40" i="10"/>
  <c r="H43" i="10" s="1"/>
  <c r="E106" i="2"/>
  <c r="E81" i="15"/>
  <c r="E82" i="15"/>
  <c r="G41" i="17"/>
  <c r="G14" i="19"/>
  <c r="G28" i="3"/>
  <c r="G56" i="1" s="1"/>
  <c r="G86" i="2"/>
  <c r="G35" i="10"/>
  <c r="G8" i="20"/>
  <c r="G57" i="1" s="1"/>
  <c r="G53" i="29"/>
  <c r="H5" i="4"/>
  <c r="I6" i="4"/>
  <c r="D109" i="2"/>
  <c r="D108" i="2"/>
  <c r="F57" i="10"/>
  <c r="F80" i="17"/>
  <c r="E15" i="1"/>
  <c r="E17" i="1"/>
  <c r="E11" i="1"/>
  <c r="E16" i="1"/>
  <c r="E18" i="1"/>
  <c r="E14" i="1"/>
  <c r="E19" i="1"/>
  <c r="J6" i="15"/>
  <c r="I5" i="15"/>
  <c r="F53" i="10"/>
  <c r="E13" i="1"/>
  <c r="E31" i="1"/>
  <c r="E12" i="1"/>
  <c r="D34" i="1"/>
  <c r="D31" i="1"/>
  <c r="D30" i="1"/>
  <c r="D33" i="1"/>
  <c r="D38" i="1"/>
  <c r="D36" i="1"/>
  <c r="D32" i="1"/>
  <c r="D37" i="1"/>
  <c r="D35" i="1"/>
  <c r="I6" i="27"/>
  <c r="H5" i="27"/>
  <c r="G40" i="5"/>
  <c r="G46" i="5" s="1"/>
  <c r="D97" i="2"/>
  <c r="D96" i="2"/>
  <c r="E51" i="10"/>
  <c r="E48" i="1"/>
  <c r="E58" i="10"/>
  <c r="H5" i="3"/>
  <c r="I6" i="3"/>
  <c r="H5" i="19"/>
  <c r="I6" i="19"/>
  <c r="F59" i="27"/>
  <c r="F61"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36" i="1"/>
  <c r="E33" i="1"/>
  <c r="E35" i="1"/>
  <c r="E30" i="1"/>
  <c r="E34" i="1"/>
  <c r="F23" i="29"/>
  <c r="F48" i="29" s="1"/>
  <c r="F51" i="29" s="1"/>
  <c r="E38" i="1"/>
  <c r="H78" i="2"/>
  <c r="I6" i="2"/>
  <c r="H77" i="2"/>
  <c r="H5" i="2"/>
  <c r="H5" i="20"/>
  <c r="I6" i="20"/>
  <c r="H33" i="28"/>
  <c r="G32" i="28"/>
  <c r="G35" i="28"/>
  <c r="H34" i="10"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J6" i="17"/>
  <c r="L50" i="17" s="1"/>
  <c r="I5" i="17"/>
  <c r="F61" i="27" l="1"/>
  <c r="D29" i="1"/>
  <c r="E59" i="10"/>
  <c r="D10" i="1"/>
  <c r="D20" i="1" s="1"/>
  <c r="G46" i="10"/>
  <c r="G65" i="1" s="1"/>
  <c r="H32" i="10"/>
  <c r="D63" i="17"/>
  <c r="E63" i="17"/>
  <c r="G55" i="27"/>
  <c r="H38" i="10"/>
  <c r="H56" i="27" s="1"/>
  <c r="I16" i="10"/>
  <c r="I18" i="10" s="1"/>
  <c r="I29" i="10" s="1"/>
  <c r="H47" i="10"/>
  <c r="G45" i="10"/>
  <c r="G49" i="10" s="1"/>
  <c r="G80" i="17" s="1"/>
  <c r="G63" i="27"/>
  <c r="E96" i="2"/>
  <c r="G57" i="27"/>
  <c r="F31" i="1"/>
  <c r="F12" i="1"/>
  <c r="E66" i="27"/>
  <c r="F64" i="27"/>
  <c r="D66" i="27"/>
  <c r="D39" i="1"/>
  <c r="E124" i="2"/>
  <c r="G23" i="29"/>
  <c r="G48" i="29" s="1"/>
  <c r="G51" i="29" s="1"/>
  <c r="D140" i="2"/>
  <c r="D141" i="2"/>
  <c r="F92" i="2"/>
  <c r="F97" i="2" s="1"/>
  <c r="F37" i="1"/>
  <c r="D112" i="2"/>
  <c r="F38" i="1"/>
  <c r="F106" i="2"/>
  <c r="F109" i="2" s="1"/>
  <c r="D113" i="2"/>
  <c r="H65" i="17"/>
  <c r="I33" i="28"/>
  <c r="H32" i="28"/>
  <c r="H35" i="28"/>
  <c r="I34" i="10" s="1"/>
  <c r="H36" i="28"/>
  <c r="H34" i="28"/>
  <c r="H79" i="2"/>
  <c r="L51"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F17" i="1"/>
  <c r="F15" i="1"/>
  <c r="F11" i="1"/>
  <c r="F14" i="1"/>
  <c r="F16" i="1"/>
  <c r="H44" i="5"/>
  <c r="L49" i="17"/>
  <c r="L53" i="17"/>
  <c r="L52" i="17"/>
  <c r="H8" i="20"/>
  <c r="H57" i="1" s="1"/>
  <c r="H14" i="19"/>
  <c r="H41" i="17"/>
  <c r="H56" i="17" s="1"/>
  <c r="H35" i="10"/>
  <c r="H53" i="29"/>
  <c r="H86" i="2"/>
  <c r="J6" i="20"/>
  <c r="I5" i="20"/>
  <c r="L55" i="17"/>
  <c r="F18" i="1"/>
  <c r="F30" i="1"/>
  <c r="F34" i="1"/>
  <c r="F35" i="1"/>
  <c r="F36" i="1"/>
  <c r="F33" i="1"/>
  <c r="F86" i="17"/>
  <c r="J6" i="10"/>
  <c r="J5" i="10" s="1"/>
  <c r="I40" i="10"/>
  <c r="I43"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50" i="10"/>
  <c r="G48" i="1" s="1"/>
  <c r="J6" i="11"/>
  <c r="I5" i="11"/>
  <c r="E58" i="1"/>
  <c r="E29" i="1"/>
  <c r="E39" i="1" s="1"/>
  <c r="E10" i="1"/>
  <c r="E20" i="1" s="1"/>
  <c r="I5" i="27"/>
  <c r="J6" i="27"/>
  <c r="F58" i="10"/>
  <c r="F59" i="10" s="1"/>
  <c r="I50" i="15"/>
  <c r="F32" i="1"/>
  <c r="F13" i="1"/>
  <c r="L48" i="17"/>
  <c r="F29" i="1"/>
  <c r="F10" i="1"/>
  <c r="F58" i="1"/>
  <c r="I78" i="2"/>
  <c r="I77" i="2"/>
  <c r="I5" i="2"/>
  <c r="J6" i="2"/>
  <c r="L24" i="2" s="1"/>
  <c r="F55" i="29"/>
  <c r="F63" i="29"/>
  <c r="J6" i="29"/>
  <c r="J5" i="29" s="1"/>
  <c r="I22" i="29"/>
  <c r="E137" i="2"/>
  <c r="E141" i="2" s="1"/>
  <c r="E136" i="2"/>
  <c r="J6" i="3"/>
  <c r="I5" i="3"/>
  <c r="L46" i="17"/>
  <c r="F55" i="10"/>
  <c r="K6" i="15"/>
  <c r="K5" i="15" s="1"/>
  <c r="J5" i="15"/>
  <c r="J6" i="4"/>
  <c r="I5" i="4"/>
  <c r="G56" i="17"/>
  <c r="G43" i="17"/>
  <c r="K6" i="17"/>
  <c r="J5" i="17"/>
  <c r="G54" i="10" l="1"/>
  <c r="H46" i="10"/>
  <c r="D70" i="17"/>
  <c r="J16" i="10"/>
  <c r="J18" i="10" s="1"/>
  <c r="J29" i="10" s="1"/>
  <c r="I32" i="10"/>
  <c r="G59" i="27"/>
  <c r="E66" i="17"/>
  <c r="E70" i="17"/>
  <c r="F66" i="27"/>
  <c r="H55" i="27"/>
  <c r="E140" i="2"/>
  <c r="E142" i="2" s="1"/>
  <c r="H23" i="29"/>
  <c r="H48" i="29" s="1"/>
  <c r="H51" i="29" s="1"/>
  <c r="H55" i="29" s="1"/>
  <c r="D147" i="2"/>
  <c r="I39" i="17"/>
  <c r="I65" i="17" s="1"/>
  <c r="G53" i="10"/>
  <c r="G55" i="10" s="1"/>
  <c r="G57" i="10"/>
  <c r="I47" i="10"/>
  <c r="I38" i="10"/>
  <c r="I56" i="27" s="1"/>
  <c r="H63" i="27"/>
  <c r="H45" i="10"/>
  <c r="H49" i="10" s="1"/>
  <c r="H57" i="10" s="1"/>
  <c r="E112" i="2"/>
  <c r="E147" i="2" s="1"/>
  <c r="G61" i="29"/>
  <c r="G61" i="27"/>
  <c r="H57" i="27"/>
  <c r="H61" i="29" s="1"/>
  <c r="G62" i="27"/>
  <c r="G66" i="1" s="1"/>
  <c r="G13" i="1"/>
  <c r="F63" i="17"/>
  <c r="K16" i="10"/>
  <c r="K18" i="10" s="1"/>
  <c r="K29" i="10" s="1"/>
  <c r="F20" i="1"/>
  <c r="F39" i="1"/>
  <c r="G58" i="10"/>
  <c r="G63" i="29"/>
  <c r="D142" i="2"/>
  <c r="F96" i="2"/>
  <c r="D148" i="2"/>
  <c r="L56" i="2"/>
  <c r="L59" i="2"/>
  <c r="L55" i="2"/>
  <c r="L65" i="5"/>
  <c r="G92" i="2"/>
  <c r="G97" i="2" s="1"/>
  <c r="F113" i="2"/>
  <c r="L52" i="2"/>
  <c r="L40" i="2"/>
  <c r="F108" i="2"/>
  <c r="L17" i="5"/>
  <c r="L15" i="5"/>
  <c r="D114" i="2"/>
  <c r="L62" i="2"/>
  <c r="L54" i="2"/>
  <c r="L69" i="5"/>
  <c r="J50" i="15"/>
  <c r="K6" i="3"/>
  <c r="K5" i="3" s="1"/>
  <c r="J5" i="3"/>
  <c r="I51" i="1"/>
  <c r="I46" i="5"/>
  <c r="G18" i="1"/>
  <c r="L64" i="2"/>
  <c r="E148" i="2"/>
  <c r="G81" i="15"/>
  <c r="G82" i="15"/>
  <c r="G14" i="1"/>
  <c r="K6" i="19"/>
  <c r="K5" i="19" s="1"/>
  <c r="J5" i="19"/>
  <c r="H50" i="1"/>
  <c r="I14" i="19"/>
  <c r="I28" i="3"/>
  <c r="I56" i="1" s="1"/>
  <c r="I53" i="29"/>
  <c r="I86" i="2"/>
  <c r="I35" i="10"/>
  <c r="I8" i="20"/>
  <c r="I57" i="1" s="1"/>
  <c r="I41" i="17"/>
  <c r="I56" i="17" s="1"/>
  <c r="I32" i="28"/>
  <c r="J33" i="28"/>
  <c r="I35" i="28"/>
  <c r="J34" i="10" s="1"/>
  <c r="I36" i="28"/>
  <c r="I34" i="28"/>
  <c r="J40" i="10"/>
  <c r="J43" i="10" s="1"/>
  <c r="J47" i="10" s="1"/>
  <c r="K6" i="10"/>
  <c r="K5" i="10" s="1"/>
  <c r="K6" i="20"/>
  <c r="K5" i="20" s="1"/>
  <c r="J5" i="20"/>
  <c r="H54" i="10"/>
  <c r="H50" i="10"/>
  <c r="H65" i="1"/>
  <c r="F136" i="2"/>
  <c r="F137" i="2"/>
  <c r="L50" i="2"/>
  <c r="L23" i="2"/>
  <c r="K6" i="29"/>
  <c r="K5" i="29" s="1"/>
  <c r="I79" i="2"/>
  <c r="G58" i="1"/>
  <c r="G10" i="1"/>
  <c r="H101" i="2"/>
  <c r="H130" i="2"/>
  <c r="H132" i="2"/>
  <c r="H131" i="2"/>
  <c r="H100" i="2"/>
  <c r="H118" i="2"/>
  <c r="H104" i="2"/>
  <c r="H91" i="2"/>
  <c r="H102" i="2"/>
  <c r="H129" i="2"/>
  <c r="H128" i="2"/>
  <c r="H105" i="2"/>
  <c r="H90" i="2"/>
  <c r="H119" i="2"/>
  <c r="H133" i="2"/>
  <c r="F125" i="2"/>
  <c r="F124" i="2"/>
  <c r="G51" i="10"/>
  <c r="H43" i="17"/>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L41" i="2"/>
  <c r="L46" i="2"/>
  <c r="G120" i="2"/>
  <c r="G134" i="2"/>
  <c r="G106" i="2"/>
  <c r="G86" i="17"/>
  <c r="L26" i="2"/>
  <c r="L53" i="2"/>
  <c r="J32" i="10" l="1"/>
  <c r="E67" i="17"/>
  <c r="E69" i="17" s="1"/>
  <c r="E88" i="17" s="1"/>
  <c r="I63" i="27"/>
  <c r="J38" i="10"/>
  <c r="J56" i="27" s="1"/>
  <c r="I55" i="27"/>
  <c r="G37" i="1"/>
  <c r="G64" i="27"/>
  <c r="H63" i="29"/>
  <c r="H53" i="10"/>
  <c r="H55" i="10" s="1"/>
  <c r="D149" i="2"/>
  <c r="E114" i="2"/>
  <c r="J39" i="17"/>
  <c r="J65" i="17" s="1"/>
  <c r="G59" i="10"/>
  <c r="I46" i="10"/>
  <c r="I65" i="1" s="1"/>
  <c r="I45" i="10"/>
  <c r="I49" i="10" s="1"/>
  <c r="I80" i="17" s="1"/>
  <c r="H80" i="17"/>
  <c r="I57" i="27"/>
  <c r="H61" i="27"/>
  <c r="G35" i="1"/>
  <c r="H62" i="27"/>
  <c r="H66" i="1" s="1"/>
  <c r="H59" i="27"/>
  <c r="G29" i="1"/>
  <c r="G38" i="1"/>
  <c r="G33" i="1"/>
  <c r="G31" i="1"/>
  <c r="G36" i="1"/>
  <c r="G34" i="1"/>
  <c r="G30" i="1"/>
  <c r="G32" i="1"/>
  <c r="H19" i="1"/>
  <c r="F70" i="17"/>
  <c r="F66" i="17"/>
  <c r="G20" i="1"/>
  <c r="I43" i="17"/>
  <c r="F112" i="2"/>
  <c r="F114" i="2" s="1"/>
  <c r="G55" i="29"/>
  <c r="G96" i="2"/>
  <c r="L42" i="2"/>
  <c r="J79" i="2"/>
  <c r="J50" i="1" s="1"/>
  <c r="K99" i="5"/>
  <c r="K93" i="5"/>
  <c r="K87" i="5"/>
  <c r="K81" i="5"/>
  <c r="K84" i="5"/>
  <c r="K74" i="5"/>
  <c r="K75" i="5" s="1"/>
  <c r="K45" i="5" s="1"/>
  <c r="K62" i="5"/>
  <c r="K63" i="5" s="1"/>
  <c r="K90" i="5"/>
  <c r="K96" i="5"/>
  <c r="K70" i="5"/>
  <c r="K71" i="5" s="1"/>
  <c r="L71" i="5" s="1"/>
  <c r="K54" i="5"/>
  <c r="K55" i="5" s="1"/>
  <c r="K40" i="5" s="1"/>
  <c r="K52" i="1" s="1"/>
  <c r="K58" i="5"/>
  <c r="K59" i="5" s="1"/>
  <c r="K41" i="5" s="1"/>
  <c r="K53" i="1" s="1"/>
  <c r="K5" i="5"/>
  <c r="K66" i="5"/>
  <c r="K67" i="5" s="1"/>
  <c r="L67" i="5" s="1"/>
  <c r="K50" i="5"/>
  <c r="K51" i="5" s="1"/>
  <c r="J44" i="5"/>
  <c r="J41" i="5"/>
  <c r="F140" i="2"/>
  <c r="H120" i="2"/>
  <c r="H51" i="10"/>
  <c r="H48" i="1"/>
  <c r="K32" i="10"/>
  <c r="K40" i="10"/>
  <c r="K43" i="10" s="1"/>
  <c r="K47" i="10" s="1"/>
  <c r="J35" i="10"/>
  <c r="J8" i="20"/>
  <c r="J57" i="1" s="1"/>
  <c r="J41" i="17"/>
  <c r="J56" i="17" s="1"/>
  <c r="J53" i="29"/>
  <c r="J14" i="19"/>
  <c r="J28" i="3"/>
  <c r="J56" i="1" s="1"/>
  <c r="J86" i="2"/>
  <c r="I101" i="2"/>
  <c r="I119" i="2"/>
  <c r="I105" i="2"/>
  <c r="I132" i="2"/>
  <c r="I131" i="2"/>
  <c r="I100" i="2"/>
  <c r="I130" i="2"/>
  <c r="I128" i="2"/>
  <c r="I118" i="2"/>
  <c r="I102" i="2"/>
  <c r="I104" i="2"/>
  <c r="I91" i="2"/>
  <c r="I90" i="2"/>
  <c r="I133" i="2"/>
  <c r="I129" i="2"/>
  <c r="G137" i="2"/>
  <c r="G136" i="2"/>
  <c r="G124" i="2"/>
  <c r="G125" i="2"/>
  <c r="J54" i="1"/>
  <c r="J55" i="1"/>
  <c r="K77" i="2"/>
  <c r="K78" i="2"/>
  <c r="K5" i="2"/>
  <c r="L77" i="2"/>
  <c r="H81" i="15"/>
  <c r="H82" i="15"/>
  <c r="F141" i="2"/>
  <c r="J46" i="10"/>
  <c r="J45" i="10"/>
  <c r="J49" i="10" s="1"/>
  <c r="J63" i="27"/>
  <c r="I23" i="29"/>
  <c r="I48" i="29" s="1"/>
  <c r="I51" i="29" s="1"/>
  <c r="H58" i="10"/>
  <c r="H59" i="10" s="1"/>
  <c r="E149" i="2"/>
  <c r="J51" i="1"/>
  <c r="J45" i="5"/>
  <c r="K5" i="27"/>
  <c r="H92" i="2"/>
  <c r="I50" i="1"/>
  <c r="H12" i="1"/>
  <c r="G109" i="2"/>
  <c r="G108" i="2"/>
  <c r="K5" i="1"/>
  <c r="J40" i="5"/>
  <c r="L14" i="2"/>
  <c r="H134" i="2"/>
  <c r="H17" i="1"/>
  <c r="J32" i="28"/>
  <c r="J35" i="28"/>
  <c r="K34" i="10" s="1"/>
  <c r="K38" i="10" s="1"/>
  <c r="J36" i="28"/>
  <c r="J34" i="28"/>
  <c r="L75" i="5" l="1"/>
  <c r="K56" i="27"/>
  <c r="L45" i="5"/>
  <c r="H86" i="17"/>
  <c r="G63" i="17"/>
  <c r="J57" i="27"/>
  <c r="J62" i="27" s="1"/>
  <c r="J66" i="1" s="1"/>
  <c r="H36" i="1"/>
  <c r="G66" i="27"/>
  <c r="H64" i="27"/>
  <c r="I53" i="10"/>
  <c r="I59" i="27"/>
  <c r="I50" i="10"/>
  <c r="I48" i="1" s="1"/>
  <c r="I57" i="10"/>
  <c r="J55" i="27"/>
  <c r="I54" i="10"/>
  <c r="I62" i="27"/>
  <c r="I66" i="1" s="1"/>
  <c r="I61" i="29"/>
  <c r="I61" i="27"/>
  <c r="H38" i="1"/>
  <c r="H31" i="1"/>
  <c r="G39" i="1"/>
  <c r="I13" i="1"/>
  <c r="F67" i="17"/>
  <c r="F69" i="17" s="1"/>
  <c r="E90" i="17"/>
  <c r="I86" i="17"/>
  <c r="I18" i="1"/>
  <c r="J46" i="5"/>
  <c r="I19" i="1"/>
  <c r="G141" i="2"/>
  <c r="L79" i="2"/>
  <c r="K79" i="2"/>
  <c r="K50" i="1" s="1"/>
  <c r="N50" i="1" s="1"/>
  <c r="J23" i="29"/>
  <c r="M75" i="5"/>
  <c r="J43" i="17"/>
  <c r="G140" i="2"/>
  <c r="I120" i="2"/>
  <c r="I125" i="2" s="1"/>
  <c r="K55" i="27"/>
  <c r="K57" i="27"/>
  <c r="H96" i="2"/>
  <c r="H97" i="2"/>
  <c r="I63" i="29"/>
  <c r="I55" i="29"/>
  <c r="I17" i="1"/>
  <c r="I14" i="1"/>
  <c r="I15" i="1"/>
  <c r="I16" i="1"/>
  <c r="F142" i="2"/>
  <c r="F147" i="2"/>
  <c r="K35" i="10"/>
  <c r="K8" i="20"/>
  <c r="K57" i="1" s="1"/>
  <c r="K14" i="19"/>
  <c r="K28" i="3"/>
  <c r="K56" i="1" s="1"/>
  <c r="K53" i="29"/>
  <c r="K86" i="2"/>
  <c r="K41" i="17"/>
  <c r="K56" i="17" s="1"/>
  <c r="G112" i="2"/>
  <c r="I12" i="1"/>
  <c r="M50" i="1"/>
  <c r="F148" i="2"/>
  <c r="I81" i="15"/>
  <c r="I82" i="15"/>
  <c r="J54" i="10"/>
  <c r="J53" i="10"/>
  <c r="J57" i="10"/>
  <c r="H29" i="1"/>
  <c r="H10" i="1"/>
  <c r="K39" i="5"/>
  <c r="K42" i="5"/>
  <c r="H136" i="2"/>
  <c r="H137" i="2"/>
  <c r="J52" i="1"/>
  <c r="G113" i="2"/>
  <c r="J80" i="17"/>
  <c r="I92" i="2"/>
  <c r="K46" i="10"/>
  <c r="K45" i="10"/>
  <c r="K49" i="10" s="1"/>
  <c r="K63" i="27"/>
  <c r="H125" i="2"/>
  <c r="H124" i="2"/>
  <c r="K43" i="5"/>
  <c r="L43" i="5" s="1"/>
  <c r="M67" i="5"/>
  <c r="K44" i="5"/>
  <c r="M44" i="5" s="1"/>
  <c r="M71" i="5"/>
  <c r="M45" i="5"/>
  <c r="J65" i="1"/>
  <c r="J50" i="10"/>
  <c r="J48" i="1" s="1"/>
  <c r="M77" i="2"/>
  <c r="I134" i="2"/>
  <c r="J101" i="2"/>
  <c r="J119" i="2"/>
  <c r="L119" i="2" s="1"/>
  <c r="J105" i="2"/>
  <c r="L105" i="2" s="1"/>
  <c r="J90" i="2"/>
  <c r="J131" i="2"/>
  <c r="L131" i="2" s="1"/>
  <c r="J130" i="2"/>
  <c r="L130" i="2" s="1"/>
  <c r="J104" i="2"/>
  <c r="J91" i="2"/>
  <c r="J118" i="2"/>
  <c r="L118" i="2" s="1"/>
  <c r="J129" i="2"/>
  <c r="L129" i="2" s="1"/>
  <c r="J128" i="2"/>
  <c r="J133" i="2"/>
  <c r="L133" i="2" s="1"/>
  <c r="J102" i="2"/>
  <c r="J132" i="2"/>
  <c r="L132" i="2" s="1"/>
  <c r="J100" i="2"/>
  <c r="L56" i="17"/>
  <c r="J53" i="1"/>
  <c r="M57" i="1" l="1"/>
  <c r="L44" i="5"/>
  <c r="J59" i="27"/>
  <c r="J61" i="27"/>
  <c r="J61" i="29"/>
  <c r="I10" i="1"/>
  <c r="H66" i="27"/>
  <c r="I64" i="27"/>
  <c r="H63" i="17"/>
  <c r="G70" i="17"/>
  <c r="G66" i="17"/>
  <c r="F88" i="17"/>
  <c r="I55" i="10"/>
  <c r="G142" i="2"/>
  <c r="I58" i="10"/>
  <c r="I59" i="10" s="1"/>
  <c r="I51" i="10"/>
  <c r="K39" i="17"/>
  <c r="I36" i="1"/>
  <c r="I37" i="1"/>
  <c r="I32" i="1"/>
  <c r="I34" i="1"/>
  <c r="I31" i="1"/>
  <c r="I33" i="1"/>
  <c r="I35" i="1"/>
  <c r="I29" i="1"/>
  <c r="I38" i="1"/>
  <c r="J38" i="1"/>
  <c r="M79" i="2"/>
  <c r="J86" i="17"/>
  <c r="J35" i="1"/>
  <c r="J32" i="1"/>
  <c r="I124" i="2"/>
  <c r="J36" i="1"/>
  <c r="L120" i="2"/>
  <c r="J16" i="1"/>
  <c r="J10" i="1"/>
  <c r="J29" i="1"/>
  <c r="K65" i="1"/>
  <c r="K50" i="10"/>
  <c r="K48" i="1" s="1"/>
  <c r="K23" i="29"/>
  <c r="J12" i="1"/>
  <c r="J13" i="1"/>
  <c r="H141" i="2"/>
  <c r="K54" i="1"/>
  <c r="K46" i="5"/>
  <c r="K51" i="1"/>
  <c r="M48" i="1"/>
  <c r="J58" i="10"/>
  <c r="J59" i="10" s="1"/>
  <c r="J31" i="1"/>
  <c r="G114" i="2"/>
  <c r="G147" i="2"/>
  <c r="J37" i="1"/>
  <c r="J134" i="2"/>
  <c r="L128" i="2"/>
  <c r="I136" i="2"/>
  <c r="I137" i="2"/>
  <c r="I141" i="2" s="1"/>
  <c r="L134" i="2"/>
  <c r="G148" i="2"/>
  <c r="K62" i="27"/>
  <c r="K66" i="1" s="1"/>
  <c r="K61" i="27"/>
  <c r="J51" i="10"/>
  <c r="H140" i="2"/>
  <c r="J17" i="1"/>
  <c r="M56" i="17"/>
  <c r="J18" i="1"/>
  <c r="J81" i="15"/>
  <c r="J82" i="15"/>
  <c r="J15" i="1"/>
  <c r="J34" i="1"/>
  <c r="J120" i="2"/>
  <c r="J92" i="2"/>
  <c r="K55" i="1"/>
  <c r="M55" i="1" s="1"/>
  <c r="M43" i="5"/>
  <c r="K80" i="17"/>
  <c r="I97" i="2"/>
  <c r="I96" i="2"/>
  <c r="J14" i="1"/>
  <c r="J33" i="1"/>
  <c r="J55" i="10"/>
  <c r="K131" i="2"/>
  <c r="M131" i="2" s="1"/>
  <c r="K100" i="2"/>
  <c r="L100" i="2" s="1"/>
  <c r="K130" i="2"/>
  <c r="M130" i="2" s="1"/>
  <c r="K104" i="2"/>
  <c r="M104" i="2" s="1"/>
  <c r="K105" i="2"/>
  <c r="M105" i="2" s="1"/>
  <c r="K91" i="2"/>
  <c r="M91" i="2" s="1"/>
  <c r="K118" i="2"/>
  <c r="M118" i="2" s="1"/>
  <c r="K132" i="2"/>
  <c r="M132" i="2" s="1"/>
  <c r="K101" i="2"/>
  <c r="M101" i="2" s="1"/>
  <c r="K119" i="2"/>
  <c r="K90" i="2"/>
  <c r="L90" i="2" s="1"/>
  <c r="K129" i="2"/>
  <c r="M129" i="2" s="1"/>
  <c r="K128" i="2"/>
  <c r="K133" i="2"/>
  <c r="M133" i="2" s="1"/>
  <c r="K102" i="2"/>
  <c r="M102" i="2" s="1"/>
  <c r="N57" i="1"/>
  <c r="J19" i="1"/>
  <c r="K59" i="27"/>
  <c r="K61" i="29"/>
  <c r="K57" i="10"/>
  <c r="K54" i="10"/>
  <c r="K53" i="10"/>
  <c r="F149" i="2"/>
  <c r="L80" i="17" l="1"/>
  <c r="F90" i="17"/>
  <c r="G67" i="17"/>
  <c r="G69" i="17" s="1"/>
  <c r="G88" i="17" s="1"/>
  <c r="M12" i="1"/>
  <c r="M38" i="1"/>
  <c r="L91" i="2"/>
  <c r="L92" i="2" s="1"/>
  <c r="M19" i="1"/>
  <c r="I63" i="17"/>
  <c r="J64" i="27"/>
  <c r="J66" i="27" s="1"/>
  <c r="M10" i="1"/>
  <c r="H66" i="17"/>
  <c r="M29" i="1"/>
  <c r="M17" i="1"/>
  <c r="L104" i="2"/>
  <c r="L102" i="2"/>
  <c r="K81" i="15"/>
  <c r="K82" i="15"/>
  <c r="M36" i="1"/>
  <c r="L101" i="2"/>
  <c r="M31" i="1"/>
  <c r="H70" i="17"/>
  <c r="K43" i="17"/>
  <c r="K86" i="17" s="1"/>
  <c r="K65" i="17"/>
  <c r="I66" i="27"/>
  <c r="J63" i="17"/>
  <c r="I140" i="2"/>
  <c r="I142" i="2" s="1"/>
  <c r="N48" i="1"/>
  <c r="K64" i="27"/>
  <c r="N31" i="1"/>
  <c r="N38" i="1"/>
  <c r="K38" i="1"/>
  <c r="K55" i="10"/>
  <c r="K19" i="1"/>
  <c r="M80" i="17"/>
  <c r="K18" i="1"/>
  <c r="N10" i="1"/>
  <c r="K58" i="10"/>
  <c r="K59" i="10" s="1"/>
  <c r="N19" i="1"/>
  <c r="K51" i="10"/>
  <c r="N12" i="1"/>
  <c r="K16" i="1"/>
  <c r="K35" i="1"/>
  <c r="J136" i="2"/>
  <c r="L136" i="2" s="1"/>
  <c r="J137" i="2"/>
  <c r="L137" i="2" s="1"/>
  <c r="M128" i="2"/>
  <c r="K134" i="2"/>
  <c r="J124" i="2"/>
  <c r="J125" i="2"/>
  <c r="H142" i="2"/>
  <c r="K13" i="1"/>
  <c r="K32" i="1"/>
  <c r="K10" i="1"/>
  <c r="K29" i="1"/>
  <c r="M90" i="2"/>
  <c r="M92" i="2" s="1"/>
  <c r="K120" i="2"/>
  <c r="K92" i="2"/>
  <c r="K33" i="1"/>
  <c r="K31" i="1"/>
  <c r="K34" i="1"/>
  <c r="K17" i="1"/>
  <c r="K36" i="1"/>
  <c r="N17" i="1"/>
  <c r="N36" i="1"/>
  <c r="N55" i="1"/>
  <c r="J96" i="2"/>
  <c r="J97" i="2"/>
  <c r="N29" i="1"/>
  <c r="K14" i="1"/>
  <c r="K15" i="1"/>
  <c r="K12" i="1"/>
  <c r="M100" i="2"/>
  <c r="M119" i="2"/>
  <c r="M120" i="2" s="1"/>
  <c r="K37" i="1"/>
  <c r="G149" i="2"/>
  <c r="H67" i="17" l="1"/>
  <c r="H69" i="17" s="1"/>
  <c r="I66" i="17"/>
  <c r="I67" i="17" s="1"/>
  <c r="I69" i="17" s="1"/>
  <c r="I70" i="17"/>
  <c r="G90" i="17"/>
  <c r="J70" i="17"/>
  <c r="J66" i="17"/>
  <c r="K63" i="17"/>
  <c r="K66" i="27"/>
  <c r="K96" i="2"/>
  <c r="L96" i="2" s="1"/>
  <c r="K97" i="2"/>
  <c r="M97" i="2" s="1"/>
  <c r="J141" i="2"/>
  <c r="L141" i="2" s="1"/>
  <c r="L125" i="2"/>
  <c r="K124" i="2"/>
  <c r="M124" i="2" s="1"/>
  <c r="K125" i="2"/>
  <c r="J140" i="2"/>
  <c r="L124" i="2"/>
  <c r="K136" i="2"/>
  <c r="M136" i="2" s="1"/>
  <c r="K137" i="2"/>
  <c r="M137" i="2" s="1"/>
  <c r="M134" i="2"/>
  <c r="J67" i="17" l="1"/>
  <c r="J69" i="17" s="1"/>
  <c r="J88" i="17" s="1"/>
  <c r="H88" i="17"/>
  <c r="L97" i="2"/>
  <c r="K66" i="17"/>
  <c r="K70" i="17"/>
  <c r="M70" i="17" s="1"/>
  <c r="I88" i="17"/>
  <c r="K141" i="2"/>
  <c r="M141" i="2" s="1"/>
  <c r="K140" i="2"/>
  <c r="J142" i="2"/>
  <c r="L142" i="2" s="1"/>
  <c r="L140" i="2"/>
  <c r="M125" i="2"/>
  <c r="M96" i="2"/>
  <c r="K67" i="17" l="1"/>
  <c r="K69" i="17" s="1"/>
  <c r="K88" i="17" s="1"/>
  <c r="I90" i="17"/>
  <c r="J90" i="17"/>
  <c r="H90" i="17"/>
  <c r="L70" i="17"/>
  <c r="K142" i="2"/>
  <c r="M142" i="2" s="1"/>
  <c r="M140" i="2"/>
  <c r="K90" i="17" l="1"/>
  <c r="H17" i="3"/>
  <c r="H18" i="4" s="1"/>
  <c r="H14" i="4" l="1"/>
  <c r="H66" i="4" l="1"/>
  <c r="H68" i="4" s="1"/>
  <c r="H57" i="5" l="1"/>
  <c r="M13" i="5"/>
  <c r="L13" i="5"/>
  <c r="M57" i="5" l="1"/>
  <c r="H59" i="5"/>
  <c r="L57" i="5"/>
  <c r="H41" i="5" l="1"/>
  <c r="L59" i="5"/>
  <c r="M59" i="5"/>
  <c r="H53" i="1" l="1"/>
  <c r="L41" i="5"/>
  <c r="M41" i="5"/>
  <c r="H15" i="1" l="1"/>
  <c r="H34" i="1"/>
  <c r="M34" i="1"/>
  <c r="N34" i="1"/>
  <c r="M53" i="1"/>
  <c r="M15" i="1"/>
  <c r="N53" i="1"/>
  <c r="N15" i="1"/>
  <c r="H53" i="5"/>
  <c r="M12" i="5"/>
  <c r="L12" i="5"/>
  <c r="M53" i="5" l="1"/>
  <c r="H55" i="5"/>
  <c r="L53" i="5"/>
  <c r="H40" i="5" l="1"/>
  <c r="L55" i="5"/>
  <c r="M55" i="5"/>
  <c r="H52" i="1" l="1"/>
  <c r="L40" i="5"/>
  <c r="M40" i="5"/>
  <c r="H33" i="1" l="1"/>
  <c r="H14" i="1"/>
  <c r="M14" i="1"/>
  <c r="M52" i="1"/>
  <c r="M33" i="1"/>
  <c r="N52" i="1"/>
  <c r="N33" i="1"/>
  <c r="N14" i="1"/>
  <c r="H61" i="5" l="1"/>
  <c r="M14" i="5"/>
  <c r="L14" i="5"/>
  <c r="M61" i="5" l="1"/>
  <c r="H63" i="5"/>
  <c r="L61" i="5"/>
  <c r="H42" i="5" l="1"/>
  <c r="L63" i="5"/>
  <c r="M63" i="5"/>
  <c r="H54" i="1" l="1"/>
  <c r="L42" i="5"/>
  <c r="M42" i="5"/>
  <c r="H16" i="1" l="1"/>
  <c r="H35" i="1"/>
  <c r="M35" i="1"/>
  <c r="M54" i="1"/>
  <c r="M16" i="1"/>
  <c r="N54" i="1"/>
  <c r="N35" i="1"/>
  <c r="N16" i="1"/>
  <c r="H28" i="3" l="1"/>
  <c r="H56" i="1" s="1"/>
  <c r="H18" i="5"/>
  <c r="H49" i="5"/>
  <c r="M11" i="5"/>
  <c r="M18" i="5" s="1"/>
  <c r="L11" i="5"/>
  <c r="L18" i="5" s="1"/>
  <c r="H12" i="3" l="1"/>
  <c r="H17" i="4" s="1"/>
  <c r="H26" i="4" s="1"/>
  <c r="H28" i="4" s="1"/>
  <c r="H37" i="1"/>
  <c r="H18" i="1"/>
  <c r="M56" i="1"/>
  <c r="M37" i="1"/>
  <c r="M18" i="1"/>
  <c r="N56" i="1"/>
  <c r="N37" i="1"/>
  <c r="N18" i="1"/>
  <c r="M49" i="5"/>
  <c r="H51" i="5"/>
  <c r="L49" i="5"/>
  <c r="H39" i="5" l="1"/>
  <c r="L51" i="5"/>
  <c r="M51" i="5"/>
  <c r="H51" i="1" l="1"/>
  <c r="L39" i="5"/>
  <c r="L46" i="5" s="1"/>
  <c r="H46" i="5"/>
  <c r="M39" i="5"/>
  <c r="M46" i="5" s="1"/>
  <c r="H32" i="1" l="1"/>
  <c r="H13" i="1"/>
  <c r="M51" i="1"/>
  <c r="M32" i="1"/>
  <c r="M13" i="1"/>
  <c r="N13" i="1"/>
  <c r="N32" i="1"/>
  <c r="N51" i="1"/>
  <c r="J102" i="5" l="1"/>
  <c r="J15" i="4" l="1"/>
  <c r="J26" i="4" s="1"/>
  <c r="J28" i="4" s="1"/>
  <c r="J22" i="29"/>
  <c r="J48" i="29" l="1"/>
  <c r="H28" i="2" l="1"/>
  <c r="H103" i="2"/>
  <c r="H106" i="2" s="1"/>
  <c r="L25" i="2"/>
  <c r="H109" i="2" l="1"/>
  <c r="H113" i="2" s="1"/>
  <c r="H108" i="2"/>
  <c r="H30" i="2"/>
  <c r="H31" i="2"/>
  <c r="H35" i="2" l="1"/>
  <c r="H34" i="2"/>
  <c r="H112" i="2"/>
  <c r="H148" i="2"/>
  <c r="H114" i="2" l="1"/>
  <c r="H147" i="2"/>
  <c r="H69" i="2"/>
  <c r="H36" i="2"/>
  <c r="H70" i="2"/>
  <c r="H49" i="1"/>
  <c r="H30" i="1" l="1"/>
  <c r="H39" i="1" s="1"/>
  <c r="H11" i="1"/>
  <c r="H20" i="1" s="1"/>
  <c r="H58" i="1"/>
  <c r="H71" i="2"/>
  <c r="H149" i="2"/>
  <c r="J28" i="2" l="1"/>
  <c r="J103" i="2"/>
  <c r="J106" i="2" s="1"/>
  <c r="K103" i="2" l="1"/>
  <c r="K106" i="2" s="1"/>
  <c r="K28" i="2"/>
  <c r="I103" i="2"/>
  <c r="L103" i="2" s="1"/>
  <c r="I28" i="2"/>
  <c r="L28" i="2" s="1"/>
  <c r="M25" i="2"/>
  <c r="J108" i="2"/>
  <c r="J112" i="2" s="1"/>
  <c r="J109" i="2"/>
  <c r="J113" i="2" s="1"/>
  <c r="J148" i="2" s="1"/>
  <c r="J31" i="2"/>
  <c r="J35" i="2" s="1"/>
  <c r="J30" i="2"/>
  <c r="J34" i="2" s="1"/>
  <c r="K31" i="2" l="1"/>
  <c r="K35" i="2" s="1"/>
  <c r="K30" i="2"/>
  <c r="K34" i="2" s="1"/>
  <c r="K109" i="2"/>
  <c r="K113" i="2" s="1"/>
  <c r="K148" i="2" s="1"/>
  <c r="K108" i="2"/>
  <c r="K112" i="2" s="1"/>
  <c r="J147" i="2"/>
  <c r="J149" i="2" s="1"/>
  <c r="J114" i="2"/>
  <c r="J69" i="2"/>
  <c r="J36" i="2"/>
  <c r="J70" i="2"/>
  <c r="J49" i="1"/>
  <c r="I30" i="2"/>
  <c r="L30" i="2" s="1"/>
  <c r="I31" i="2"/>
  <c r="L31" i="2" s="1"/>
  <c r="M28" i="2"/>
  <c r="I106" i="2"/>
  <c r="L106" i="2" s="1"/>
  <c r="M103" i="2"/>
  <c r="J71" i="2" l="1"/>
  <c r="K147" i="2"/>
  <c r="K149" i="2" s="1"/>
  <c r="K114" i="2"/>
  <c r="K69" i="2"/>
  <c r="K36" i="2"/>
  <c r="K70" i="2"/>
  <c r="K49" i="1"/>
  <c r="J11" i="1"/>
  <c r="J20" i="1" s="1"/>
  <c r="J30" i="1"/>
  <c r="J39" i="1" s="1"/>
  <c r="J58" i="1"/>
  <c r="I35" i="2"/>
  <c r="L35" i="2" s="1"/>
  <c r="M31" i="2"/>
  <c r="I109" i="2"/>
  <c r="L109" i="2" s="1"/>
  <c r="I108" i="2"/>
  <c r="L108" i="2" s="1"/>
  <c r="M106" i="2"/>
  <c r="I34" i="2"/>
  <c r="L34" i="2" s="1"/>
  <c r="M30" i="2"/>
  <c r="K71" i="2" l="1"/>
  <c r="K58" i="1"/>
  <c r="K30" i="1"/>
  <c r="K39" i="1" s="1"/>
  <c r="K11" i="1"/>
  <c r="K20" i="1" s="1"/>
  <c r="I49" i="1"/>
  <c r="I70" i="2"/>
  <c r="L70" i="2" s="1"/>
  <c r="M35" i="2"/>
  <c r="I113" i="2"/>
  <c r="L113" i="2" s="1"/>
  <c r="M109" i="2"/>
  <c r="I112" i="2"/>
  <c r="L112" i="2" s="1"/>
  <c r="M108" i="2"/>
  <c r="I69" i="2"/>
  <c r="I36" i="2"/>
  <c r="M34" i="2"/>
  <c r="M69" i="2" l="1"/>
  <c r="L69" i="2"/>
  <c r="M36" i="2"/>
  <c r="L36" i="2"/>
  <c r="M30" i="1"/>
  <c r="M11" i="1"/>
  <c r="M49" i="1"/>
  <c r="M58" i="1" s="1"/>
  <c r="I148" i="2"/>
  <c r="M113" i="2"/>
  <c r="I147" i="2"/>
  <c r="L147" i="2" s="1"/>
  <c r="I114" i="2"/>
  <c r="M112" i="2"/>
  <c r="I71" i="2"/>
  <c r="M70" i="2"/>
  <c r="I30" i="1"/>
  <c r="I39" i="1" s="1"/>
  <c r="I11" i="1"/>
  <c r="I20" i="1" s="1"/>
  <c r="I58" i="1"/>
  <c r="N11" i="1"/>
  <c r="N30" i="1"/>
  <c r="N49" i="1"/>
  <c r="N58" i="1" s="1"/>
  <c r="M20" i="1" l="1"/>
  <c r="M39" i="1"/>
  <c r="M71" i="2"/>
  <c r="L71" i="2"/>
  <c r="M148" i="2"/>
  <c r="L148" i="2"/>
  <c r="M114" i="2"/>
  <c r="L114" i="2"/>
  <c r="N39" i="1"/>
  <c r="N20" i="1"/>
  <c r="I149" i="2"/>
  <c r="M147" i="2"/>
  <c r="M149" i="2" l="1"/>
  <c r="L149" i="2"/>
  <c r="D36" i="19"/>
  <c r="D35" i="19"/>
  <c r="D28" i="17" l="1"/>
  <c r="D30" i="17" s="1"/>
  <c r="D33" i="17" l="1"/>
  <c r="D39" i="17"/>
  <c r="D65" i="17" l="1"/>
  <c r="D43" i="17"/>
  <c r="D66" i="17" l="1"/>
  <c r="M43" i="17"/>
  <c r="D86" i="17"/>
  <c r="L43" i="17"/>
  <c r="D67" i="17" l="1"/>
  <c r="D69" i="17" s="1"/>
  <c r="M86" i="17"/>
  <c r="L86" i="17"/>
  <c r="D88" i="17" l="1"/>
  <c r="M69" i="17"/>
  <c r="L69" i="17"/>
  <c r="D90" i="17" l="1"/>
  <c r="M88" i="17"/>
  <c r="L88" i="17"/>
  <c r="L90" i="17"/>
  <c r="M90" i="17"/>
  <c r="D82" i="29" l="1"/>
  <c r="D84" i="29" l="1"/>
  <c r="D88" i="29" s="1"/>
  <c r="D93" i="29"/>
  <c r="E82" i="29" l="1"/>
  <c r="E84" i="29" l="1"/>
  <c r="E88" i="29" s="1"/>
  <c r="E93" i="29"/>
  <c r="F82" i="29" l="1"/>
  <c r="F84" i="29" l="1"/>
  <c r="F88" i="29" s="1"/>
  <c r="F93" i="29"/>
  <c r="G82" i="29" l="1"/>
  <c r="G84" i="29" l="1"/>
  <c r="G88" i="29" s="1"/>
  <c r="G93" i="29"/>
  <c r="H82" i="29" l="1"/>
  <c r="H84" i="29" l="1"/>
  <c r="H88" i="29" s="1"/>
  <c r="H93" i="29"/>
  <c r="I82" i="29" l="1"/>
  <c r="I84" i="29" l="1"/>
  <c r="I88" i="29" s="1"/>
  <c r="I93" i="29"/>
  <c r="J82" i="29" l="1"/>
  <c r="J84" i="29" s="1"/>
  <c r="J88" i="29" s="1"/>
  <c r="K82" i="29" l="1"/>
  <c r="K84" i="29" s="1"/>
  <c r="K88" i="29" l="1"/>
  <c r="K102" i="5" l="1"/>
  <c r="K22" i="29" l="1"/>
  <c r="K15" i="4"/>
  <c r="K26" i="4" s="1"/>
  <c r="K28" i="4" s="1"/>
  <c r="K48" i="29" l="1"/>
  <c r="J51" i="29" l="1"/>
  <c r="J63" i="29" l="1"/>
  <c r="J55" i="29"/>
  <c r="J93" i="29" l="1"/>
  <c r="D100" i="29" l="1"/>
  <c r="E100" i="29" l="1"/>
  <c r="F100" i="29" l="1"/>
  <c r="G100" i="29" l="1"/>
  <c r="H100" i="29" l="1"/>
  <c r="I100" i="29" l="1"/>
  <c r="J100" i="29" l="1"/>
  <c r="K100" i="29" l="1"/>
  <c r="K51" i="29" l="1"/>
  <c r="K55" i="29" l="1"/>
  <c r="K93" i="29" s="1"/>
  <c r="K63" i="29"/>
  <c r="E102" i="29" l="1"/>
  <c r="E64" i="29"/>
  <c r="D102" i="29"/>
  <c r="D64" i="29"/>
  <c r="D65" i="29" l="1"/>
  <c r="D67" i="29" s="1"/>
  <c r="D95" i="29" s="1"/>
  <c r="D61" i="1" s="1"/>
  <c r="E65" i="29"/>
  <c r="E67" i="29" s="1"/>
  <c r="E95" i="29" s="1"/>
  <c r="E97" i="29" s="1"/>
  <c r="F102" i="29"/>
  <c r="F64" i="29"/>
  <c r="D59" i="1"/>
  <c r="D103" i="29"/>
  <c r="D60" i="1" s="1"/>
  <c r="E59" i="1"/>
  <c r="E103" i="29"/>
  <c r="E60" i="1" s="1"/>
  <c r="E61" i="1" l="1"/>
  <c r="D97" i="29"/>
  <c r="E62" i="1"/>
  <c r="F65" i="29"/>
  <c r="F67" i="29" s="1"/>
  <c r="F95" i="29" s="1"/>
  <c r="F61" i="1" s="1"/>
  <c r="D62" i="1"/>
  <c r="D63" i="1" s="1"/>
  <c r="E22" i="1"/>
  <c r="D22" i="1"/>
  <c r="D40" i="1"/>
  <c r="D21" i="1"/>
  <c r="E21" i="1"/>
  <c r="E40" i="1"/>
  <c r="F59" i="1"/>
  <c r="F103" i="29"/>
  <c r="F60" i="1" s="1"/>
  <c r="E41" i="1" l="1"/>
  <c r="E63" i="1"/>
  <c r="F97" i="29"/>
  <c r="F62" i="1" s="1"/>
  <c r="D41" i="1"/>
  <c r="D42" i="1" s="1"/>
  <c r="E42" i="1"/>
  <c r="D23" i="1"/>
  <c r="E23" i="1"/>
  <c r="F22" i="1"/>
  <c r="G102" i="29"/>
  <c r="G64" i="29"/>
  <c r="F21" i="1"/>
  <c r="F40" i="1"/>
  <c r="F63" i="1" l="1"/>
  <c r="G65" i="29"/>
  <c r="G67" i="29" s="1"/>
  <c r="G95" i="29" s="1"/>
  <c r="G97" i="29" s="1"/>
  <c r="F41" i="1"/>
  <c r="F42" i="1" s="1"/>
  <c r="I102" i="29"/>
  <c r="I64" i="29"/>
  <c r="G59" i="1"/>
  <c r="G103" i="29"/>
  <c r="G60" i="1" s="1"/>
  <c r="F23" i="1"/>
  <c r="G61" i="1" l="1"/>
  <c r="I65" i="29"/>
  <c r="I67" i="29" s="1"/>
  <c r="I95" i="29" s="1"/>
  <c r="I97" i="29" s="1"/>
  <c r="G40" i="1"/>
  <c r="G21" i="1"/>
  <c r="J102" i="29"/>
  <c r="J64" i="29"/>
  <c r="H102" i="29"/>
  <c r="H64" i="29"/>
  <c r="G62" i="1"/>
  <c r="G22" i="1"/>
  <c r="I59" i="1"/>
  <c r="I103" i="29"/>
  <c r="I60" i="1" s="1"/>
  <c r="G41" i="1" l="1"/>
  <c r="G42" i="1" s="1"/>
  <c r="H65" i="29"/>
  <c r="H67" i="29" s="1"/>
  <c r="H95" i="29" s="1"/>
  <c r="H97" i="29" s="1"/>
  <c r="J65" i="29"/>
  <c r="J67" i="29" s="1"/>
  <c r="J95" i="29" s="1"/>
  <c r="J61" i="1" s="1"/>
  <c r="I61" i="1"/>
  <c r="I62" i="1"/>
  <c r="H59" i="1"/>
  <c r="H103" i="29"/>
  <c r="H60" i="1" s="1"/>
  <c r="G23" i="1"/>
  <c r="G63" i="1"/>
  <c r="I40" i="1"/>
  <c r="I21" i="1"/>
  <c r="J59" i="1"/>
  <c r="J103" i="29"/>
  <c r="J60" i="1" s="1"/>
  <c r="H61" i="1" l="1"/>
  <c r="H22" i="1" s="1"/>
  <c r="J97" i="29"/>
  <c r="I63" i="1"/>
  <c r="I41" i="1"/>
  <c r="I22" i="1"/>
  <c r="I23" i="1" s="1"/>
  <c r="J21" i="1"/>
  <c r="J40" i="1"/>
  <c r="J62" i="1"/>
  <c r="H21" i="1"/>
  <c r="H40" i="1"/>
  <c r="J22" i="1"/>
  <c r="I42" i="1"/>
  <c r="K102" i="29"/>
  <c r="K64" i="29"/>
  <c r="H62" i="1"/>
  <c r="J63" i="1" l="1"/>
  <c r="H41" i="1"/>
  <c r="H42" i="1" s="1"/>
  <c r="J41" i="1"/>
  <c r="J42" i="1" s="1"/>
  <c r="K65" i="29"/>
  <c r="K67" i="29" s="1"/>
  <c r="K95" i="29" s="1"/>
  <c r="K97" i="29" s="1"/>
  <c r="H23" i="1"/>
  <c r="J23" i="1"/>
  <c r="H63" i="1"/>
  <c r="K61" i="1"/>
  <c r="K59" i="1"/>
  <c r="K103" i="29"/>
  <c r="K60" i="1" s="1"/>
  <c r="N59" i="1" l="1"/>
  <c r="K21" i="1"/>
  <c r="K40" i="1"/>
  <c r="M59" i="1"/>
  <c r="M40" i="1"/>
  <c r="N40" i="1"/>
  <c r="M21" i="1"/>
  <c r="N21" i="1"/>
  <c r="K22" i="1"/>
  <c r="M41" i="1"/>
  <c r="N61" i="1"/>
  <c r="M22" i="1"/>
  <c r="N22" i="1"/>
  <c r="M61" i="1"/>
  <c r="N60" i="1"/>
  <c r="M60" i="1"/>
  <c r="K62" i="1"/>
  <c r="K23" i="1" l="1"/>
  <c r="M42" i="1"/>
  <c r="N23" i="1"/>
  <c r="M23" i="1"/>
  <c r="K63" i="1"/>
  <c r="N62" i="1"/>
  <c r="N63" i="1" s="1"/>
  <c r="M62" i="1"/>
  <c r="M63" i="1" s="1"/>
  <c r="N41" i="1"/>
  <c r="K41" i="1"/>
  <c r="K42" i="1" s="1"/>
  <c r="N42" i="1" l="1"/>
  <c r="K64" i="4" l="1"/>
  <c r="K45" i="4" l="1"/>
  <c r="K66" i="4" s="1"/>
  <c r="K68" i="4" s="1"/>
</calcChain>
</file>

<file path=xl/sharedStrings.xml><?xml version="1.0" encoding="utf-8"?>
<sst xmlns="http://schemas.openxmlformats.org/spreadsheetml/2006/main" count="1386" uniqueCount="610">
  <si>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</si>
  <si>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</si>
  <si>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</si>
  <si>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</si>
  <si>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</si>
  <si>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</si>
  <si>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</si>
  <si>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</si>
  <si>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</si>
  <si>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</si>
  <si>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</si>
  <si>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</si>
  <si>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</si>
  <si>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</si>
  <si>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</si>
  <si>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</si>
  <si>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</si>
  <si>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</si>
  <si>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</si>
  <si>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</si>
  <si>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</si>
  <si>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</si>
  <si>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</si>
  <si>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</si>
  <si>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</si>
  <si>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</si>
  <si>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</si>
  <si>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</si>
  <si>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</si>
  <si>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</si>
  <si>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</si>
  <si>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</si>
  <si>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</si>
  <si>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</si>
  <si>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</si>
  <si>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</si>
  <si>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</si>
  <si>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</si>
  <si>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</si>
  <si>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</si>
  <si>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</si>
  <si>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</si>
  <si>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</si>
  <si>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</si>
  <si>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</si>
  <si>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</si>
  <si>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</si>
  <si>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</si>
  <si>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</si>
  <si>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</si>
  <si>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</si>
  <si>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</si>
  <si>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</si>
  <si>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</si>
  <si>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</si>
  <si>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</si>
  <si>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</si>
  <si>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</si>
  <si>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</si>
  <si>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</si>
  <si>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</si>
  <si>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</si>
  <si>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</si>
  <si>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</si>
  <si>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</si>
  <si>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</si>
  <si>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</si>
  <si>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</si>
  <si>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</si>
  <si>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</si>
  <si>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</si>
  <si>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</si>
  <si>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</si>
  <si>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</si>
  <si>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</si>
  <si>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</si>
  <si>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</si>
  <si>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</si>
  <si>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</si>
  <si>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</si>
  <si>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</si>
  <si>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</si>
  <si>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</si>
  <si>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</si>
  <si>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</si>
  <si>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</si>
  <si>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</si>
  <si>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</si>
  <si>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</si>
  <si>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</si>
  <si>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</si>
  <si>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</si>
  <si>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</si>
  <si>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</si>
  <si>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</si>
  <si>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</si>
  <si>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</si>
  <si>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</si>
  <si>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</si>
  <si>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</si>
  <si>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</si>
  <si>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</si>
  <si>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</si>
  <si>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</si>
  <si>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</si>
  <si>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</si>
  <si>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</si>
  <si>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</si>
  <si>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</si>
  <si>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</si>
  <si>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</si>
  <si>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</si>
  <si>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</si>
  <si>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</si>
  <si>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</si>
  <si>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</si>
  <si>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</si>
  <si>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</si>
  <si>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</si>
  <si>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</si>
  <si>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</si>
  <si>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</si>
  <si>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</si>
  <si>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</si>
  <si>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</si>
  <si>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</si>
  <si>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</si>
  <si>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</si>
  <si>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</si>
  <si>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</si>
  <si>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</si>
  <si>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</si>
  <si>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</si>
  <si>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</si>
  <si>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</si>
  <si>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</si>
  <si>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</si>
  <si>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</si>
  <si>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</si>
  <si>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</si>
  <si>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</si>
  <si>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</si>
  <si>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</si>
  <si>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</si>
  <si>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</si>
  <si>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</si>
  <si>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</si>
  <si>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</si>
  <si>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</si>
  <si>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</si>
  <si>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</si>
  <si>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</si>
  <si>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</si>
  <si>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</si>
  <si>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</si>
  <si>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</si>
  <si>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</si>
  <si>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</si>
  <si>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</si>
  <si>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</si>
  <si>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</si>
  <si>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</si>
  <si>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</si>
  <si>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</si>
  <si>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</si>
  <si>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</si>
  <si>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</si>
  <si>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</si>
  <si>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</si>
  <si>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</si>
  <si>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</si>
  <si>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</si>
  <si>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</si>
  <si>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</si>
  <si>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</si>
  <si>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</si>
  <si>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</si>
  <si>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</si>
  <si>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</si>
  <si>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</si>
  <si>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</si>
  <si>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</si>
  <si>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</si>
  <si>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</si>
  <si>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</si>
  <si>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</si>
  <si>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</si>
  <si>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</si>
  <si>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</si>
  <si>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</si>
  <si>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</si>
  <si>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</si>
  <si>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</si>
  <si>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</si>
  <si>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</si>
  <si>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</si>
  <si>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</si>
  <si>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</si>
  <si>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</si>
  <si>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</si>
  <si>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</si>
  <si>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</si>
  <si>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</si>
  <si>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</si>
  <si>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</si>
  <si>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</si>
  <si>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</si>
  <si>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</si>
  <si>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</si>
  <si>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</si>
  <si>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</si>
  <si>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</si>
  <si>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</si>
  <si>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</si>
  <si>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</si>
  <si>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</si>
  <si>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</si>
  <si>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</si>
  <si>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</si>
  <si>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</si>
  <si>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</si>
  <si>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</si>
  <si>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</si>
  <si>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</si>
  <si>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</si>
  <si>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</si>
  <si>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</si>
  <si>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</si>
  <si>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</si>
  <si>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</si>
  <si>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</si>
  <si>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</si>
  <si>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</si>
  <si>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</si>
  <si>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</si>
  <si>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</si>
  <si>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</si>
  <si>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</si>
  <si>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</si>
  <si>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</si>
  <si>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</si>
  <si>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</si>
  <si>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</si>
  <si>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</si>
  <si>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</si>
  <si>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</si>
  <si>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</si>
  <si>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</si>
  <si>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</si>
  <si>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</si>
  <si>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</si>
  <si>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</si>
  <si>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</si>
  <si>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</si>
  <si>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</si>
  <si>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</si>
  <si>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</si>
  <si>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</si>
  <si>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</si>
  <si>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</si>
  <si>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</si>
  <si>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</si>
  <si>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</si>
  <si>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</si>
  <si>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</si>
  <si>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</si>
  <si>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</si>
  <si>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</si>
  <si>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</si>
  <si>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</si>
  <si>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</si>
  <si>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</si>
  <si>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</si>
  <si>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</si>
  <si>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</si>
  <si>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</si>
  <si>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</si>
  <si>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</si>
  <si>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</si>
  <si>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</si>
  <si>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</si>
  <si>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</si>
  <si>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</si>
  <si>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</si>
  <si>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</si>
  <si>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</si>
  <si>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</si>
  <si>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</si>
  <si>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</si>
  <si>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</si>
  <si>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</si>
  <si>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</si>
  <si>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</si>
  <si>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</si>
  <si>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</si>
  <si>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</si>
  <si>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</si>
  <si>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</si>
  <si>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</si>
  <si>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</si>
  <si>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</si>
  <si>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</si>
  <si>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</si>
  <si>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</si>
  <si>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</si>
  <si>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</si>
  <si>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</si>
  <si>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</si>
  <si>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</si>
  <si>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</si>
  <si>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</si>
  <si>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</si>
  <si>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</si>
  <si>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</si>
  <si>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</si>
  <si>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</si>
  <si>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</si>
  <si>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</si>
  <si>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</si>
  <si>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</si>
  <si>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</si>
  <si>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</si>
  <si>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</si>
  <si>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</si>
  <si>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</si>
  <si>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</si>
  <si>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</si>
  <si>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</si>
  <si>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</si>
  <si>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</si>
  <si>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</si>
  <si>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</si>
  <si>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</si>
  <si>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</si>
  <si>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</si>
  <si>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</si>
  <si>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</si>
  <si>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</si>
  <si>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</si>
  <si>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</si>
  <si>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</si>
  <si>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</si>
  <si>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</si>
  <si>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</si>
  <si>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</si>
  <si>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</si>
  <si>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</si>
  <si>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</si>
  <si>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</si>
  <si>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</si>
  <si>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</si>
  <si>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</si>
  <si>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</si>
  <si>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</si>
  <si>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</si>
  <si>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</si>
  <si>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</si>
  <si>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</si>
  <si>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</si>
  <si>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</si>
  <si>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</si>
  <si>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</si>
  <si>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</si>
  <si>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</si>
  <si>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</si>
  <si>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</si>
  <si>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</si>
  <si>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</si>
  <si>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</si>
  <si>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</si>
  <si>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</si>
  <si>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</si>
  <si>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</si>
  <si>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</si>
  <si>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</si>
  <si>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</si>
  <si>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</si>
  <si>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</si>
  <si>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</si>
  <si>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</si>
  <si>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</si>
  <si>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</si>
  <si>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</si>
  <si>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</si>
  <si>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</si>
  <si>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</si>
  <si>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</si>
  <si>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</si>
  <si>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</si>
  <si>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</si>
  <si>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</si>
  <si>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</si>
  <si>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</si>
  <si>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</si>
  <si>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</si>
  <si>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</si>
  <si>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</si>
  <si>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</si>
  <si>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</si>
  <si>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</si>
  <si>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</si>
  <si>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</si>
  <si>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</si>
  <si>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</si>
  <si>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</si>
  <si>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</si>
  <si>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</si>
  <si>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</si>
  <si>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</si>
  <si>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</si>
  <si>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</si>
  <si>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</si>
  <si>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</si>
  <si>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</si>
  <si>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</si>
  <si>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</si>
  <si>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</si>
  <si>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</si>
  <si>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</si>
  <si>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</si>
  <si>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</si>
  <si>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</si>
  <si>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</si>
  <si>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</si>
  <si>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</si>
  <si>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</si>
  <si>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</si>
  <si>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</si>
  <si>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</si>
  <si>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</si>
  <si>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</si>
  <si>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</si>
  <si>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</si>
  <si>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</si>
  <si>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</si>
  <si>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</si>
  <si>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</si>
  <si>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</si>
  <si>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</si>
  <si>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</si>
  <si>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</si>
  <si>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</si>
  <si>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</si>
  <si>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</si>
  <si>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</si>
  <si>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</si>
  <si>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</si>
  <si>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</si>
  <si>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</si>
  <si>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</si>
  <si>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</si>
  <si>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</si>
  <si>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</si>
  <si>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</si>
  <si>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</si>
  <si>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</si>
  <si>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</si>
  <si>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</si>
  <si>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</si>
  <si>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</si>
  <si>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</si>
  <si>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</si>
  <si>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</si>
  <si>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</si>
  <si>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</si>
  <si>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</si>
  <si>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</si>
  <si>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</si>
  <si>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</si>
  <si>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</si>
  <si>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</si>
  <si>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</si>
  <si>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</si>
  <si>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</si>
  <si>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</si>
  <si>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</si>
  <si>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</si>
  <si>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</si>
  <si>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</si>
  <si>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</si>
  <si>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</si>
  <si>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</si>
  <si>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</si>
  <si>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</si>
  <si>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</si>
  <si>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</si>
  <si>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</si>
  <si>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</si>
  <si>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</si>
  <si>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</si>
  <si>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</si>
  <si>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</si>
  <si>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</si>
  <si>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</si>
  <si>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</si>
  <si>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</si>
  <si>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</si>
  <si>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</si>
  <si>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</si>
  <si>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</si>
  <si>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</si>
  <si>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</si>
  <si>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</si>
  <si>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</si>
  <si>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</si>
  <si>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</si>
  <si>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</si>
  <si>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</si>
  <si>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</si>
  <si>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</si>
  <si>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</si>
  <si>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</si>
  <si>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</si>
  <si>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</si>
  <si>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</si>
  <si>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</si>
  <si>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</si>
  <si>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</si>
  <si>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</si>
  <si>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</si>
  <si>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</si>
  <si>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</si>
  <si>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</si>
  <si>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</si>
  <si>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</si>
  <si>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</si>
  <si>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</si>
  <si>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</si>
  <si>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</si>
  <si>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</si>
  <si>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</si>
  <si>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</si>
  <si>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</si>
  <si>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</si>
  <si>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</si>
  <si>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</si>
  <si>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</si>
  <si>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</si>
  <si>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</si>
  <si>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</si>
  <si>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</si>
  <si>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</si>
  <si>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</si>
  <si>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</si>
  <si>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</si>
  <si>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</si>
  <si>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</si>
  <si>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</si>
  <si>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</si>
  <si>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</si>
  <si>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R&amp;D tax credits</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</si>
  <si>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</si>
  <si>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</si>
  <si>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NPg(N) disposals only</t>
  </si>
  <si>
    <t>Transfer of share of IT non-operational capex to Yorkshire</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</si>
  <si>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</si>
  <si>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</si>
  <si>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</si>
  <si>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</si>
  <si>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</si>
  <si>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</si>
  <si>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</si>
  <si>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Restatement of 2015-16 de minimis costs</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</si>
  <si>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</si>
  <si>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</si>
  <si>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</si>
  <si>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</si>
  <si>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</si>
  <si>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</si>
  <si>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</si>
  <si>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</si>
  <si>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</si>
  <si>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</si>
  <si>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</si>
  <si>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</si>
  <si>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</si>
  <si>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</si>
  <si>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</si>
  <si>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</si>
  <si>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</si>
  <si>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</si>
  <si>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</si>
  <si>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</si>
  <si>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</si>
  <si>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</si>
  <si>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</si>
  <si>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</si>
  <si>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</si>
  <si>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</si>
  <si>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</si>
  <si>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</si>
  <si>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</si>
  <si>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</si>
  <si>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Street Works allowances</t>
  </si>
  <si>
    <t>Intercompany cost adjustment</t>
  </si>
  <si>
    <t>Adjustment in respect of IFRS 16</t>
  </si>
  <si>
    <t>MOD timing difference</t>
  </si>
  <si>
    <t>2. Finance leases (IFRS 16)</t>
  </si>
  <si>
    <t>Annex B1 (a)</t>
  </si>
  <si>
    <t>Annex B1 (b)</t>
  </si>
  <si>
    <t>Annex B1 (c)</t>
  </si>
  <si>
    <t>Annex B1 (d)</t>
  </si>
  <si>
    <t>NGESO</t>
  </si>
  <si>
    <t>Storm Arwen - voluntary contribution</t>
  </si>
  <si>
    <t>Includes provisional SECV outcome for 2022/23</t>
  </si>
  <si>
    <t>Storm Arwen - voluntary contribution provision</t>
  </si>
  <si>
    <t>Green Recovery Scheme</t>
  </si>
  <si>
    <t>Annex B1 (e)</t>
  </si>
  <si>
    <t>First year allowances assumed in forecast tax allowance - not included in latest submitted CT600</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</si>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</sst>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_(* #,##0.000_);_(* \(#,##0.000\);_(* &quot;-&quot;??_);_(@_)"/>
    <numFmt numFmtId="350" formatCode="0.0000"/>
    <numFmt numFmtId="351" formatCode="[$-F800]dddd\,\ mmmm\ dd\,\ yyyy"/>
    <numFmt numFmtId="352" formatCode="_-* #,##0.0_-;\-* #,##0.0_-;_-* &quot;-&quot;?_-;_-@_-"/>
    <numFmt numFmtId="353" formatCode="0.00000"/>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1" fontId="4" fillId="0" borderId="0"/>
    <xf numFmtId="351" fontId="4" fillId="0" borderId="0"/>
    <xf numFmtId="351" fontId="7"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7" fillId="0" borderId="0"/>
    <xf numFmtId="351" fontId="4" fillId="0" borderId="0"/>
    <xf numFmtId="351" fontId="7" fillId="0" borderId="0"/>
    <xf numFmtId="351" fontId="4" fillId="0" borderId="0"/>
    <xf numFmtId="351" fontId="7"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lignment vertical="center"/>
    </xf>
    <xf numFmtId="351" fontId="7" fillId="0" borderId="0"/>
    <xf numFmtId="351" fontId="7" fillId="0" borderId="0"/>
    <xf numFmtId="351" fontId="7" fillId="0" borderId="0"/>
    <xf numFmtId="351" fontId="7" fillId="0" borderId="0"/>
    <xf numFmtId="351" fontId="4" fillId="0" borderId="0">
      <alignment vertical="center"/>
    </xf>
    <xf numFmtId="351" fontId="4" fillId="0" borderId="0">
      <alignment vertical="center"/>
    </xf>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7" fillId="0" borderId="0">
      <alignment vertical="justify"/>
    </xf>
    <xf numFmtId="351" fontId="13" fillId="30" borderId="0" applyNumberFormat="0" applyBorder="0" applyAlignment="0" applyProtection="0"/>
    <xf numFmtId="351" fontId="13" fillId="30"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7" borderId="0" applyNumberFormat="0" applyBorder="0" applyAlignment="0" applyProtection="0"/>
    <xf numFmtId="351" fontId="13" fillId="27" borderId="0" applyNumberFormat="0" applyBorder="0" applyAlignment="0" applyProtection="0"/>
    <xf numFmtId="351" fontId="13" fillId="119" borderId="0" applyNumberFormat="0" applyBorder="0" applyAlignment="0" applyProtection="0"/>
    <xf numFmtId="351" fontId="13" fillId="119" borderId="0" applyNumberFormat="0" applyBorder="0" applyAlignment="0" applyProtection="0"/>
    <xf numFmtId="351" fontId="13" fillId="30" borderId="0" applyNumberFormat="0" applyBorder="0" applyAlignment="0" applyProtection="0"/>
    <xf numFmtId="351" fontId="13" fillId="30"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13" fillId="61" borderId="0" applyNumberFormat="0" applyBorder="0" applyAlignment="0" applyProtection="0"/>
    <xf numFmtId="351" fontId="13" fillId="61"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6" borderId="0" applyNumberFormat="0" applyBorder="0" applyAlignment="0" applyProtection="0"/>
    <xf numFmtId="351" fontId="13" fillId="26" borderId="0" applyNumberFormat="0" applyBorder="0" applyAlignment="0" applyProtection="0"/>
    <xf numFmtId="351" fontId="13" fillId="120" borderId="0" applyNumberFormat="0" applyBorder="0" applyAlignment="0" applyProtection="0"/>
    <xf numFmtId="351" fontId="13" fillId="120" borderId="0" applyNumberFormat="0" applyBorder="0" applyAlignment="0" applyProtection="0"/>
    <xf numFmtId="351" fontId="13" fillId="31" borderId="0" applyNumberFormat="0" applyBorder="0" applyAlignment="0" applyProtection="0"/>
    <xf numFmtId="351" fontId="13" fillId="31"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19" borderId="0" applyNumberFormat="0" applyBorder="0" applyAlignment="0" applyProtection="0"/>
    <xf numFmtId="351" fontId="56" fillId="19" borderId="0" applyNumberFormat="0" applyBorder="0" applyAlignment="0" applyProtection="0"/>
    <xf numFmtId="351" fontId="56" fillId="26" borderId="0" applyNumberFormat="0" applyBorder="0" applyAlignment="0" applyProtection="0"/>
    <xf numFmtId="351" fontId="56" fillId="26" borderId="0" applyNumberFormat="0" applyBorder="0" applyAlignment="0" applyProtection="0"/>
    <xf numFmtId="351" fontId="56" fillId="120" borderId="0" applyNumberFormat="0" applyBorder="0" applyAlignment="0" applyProtection="0"/>
    <xf numFmtId="351" fontId="56" fillId="12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23" borderId="0" applyNumberFormat="0" applyBorder="0" applyAlignment="0" applyProtection="0"/>
    <xf numFmtId="351" fontId="56" fillId="23" borderId="0" applyNumberFormat="0" applyBorder="0" applyAlignment="0" applyProtection="0"/>
    <xf numFmtId="351" fontId="8" fillId="65" borderId="0" applyNumberFormat="0" applyBorder="0" applyAlignment="0" applyProtection="0"/>
    <xf numFmtId="351" fontId="8" fillId="12" borderId="0" applyNumberFormat="0" applyBorder="0" applyAlignment="0" applyProtection="0"/>
    <xf numFmtId="351" fontId="9" fillId="122" borderId="0" applyNumberFormat="0" applyBorder="0" applyAlignment="0" applyProtection="0"/>
    <xf numFmtId="351" fontId="9" fillId="66" borderId="0" applyNumberFormat="0" applyBorder="0" applyAlignment="0" applyProtection="0"/>
    <xf numFmtId="351" fontId="9" fillId="66" borderId="0" applyNumberFormat="0" applyBorder="0" applyAlignment="0" applyProtection="0"/>
    <xf numFmtId="351" fontId="8" fillId="68" borderId="0" applyNumberFormat="0" applyBorder="0" applyAlignment="0" applyProtection="0"/>
    <xf numFmtId="351" fontId="8" fillId="11" borderId="0" applyNumberFormat="0" applyBorder="0" applyAlignment="0" applyProtection="0"/>
    <xf numFmtId="351" fontId="9" fillId="8" borderId="0" applyNumberFormat="0" applyBorder="0" applyAlignment="0" applyProtection="0"/>
    <xf numFmtId="351" fontId="9" fillId="69" borderId="0" applyNumberFormat="0" applyBorder="0" applyAlignment="0" applyProtection="0"/>
    <xf numFmtId="351" fontId="9" fillId="69" borderId="0" applyNumberFormat="0" applyBorder="0" applyAlignment="0" applyProtection="0"/>
    <xf numFmtId="351" fontId="8" fillId="70" borderId="0" applyNumberFormat="0" applyBorder="0" applyAlignment="0" applyProtection="0"/>
    <xf numFmtId="351" fontId="8" fillId="71" borderId="0" applyNumberFormat="0" applyBorder="0" applyAlignment="0" applyProtection="0"/>
    <xf numFmtId="351" fontId="9" fillId="123" borderId="0" applyNumberFormat="0" applyBorder="0" applyAlignment="0" applyProtection="0"/>
    <xf numFmtId="351" fontId="9" fillId="124" borderId="0" applyNumberFormat="0" applyBorder="0" applyAlignment="0" applyProtection="0"/>
    <xf numFmtId="351" fontId="9" fillId="124" borderId="0" applyNumberFormat="0" applyBorder="0" applyAlignment="0" applyProtection="0"/>
    <xf numFmtId="351" fontId="8" fillId="68" borderId="0" applyNumberFormat="0" applyBorder="0" applyAlignment="0" applyProtection="0"/>
    <xf numFmtId="351" fontId="8" fillId="9" borderId="0" applyNumberFormat="0" applyBorder="0" applyAlignment="0" applyProtection="0"/>
    <xf numFmtId="351" fontId="9" fillId="11" borderId="0" applyNumberFormat="0" applyBorder="0" applyAlignment="0" applyProtection="0"/>
    <xf numFmtId="351" fontId="9" fillId="125" borderId="0" applyNumberFormat="0" applyBorder="0" applyAlignment="0" applyProtection="0"/>
    <xf numFmtId="351" fontId="9" fillId="125" borderId="0" applyNumberFormat="0" applyBorder="0" applyAlignment="0" applyProtection="0"/>
    <xf numFmtId="351" fontId="8" fillId="10" borderId="0" applyNumberFormat="0" applyBorder="0" applyAlignment="0" applyProtection="0"/>
    <xf numFmtId="351" fontId="8" fillId="5"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8" fillId="13" borderId="0" applyNumberFormat="0" applyBorder="0" applyAlignment="0" applyProtection="0"/>
    <xf numFmtId="351" fontId="8" fillId="14" borderId="0" applyNumberFormat="0" applyBorder="0" applyAlignment="0" applyProtection="0"/>
    <xf numFmtId="351" fontId="9" fillId="126" borderId="0" applyNumberFormat="0" applyBorder="0" applyAlignment="0" applyProtection="0"/>
    <xf numFmtId="351" fontId="9" fillId="127" borderId="0" applyNumberFormat="0" applyBorder="0" applyAlignment="0" applyProtection="0"/>
    <xf numFmtId="351" fontId="9" fillId="127" borderId="0" applyNumberFormat="0" applyBorder="0" applyAlignment="0" applyProtection="0"/>
    <xf numFmtId="351" fontId="247" fillId="13" borderId="0" applyNumberFormat="0" applyBorder="0" applyAlignment="0" applyProtection="0"/>
    <xf numFmtId="351" fontId="247" fillId="13" borderId="0" applyNumberFormat="0" applyBorder="0" applyAlignment="0" applyProtection="0"/>
    <xf numFmtId="351" fontId="248" fillId="128" borderId="123" applyNumberFormat="0" applyAlignment="0" applyProtection="0"/>
    <xf numFmtId="351" fontId="248" fillId="128" borderId="123" applyNumberFormat="0" applyAlignment="0" applyProtection="0"/>
    <xf numFmtId="351" fontId="85" fillId="125" borderId="19" applyNumberFormat="0" applyAlignment="0" applyProtection="0"/>
    <xf numFmtId="351" fontId="85" fillId="125" borderId="19" applyNumberFormat="0" applyAlignment="0" applyProtection="0"/>
    <xf numFmtId="37" fontId="59" fillId="0" borderId="94">
      <alignment horizontal="center"/>
    </xf>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10" fillId="129" borderId="0" applyNumberFormat="0" applyBorder="0" applyAlignment="0" applyProtection="0"/>
    <xf numFmtId="351" fontId="10" fillId="130" borderId="0" applyNumberFormat="0" applyBorder="0" applyAlignment="0" applyProtection="0"/>
    <xf numFmtId="351" fontId="10" fillId="17" borderId="0" applyNumberFormat="0" applyBorder="0" applyAlignment="0" applyProtection="0"/>
    <xf numFmtId="351" fontId="44" fillId="0" borderId="0" applyFont="0" applyFill="0" applyBorder="0" applyAlignment="0" applyProtection="0"/>
    <xf numFmtId="351" fontId="249" fillId="0" borderId="0" applyNumberFormat="0" applyFill="0" applyBorder="0" applyAlignment="0" applyProtection="0"/>
    <xf numFmtId="351" fontId="249" fillId="0" borderId="0" applyNumberFormat="0" applyFill="0" applyBorder="0" applyAlignment="0" applyProtection="0"/>
    <xf numFmtId="351" fontId="8" fillId="71" borderId="0" applyNumberFormat="0" applyBorder="0" applyAlignment="0" applyProtection="0"/>
    <xf numFmtId="351" fontId="8" fillId="71" borderId="0" applyNumberForma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117" fillId="0" borderId="33" applyNumberFormat="0" applyFill="0" applyAlignment="0" applyProtection="0"/>
    <xf numFmtId="351" fontId="117" fillId="0" borderId="33" applyNumberFormat="0" applyFill="0" applyAlignment="0" applyProtection="0"/>
    <xf numFmtId="351" fontId="120" fillId="0" borderId="124" applyNumberFormat="0" applyFill="0" applyAlignment="0" applyProtection="0"/>
    <xf numFmtId="351" fontId="120" fillId="0" borderId="124" applyNumberFormat="0" applyFill="0" applyAlignment="0" applyProtection="0"/>
    <xf numFmtId="351" fontId="123" fillId="0" borderId="125" applyNumberFormat="0" applyFill="0" applyAlignment="0" applyProtection="0"/>
    <xf numFmtId="351" fontId="123" fillId="0" borderId="125" applyNumberFormat="0" applyFill="0" applyAlignment="0" applyProtection="0"/>
    <xf numFmtId="351" fontId="123" fillId="0" borderId="0" applyNumberFormat="0" applyFill="0" applyBorder="0" applyAlignment="0" applyProtection="0"/>
    <xf numFmtId="351" fontId="123" fillId="0" borderId="0" applyNumberFormat="0" applyFill="0" applyBorder="0" applyAlignment="0" applyProtection="0"/>
    <xf numFmtId="351" fontId="137" fillId="14" borderId="123" applyNumberFormat="0" applyAlignment="0" applyProtection="0"/>
    <xf numFmtId="351" fontId="137" fillId="14" borderId="123" applyNumberFormat="0" applyAlignment="0" applyProtection="0"/>
    <xf numFmtId="351" fontId="140" fillId="34" borderId="0"/>
    <xf numFmtId="351" fontId="113" fillId="0" borderId="126" applyNumberFormat="0" applyFill="0" applyAlignment="0" applyProtection="0"/>
    <xf numFmtId="351" fontId="113" fillId="0" borderId="126" applyNumberFormat="0" applyFill="0" applyAlignment="0" applyProtection="0"/>
    <xf numFmtId="351" fontId="113" fillId="14" borderId="0" applyNumberFormat="0" applyBorder="0" applyAlignment="0" applyProtection="0"/>
    <xf numFmtId="351" fontId="113" fillId="14" borderId="0" applyNumberFormat="0" applyBorder="0" applyAlignment="0" applyProtection="0"/>
    <xf numFmtId="351" fontId="19" fillId="0" borderId="0"/>
    <xf numFmtId="351" fontId="19" fillId="0" borderId="0"/>
    <xf numFmtId="351" fontId="19" fillId="0" borderId="0"/>
    <xf numFmtId="351" fontId="19" fillId="0" borderId="0"/>
    <xf numFmtId="351" fontId="19" fillId="0" borderId="0"/>
    <xf numFmtId="351" fontId="4" fillId="0" borderId="0"/>
    <xf numFmtId="351" fontId="4" fillId="0" borderId="0"/>
    <xf numFmtId="351" fontId="4" fillId="0" borderId="0"/>
    <xf numFmtId="351" fontId="4" fillId="0" borderId="0"/>
    <xf numFmtId="0" fontId="2"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xf numFmtId="351" fontId="8" fillId="0" borderId="0" applyFill="0" applyBorder="0" applyAlignment="0" applyProtection="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2"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23" fillId="0" borderId="0"/>
    <xf numFmtId="351" fontId="1" fillId="0" borderId="0"/>
    <xf numFmtId="351" fontId="4"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1" fillId="0" borderId="0"/>
    <xf numFmtId="351" fontId="1" fillId="0" borderId="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8" fillId="0" borderId="0" applyFill="0" applyBorder="0" applyAlignment="0" applyProtection="0"/>
    <xf numFmtId="351" fontId="19"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7" fillId="0" borderId="0">
      <alignment vertical="top"/>
    </xf>
    <xf numFmtId="351" fontId="101" fillId="0" borderId="0" applyFill="0" applyBorder="0">
      <protection locked="0"/>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1" fontId="192" fillId="0" borderId="0"/>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30"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9" borderId="30">
      <alignment horizontal="right" vertical="center"/>
      <protection locked="0"/>
    </xf>
    <xf numFmtId="351"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3" borderId="53" applyNumberFormat="0">
      <protection locked="0"/>
    </xf>
    <xf numFmtId="351" fontId="4" fillId="33" borderId="30"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51" fontId="48" fillId="109" borderId="30"/>
    <xf numFmtId="4" fontId="254" fillId="33" borderId="123" applyNumberFormat="0" applyProtection="0">
      <alignment horizontal="right" vertical="center"/>
    </xf>
    <xf numFmtId="351" fontId="18" fillId="0" borderId="0" applyNumberFormat="0" applyFill="0" applyBorder="0" applyAlignment="0" applyProtection="0"/>
    <xf numFmtId="351" fontId="4" fillId="0" borderId="0" applyFont="0" applyFill="0" applyBorder="0" applyAlignment="0" applyProtection="0"/>
    <xf numFmtId="37" fontId="59" fillId="0" borderId="131" applyNumberFormat="0"/>
    <xf numFmtId="351" fontId="220" fillId="0" borderId="58" applyNumberFormat="0" applyAlignment="0" applyProtection="0"/>
    <xf numFmtId="351" fontId="18" fillId="0" borderId="0" applyNumberFormat="0" applyFill="0" applyBorder="0" applyAlignment="0" applyProtection="0"/>
    <xf numFmtId="351" fontId="18" fillId="0" borderId="0" applyNumberFormat="0" applyFill="0" applyBorder="0" applyAlignment="0" applyProtection="0"/>
    <xf numFmtId="210" fontId="59" fillId="0" borderId="32" applyFill="0"/>
    <xf numFmtId="351" fontId="10" fillId="0" borderId="132" applyNumberFormat="0" applyFill="0" applyAlignment="0" applyProtection="0"/>
    <xf numFmtId="351" fontId="10" fillId="0" borderId="132" applyNumberFormat="0" applyFill="0" applyAlignment="0" applyProtection="0"/>
    <xf numFmtId="351" fontId="255" fillId="0" borderId="0" applyNumberFormat="0" applyFill="0" applyBorder="0" applyAlignment="0" applyProtection="0"/>
    <xf numFmtId="351" fontId="255" fillId="0" borderId="0" applyNumberFormat="0" applyFill="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210" fontId="59" fillId="0" borderId="32" applyFill="0"/>
    <xf numFmtId="351" fontId="23"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3" fillId="0" borderId="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3" applyNumberFormat="0" applyProtection="0">
      <alignment horizontal="left" vertical="center" indent="1"/>
    </xf>
    <xf numFmtId="210" fontId="59" fillId="0" borderId="32" applyFill="0"/>
    <xf numFmtId="351" fontId="248" fillId="128" borderId="123" applyNumberFormat="0" applyAlignment="0" applyProtection="0"/>
    <xf numFmtId="351" fontId="248" fillId="128" borderId="123" applyNumberForma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164" fontId="2" fillId="0" borderId="0" applyFont="0" applyFill="0" applyBorder="0" applyAlignment="0" applyProtection="0"/>
    <xf numFmtId="351" fontId="48" fillId="30" borderId="128" applyNumberFormat="0" applyProtection="0">
      <alignment horizontal="left" vertical="top" indent="1"/>
    </xf>
    <xf numFmtId="164" fontId="1" fillId="0" borderId="0" applyFont="0" applyFill="0" applyBorder="0" applyAlignment="0" applyProtection="0"/>
    <xf numFmtId="351" fontId="88" fillId="31" borderId="130" applyBorder="0"/>
    <xf numFmtId="4" fontId="48" fillId="24" borderId="123" applyNumberFormat="0" applyProtection="0">
      <alignment horizontal="right" vertical="center"/>
    </xf>
    <xf numFmtId="351"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1" fontId="48" fillId="61" borderId="123" applyNumberFormat="0" applyProtection="0">
      <alignment horizontal="left" vertical="center" indent="1"/>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34" borderId="128" applyNumberFormat="0" applyProtection="0">
      <alignment vertical="center"/>
    </xf>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210" fontId="59" fillId="0" borderId="32" applyFill="0"/>
    <xf numFmtId="351" fontId="48" fillId="83" borderId="123" applyNumberFormat="0" applyProtection="0">
      <alignment horizontal="left" vertical="center" indent="1"/>
    </xf>
    <xf numFmtId="4" fontId="48" fillId="23" borderId="123" applyNumberFormat="0" applyProtection="0">
      <alignment horizontal="right" vertical="center"/>
    </xf>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164" fontId="8" fillId="0" borderId="0" applyFont="0" applyFill="0" applyBorder="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1"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1" fontId="48" fillId="30" borderId="128" applyNumberFormat="0" applyProtection="0">
      <alignment horizontal="left" vertical="top" indent="1"/>
    </xf>
    <xf numFmtId="351" fontId="252"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7" borderId="123" applyNumberFormat="0" applyProtection="0">
      <alignment horizontal="right" vertical="center"/>
    </xf>
    <xf numFmtId="351" fontId="48" fillId="19" borderId="128" applyNumberFormat="0" applyProtection="0">
      <alignment horizontal="left" vertical="top" indent="1"/>
    </xf>
    <xf numFmtId="164" fontId="7" fillId="0" borderId="0" applyFont="0" applyFill="0" applyBorder="0" applyAlignment="0" applyProtection="0"/>
    <xf numFmtId="351" fontId="48" fillId="19"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48" fillId="32" borderId="128" applyNumberFormat="0" applyProtection="0">
      <alignment horizontal="left" vertical="top" indent="1"/>
    </xf>
    <xf numFmtId="351" fontId="10" fillId="0" borderId="132" applyNumberFormat="0" applyFill="0" applyAlignment="0" applyProtection="0"/>
    <xf numFmtId="351" fontId="10" fillId="0" borderId="132" applyNumberFormat="0" applyFill="0" applyAlignment="0" applyProtection="0"/>
    <xf numFmtId="4" fontId="48" fillId="28" borderId="123" applyNumberFormat="0" applyProtection="0">
      <alignment horizontal="right" vertical="center"/>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251" fillId="18" borderId="128" applyNumberFormat="0" applyProtection="0">
      <alignment horizontal="left" vertical="top" indent="1"/>
    </xf>
    <xf numFmtId="351"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4" fontId="48" fillId="25"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1" fontId="179" fillId="128" borderId="127" applyNumberFormat="0" applyAlignment="0" applyProtection="0"/>
    <xf numFmtId="351" fontId="48" fillId="61" borderId="123" applyNumberFormat="0" applyProtection="0">
      <alignment horizontal="left" vertical="center" indent="1"/>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1" fontId="137" fillId="14" borderId="123" applyNumberFormat="0" applyAlignment="0" applyProtection="0"/>
    <xf numFmtId="351" fontId="48" fillId="61"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1" fontId="48" fillId="32" borderId="123" applyNumberFormat="0" applyProtection="0">
      <alignment horizontal="left" vertical="center" indent="1"/>
    </xf>
    <xf numFmtId="351" fontId="48" fillId="13" borderId="123" applyNumberFormat="0" applyFont="0" applyAlignment="0" applyProtection="0"/>
    <xf numFmtId="351" fontId="88" fillId="31" borderId="130" applyBorder="0"/>
    <xf numFmtId="351" fontId="10" fillId="0" borderId="132" applyNumberFormat="0" applyFill="0" applyAlignment="0" applyProtection="0"/>
    <xf numFmtId="164" fontId="7" fillId="0" borderId="0" applyFont="0" applyFill="0" applyBorder="0" applyAlignment="0" applyProtection="0"/>
    <xf numFmtId="351" fontId="248" fillId="128" borderId="123" applyNumberFormat="0" applyAlignment="0" applyProtection="0"/>
    <xf numFmtId="4" fontId="48" fillId="24" borderId="123" applyNumberFormat="0" applyProtection="0">
      <alignment horizontal="right" vertical="center"/>
    </xf>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252" fillId="19"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4" fontId="250" fillId="45" borderId="123" applyNumberFormat="0" applyProtection="0">
      <alignment vertical="center"/>
    </xf>
    <xf numFmtId="351" fontId="48" fillId="83" borderId="123" applyNumberFormat="0" applyProtection="0">
      <alignment horizontal="left" vertical="center" indent="1"/>
    </xf>
    <xf numFmtId="37" fontId="59" fillId="0" borderId="131" applyNumberFormat="0"/>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1"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1"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3" applyNumberFormat="0" applyProtection="0">
      <alignment horizontal="left" vertical="center"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1" fontId="4" fillId="19" borderId="128" applyNumberFormat="0" applyProtection="0">
      <alignment horizontal="left" vertical="top" indent="1"/>
    </xf>
    <xf numFmtId="351" fontId="137" fillId="14" borderId="123" applyNumberFormat="0" applyAlignment="0" applyProtection="0"/>
    <xf numFmtId="351" fontId="10" fillId="0" borderId="132" applyNumberFormat="0" applyFill="0" applyAlignment="0" applyProtection="0"/>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179" fillId="128" borderId="127" applyNumberFormat="0" applyAlignment="0" applyProtection="0"/>
    <xf numFmtId="4" fontId="252" fillId="34" borderId="128" applyNumberFormat="0" applyProtection="0">
      <alignment vertical="center"/>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351"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1" fontId="48" fillId="13" borderId="123" applyNumberFormat="0" applyFont="0" applyAlignment="0" applyProtection="0"/>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3" borderId="123" applyNumberFormat="0" applyFont="0" applyAlignment="0" applyProtection="0"/>
    <xf numFmtId="4" fontId="48" fillId="24" borderId="123" applyNumberFormat="0" applyProtection="0">
      <alignment horizontal="right" vertical="center"/>
    </xf>
    <xf numFmtId="351" fontId="48" fillId="32" borderId="128" applyNumberFormat="0" applyProtection="0">
      <alignment horizontal="left" vertical="top"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248" fillId="128" borderId="123" applyNumberFormat="0" applyAlignment="0" applyProtection="0"/>
    <xf numFmtId="4" fontId="252" fillId="61" borderId="128" applyNumberFormat="0" applyProtection="0">
      <alignment horizontal="left" vertical="center" indent="1"/>
    </xf>
    <xf numFmtId="351" fontId="10" fillId="0" borderId="132" applyNumberFormat="0" applyFill="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248" fillId="128" borderId="123" applyNumberFormat="0" applyAlignment="0" applyProtection="0"/>
    <xf numFmtId="4" fontId="254" fillId="33" borderId="123" applyNumberFormat="0" applyProtection="0">
      <alignment horizontal="right" vertical="center"/>
    </xf>
    <xf numFmtId="351" fontId="88" fillId="31" borderId="130" applyBorder="0"/>
    <xf numFmtId="351" fontId="48" fillId="13" borderId="123" applyNumberFormat="0" applyFont="0" applyAlignment="0" applyProtection="0"/>
    <xf numFmtId="4" fontId="48" fillId="64" borderId="123" applyNumberFormat="0" applyProtection="0">
      <alignment horizontal="left" vertical="center"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3" borderId="123" applyNumberFormat="0" applyFont="0" applyAlignment="0" applyProtection="0"/>
    <xf numFmtId="351" fontId="179" fillId="128" borderId="127" applyNumberFormat="0" applyAlignment="0" applyProtection="0"/>
    <xf numFmtId="4" fontId="48" fillId="20" borderId="123" applyNumberFormat="0" applyProtection="0">
      <alignment horizontal="right" vertical="center"/>
    </xf>
    <xf numFmtId="351" fontId="48" fillId="31" borderId="128" applyNumberFormat="0" applyProtection="0">
      <alignment horizontal="left" vertical="top" indent="1"/>
    </xf>
    <xf numFmtId="351" fontId="88" fillId="31" borderId="130" applyBorder="0"/>
    <xf numFmtId="4" fontId="48" fillId="28"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48" fillId="26" borderId="123" applyNumberFormat="0" applyProtection="0">
      <alignment horizontal="right" vertical="center"/>
    </xf>
    <xf numFmtId="351" fontId="48" fillId="32" borderId="128" applyNumberFormat="0" applyProtection="0">
      <alignment horizontal="left" vertical="top" indent="1"/>
    </xf>
    <xf numFmtId="351" fontId="4" fillId="32" borderId="128" applyNumberFormat="0" applyProtection="0">
      <alignment horizontal="left" vertical="center" indent="1"/>
    </xf>
    <xf numFmtId="4" fontId="48" fillId="0" borderId="123" applyNumberFormat="0" applyProtection="0">
      <alignment horizontal="right" vertical="center"/>
    </xf>
    <xf numFmtId="351" fontId="48" fillId="19" borderId="128" applyNumberFormat="0" applyProtection="0">
      <alignment horizontal="left" vertical="top" indent="1"/>
    </xf>
    <xf numFmtId="351" fontId="248" fillId="128" borderId="123" applyNumberFormat="0" applyAlignment="0" applyProtection="0"/>
    <xf numFmtId="351"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4" fillId="33"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351" fontId="248" fillId="128" borderId="123" applyNumberFormat="0" applyAlignment="0" applyProtection="0"/>
    <xf numFmtId="351" fontId="252" fillId="34" borderId="128" applyNumberFormat="0" applyProtection="0">
      <alignment horizontal="left" vertical="top" indent="1"/>
    </xf>
    <xf numFmtId="351" fontId="4" fillId="30" borderId="128" applyNumberFormat="0" applyProtection="0">
      <alignment horizontal="left" vertical="center" indent="1"/>
    </xf>
    <xf numFmtId="4" fontId="254" fillId="33" borderId="123" applyNumberFormat="0" applyProtection="0">
      <alignment horizontal="right" vertical="center"/>
    </xf>
    <xf numFmtId="351" fontId="48" fillId="30" borderId="123" applyNumberFormat="0" applyProtection="0">
      <alignment horizontal="left" vertical="center" indent="1"/>
    </xf>
    <xf numFmtId="351" fontId="48" fillId="83" borderId="123" applyNumberFormat="0" applyProtection="0">
      <alignment horizontal="left" vertical="center" indent="1"/>
    </xf>
    <xf numFmtId="4" fontId="48" fillId="20" borderId="123" applyNumberFormat="0" applyProtection="0">
      <alignment horizontal="right" vertical="center"/>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13" borderId="123" applyNumberFormat="0" applyFont="0" applyAlignment="0" applyProtection="0"/>
    <xf numFmtId="4" fontId="48" fillId="23" borderId="123" applyNumberFormat="0" applyProtection="0">
      <alignment horizontal="right" vertical="center"/>
    </xf>
    <xf numFmtId="351" fontId="48" fillId="32" borderId="123" applyNumberFormat="0" applyProtection="0">
      <alignment horizontal="left" vertical="center" indent="1"/>
    </xf>
    <xf numFmtId="351" fontId="48" fillId="30" borderId="128" applyNumberFormat="0" applyProtection="0">
      <alignment horizontal="left" vertical="top" indent="1"/>
    </xf>
    <xf numFmtId="4" fontId="48" fillId="19" borderId="123" applyNumberFormat="0" applyProtection="0">
      <alignment horizontal="right" vertical="center"/>
    </xf>
    <xf numFmtId="351" fontId="252" fillId="34"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248" fillId="128" borderId="123" applyNumberFormat="0" applyAlignment="0" applyProtection="0"/>
    <xf numFmtId="351" fontId="48" fillId="31" borderId="128" applyNumberFormat="0" applyProtection="0">
      <alignment horizontal="left" vertical="top" indent="1"/>
    </xf>
    <xf numFmtId="351"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1" fontId="48" fillId="13" borderId="123" applyNumberFormat="0" applyFont="0" applyAlignment="0" applyProtection="0"/>
    <xf numFmtId="351" fontId="48" fillId="31" borderId="128" applyNumberFormat="0" applyProtection="0">
      <alignment horizontal="left" vertical="top" indent="1"/>
    </xf>
    <xf numFmtId="4" fontId="48" fillId="20" borderId="123" applyNumberFormat="0" applyProtection="0">
      <alignment horizontal="right" vertical="center"/>
    </xf>
    <xf numFmtId="351" fontId="137" fillId="14" borderId="123" applyNumberFormat="0" applyAlignment="0" applyProtection="0"/>
    <xf numFmtId="4" fontId="250" fillId="50" borderId="123" applyNumberFormat="0" applyProtection="0">
      <alignment horizontal="right" vertical="center"/>
    </xf>
    <xf numFmtId="351" fontId="48" fillId="31" borderId="128" applyNumberFormat="0" applyProtection="0">
      <alignment horizontal="left" vertical="top" indent="1"/>
    </xf>
    <xf numFmtId="4" fontId="253" fillId="35" borderId="129"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30" borderId="129" applyNumberFormat="0" applyProtection="0">
      <alignment horizontal="left" vertical="center" indent="1"/>
    </xf>
    <xf numFmtId="351" fontId="252" fillId="34" borderId="128" applyNumberFormat="0" applyProtection="0">
      <alignment horizontal="left" vertical="top" indent="1"/>
    </xf>
    <xf numFmtId="351"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1" fontId="10" fillId="0" borderId="132" applyNumberFormat="0" applyFill="0" applyAlignment="0" applyProtection="0"/>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23" borderId="123" applyNumberFormat="0" applyProtection="0">
      <alignment horizontal="right" vertical="center"/>
    </xf>
    <xf numFmtId="351" fontId="48" fillId="83"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 fillId="30" borderId="128" applyNumberFormat="0" applyProtection="0">
      <alignment horizontal="left" vertical="center" indent="1"/>
    </xf>
    <xf numFmtId="351" fontId="248" fillId="128" borderId="123" applyNumberFormat="0" applyAlignment="0" applyProtection="0"/>
    <xf numFmtId="351" fontId="48" fillId="30" borderId="123" applyNumberFormat="0" applyProtection="0">
      <alignment horizontal="left" vertical="center" indent="1"/>
    </xf>
    <xf numFmtId="351" fontId="48" fillId="32" borderId="128" applyNumberFormat="0" applyProtection="0">
      <alignment horizontal="left" vertical="top" indent="1"/>
    </xf>
    <xf numFmtId="37" fontId="59" fillId="0" borderId="131" applyNumberFormat="0"/>
    <xf numFmtId="351"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1" fontId="48" fillId="13" borderId="123" applyNumberFormat="0" applyFont="0" applyAlignment="0" applyProtection="0"/>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center" indent="1"/>
    </xf>
    <xf numFmtId="351" fontId="48" fillId="19" borderId="128" applyNumberFormat="0" applyProtection="0">
      <alignment horizontal="left" vertical="top" indent="1"/>
    </xf>
    <xf numFmtId="351" fontId="248" fillId="128" borderId="123" applyNumberFormat="0" applyAlignment="0" applyProtection="0"/>
    <xf numFmtId="4" fontId="48" fillId="24" borderId="123" applyNumberFormat="0" applyProtection="0">
      <alignment horizontal="right" vertical="center"/>
    </xf>
    <xf numFmtId="210" fontId="59" fillId="0" borderId="32" applyFill="0"/>
    <xf numFmtId="351" fontId="48" fillId="13" borderId="123" applyNumberFormat="0" applyFont="0" applyAlignment="0" applyProtection="0"/>
    <xf numFmtId="351" fontId="252" fillId="34" borderId="128" applyNumberFormat="0" applyProtection="0">
      <alignment horizontal="left" vertical="top" indent="1"/>
    </xf>
    <xf numFmtId="4" fontId="252" fillId="34" borderId="128" applyNumberFormat="0" applyProtection="0">
      <alignment vertical="center"/>
    </xf>
    <xf numFmtId="351" fontId="48" fillId="13" borderId="123" applyNumberFormat="0" applyFont="0" applyAlignment="0" applyProtection="0"/>
    <xf numFmtId="351" fontId="48" fillId="13" borderId="123" applyNumberFormat="0" applyFont="0" applyAlignment="0" applyProtection="0"/>
    <xf numFmtId="351"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137" fillId="14" borderId="123" applyNumberFormat="0" applyAlignment="0" applyProtection="0"/>
    <xf numFmtId="37" fontId="59" fillId="0" borderId="131" applyNumberFormat="0"/>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29" borderId="129" applyNumberFormat="0" applyProtection="0">
      <alignment horizontal="left" vertical="center" indent="1"/>
    </xf>
    <xf numFmtId="351"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1" fontId="48" fillId="30" borderId="128" applyNumberFormat="0" applyProtection="0">
      <alignment horizontal="left" vertical="top" indent="1"/>
    </xf>
    <xf numFmtId="4" fontId="252" fillId="61" borderId="128" applyNumberFormat="0" applyProtection="0">
      <alignment horizontal="left" vertical="center" indent="1"/>
    </xf>
    <xf numFmtId="351" fontId="4" fillId="30" borderId="128" applyNumberFormat="0" applyProtection="0">
      <alignment horizontal="left" vertical="center" indent="1"/>
    </xf>
    <xf numFmtId="4" fontId="48" fillId="64" borderId="123" applyNumberFormat="0" applyProtection="0">
      <alignment horizontal="left" vertical="center" indent="1"/>
    </xf>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210" fontId="59" fillId="0" borderId="32" applyFill="0"/>
    <xf numFmtId="351" fontId="48" fillId="32" borderId="128" applyNumberFormat="0" applyProtection="0">
      <alignment horizontal="left" vertical="top" indent="1"/>
    </xf>
    <xf numFmtId="4" fontId="48" fillId="19"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179" fillId="128" borderId="127" applyNumberFormat="0" applyAlignment="0" applyProtection="0"/>
    <xf numFmtId="351" fontId="48" fillId="61" borderId="123"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27" borderId="123" applyNumberFormat="0" applyProtection="0">
      <alignment horizontal="right" vertical="center"/>
    </xf>
    <xf numFmtId="351" fontId="251" fillId="18" borderId="128" applyNumberFormat="0" applyProtection="0">
      <alignment horizontal="left" vertical="top"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10" fillId="0" borderId="132" applyNumberFormat="0" applyFill="0" applyAlignment="0" applyProtection="0"/>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210" fontId="59" fillId="0" borderId="32" applyFill="0"/>
    <xf numFmtId="351"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 fillId="32" borderId="128" applyNumberFormat="0" applyProtection="0">
      <alignment horizontal="left" vertical="top" indent="1"/>
    </xf>
    <xf numFmtId="351" fontId="137" fillId="14" borderId="123" applyNumberFormat="0" applyAlignment="0" applyProtection="0"/>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4" fontId="48" fillId="131" borderId="123" applyNumberFormat="0" applyProtection="0">
      <alignment horizontal="right" vertical="center"/>
    </xf>
    <xf numFmtId="351" fontId="48" fillId="30" borderId="128" applyNumberFormat="0" applyProtection="0">
      <alignment horizontal="left" vertical="top" indent="1"/>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48" fillId="0" borderId="123" applyNumberFormat="0" applyProtection="0">
      <alignment horizontal="right" vertical="center"/>
    </xf>
    <xf numFmtId="351" fontId="4" fillId="32" borderId="128" applyNumberFormat="0" applyProtection="0">
      <alignment horizontal="left" vertical="top" indent="1"/>
    </xf>
    <xf numFmtId="37" fontId="59" fillId="0" borderId="131" applyNumberFormat="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1" fontId="248" fillId="128" borderId="123" applyNumberFormat="0" applyAlignment="0" applyProtection="0"/>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0" borderId="123" applyNumberFormat="0" applyProtection="0">
      <alignment horizontal="right" vertical="center"/>
    </xf>
    <xf numFmtId="351"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1" fontId="48" fillId="30" borderId="128" applyNumberFormat="0" applyProtection="0">
      <alignment horizontal="left" vertical="top" indent="1"/>
    </xf>
    <xf numFmtId="351" fontId="48" fillId="31"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4" fontId="48" fillId="64" borderId="123" applyNumberFormat="0" applyProtection="0">
      <alignment horizontal="left" vertical="center" indent="1"/>
    </xf>
    <xf numFmtId="351" fontId="48" fillId="30" borderId="128" applyNumberFormat="0" applyProtection="0">
      <alignment horizontal="left" vertical="top" indent="1"/>
    </xf>
    <xf numFmtId="351" fontId="48" fillId="19"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164" fontId="7" fillId="0" borderId="0" applyFont="0" applyFill="0" applyBorder="0" applyAlignment="0" applyProtection="0"/>
    <xf numFmtId="351"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 fillId="31" borderId="128" applyNumberFormat="0" applyProtection="0">
      <alignment horizontal="left" vertical="top" indent="1"/>
    </xf>
    <xf numFmtId="351" fontId="48" fillId="32" borderId="128" applyNumberFormat="0" applyProtection="0">
      <alignment horizontal="left" vertical="top" indent="1"/>
    </xf>
    <xf numFmtId="351" fontId="48" fillId="32" borderId="123"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1"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1" fontId="48" fillId="19" borderId="128" applyNumberFormat="0" applyProtection="0">
      <alignment horizontal="left" vertical="top" indent="1"/>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1" fontId="48" fillId="13" borderId="123" applyNumberFormat="0" applyFont="0" applyAlignment="0" applyProtection="0"/>
    <xf numFmtId="351" fontId="248" fillId="128" borderId="123" applyNumberFormat="0" applyAlignment="0" applyProtection="0"/>
    <xf numFmtId="4" fontId="48" fillId="131" borderId="123" applyNumberFormat="0" applyProtection="0">
      <alignment horizontal="right" vertical="center"/>
    </xf>
    <xf numFmtId="351" fontId="48" fillId="13" borderId="123" applyNumberFormat="0" applyFont="0" applyAlignment="0" applyProtection="0"/>
    <xf numFmtId="351"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10" fillId="0" borderId="132" applyNumberFormat="0" applyFill="0" applyAlignment="0" applyProtection="0"/>
    <xf numFmtId="351" fontId="48" fillId="32" borderId="128" applyNumberFormat="0" applyProtection="0">
      <alignment horizontal="left" vertical="top" indent="1"/>
    </xf>
    <xf numFmtId="351" fontId="248" fillId="128" borderId="123" applyNumberFormat="0" applyAlignment="0" applyProtection="0"/>
    <xf numFmtId="4" fontId="48" fillId="0" borderId="123" applyNumberFormat="0" applyProtection="0">
      <alignment horizontal="right" vertical="center"/>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 fillId="31" borderId="128" applyNumberFormat="0" applyProtection="0">
      <alignment horizontal="left" vertical="top" indent="1"/>
    </xf>
    <xf numFmtId="4" fontId="48" fillId="28" borderId="123" applyNumberFormat="0" applyProtection="0">
      <alignment horizontal="right" vertical="center"/>
    </xf>
    <xf numFmtId="351" fontId="251" fillId="18" borderId="128" applyNumberFormat="0" applyProtection="0">
      <alignment horizontal="left" vertical="top" indent="1"/>
    </xf>
    <xf numFmtId="351" fontId="88" fillId="31" borderId="130" applyBorder="0"/>
    <xf numFmtId="351" fontId="48" fillId="32" borderId="123" applyNumberFormat="0" applyProtection="0">
      <alignment horizontal="left" vertical="center" indent="1"/>
    </xf>
    <xf numFmtId="351" fontId="137" fillId="14" borderId="123" applyNumberFormat="0" applyAlignment="0" applyProtection="0"/>
    <xf numFmtId="4" fontId="252" fillId="61" borderId="128" applyNumberFormat="0" applyProtection="0">
      <alignment horizontal="left" vertical="center" indent="1"/>
    </xf>
    <xf numFmtId="351" fontId="48" fillId="13" borderId="123" applyNumberFormat="0" applyFont="0" applyAlignment="0" applyProtection="0"/>
    <xf numFmtId="351"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10" fillId="0" borderId="132" applyNumberFormat="0" applyFill="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252" fillId="34" borderId="128" applyNumberFormat="0" applyProtection="0">
      <alignment horizontal="left" vertical="top" indent="1"/>
    </xf>
    <xf numFmtId="351" fontId="48" fillId="32" borderId="128" applyNumberFormat="0" applyProtection="0">
      <alignment horizontal="left" vertical="top" indent="1"/>
    </xf>
    <xf numFmtId="351" fontId="252" fillId="19" borderId="128" applyNumberFormat="0" applyProtection="0">
      <alignment horizontal="left" vertical="top" indent="1"/>
    </xf>
    <xf numFmtId="351" fontId="88" fillId="31" borderId="130" applyBorder="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1" fontId="4" fillId="31" borderId="128" applyNumberFormat="0" applyProtection="0">
      <alignment horizontal="left" vertical="center" indent="1"/>
    </xf>
    <xf numFmtId="351" fontId="48" fillId="32"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4" fontId="48" fillId="18" borderId="123" applyNumberFormat="0" applyProtection="0">
      <alignment vertical="center"/>
    </xf>
    <xf numFmtId="351" fontId="4" fillId="31" borderId="128" applyNumberFormat="0" applyProtection="0">
      <alignment horizontal="left" vertical="center" indent="1"/>
    </xf>
    <xf numFmtId="351" fontId="48" fillId="30"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25" borderId="123" applyNumberFormat="0" applyProtection="0">
      <alignment horizontal="right" vertical="center"/>
    </xf>
    <xf numFmtId="351"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0" fillId="50" borderId="123" applyNumberFormat="0" applyProtection="0">
      <alignment horizontal="right" vertical="center"/>
    </xf>
    <xf numFmtId="351" fontId="10" fillId="0" borderId="132" applyNumberFormat="0" applyFill="0" applyAlignment="0" applyProtection="0"/>
    <xf numFmtId="4" fontId="252" fillId="34" borderId="128" applyNumberFormat="0" applyProtection="0">
      <alignment vertical="center"/>
    </xf>
    <xf numFmtId="351" fontId="48" fillId="30" borderId="128" applyNumberFormat="0" applyProtection="0">
      <alignment horizontal="left" vertical="top" indent="1"/>
    </xf>
    <xf numFmtId="351" fontId="88" fillId="31" borderId="130" applyBorder="0"/>
    <xf numFmtId="4" fontId="48" fillId="0" borderId="123" applyNumberFormat="0" applyProtection="0">
      <alignment horizontal="right" vertical="center"/>
    </xf>
    <xf numFmtId="351" fontId="48" fillId="30" borderId="128" applyNumberFormat="0" applyProtection="0">
      <alignment horizontal="left" vertical="top" indent="1"/>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351" fontId="137" fillId="14" borderId="123" applyNumberFormat="0" applyAlignment="0" applyProtection="0"/>
    <xf numFmtId="351" fontId="48" fillId="32" borderId="128" applyNumberFormat="0" applyProtection="0">
      <alignment horizontal="left" vertical="top" indent="1"/>
    </xf>
    <xf numFmtId="351" fontId="137" fillId="14" borderId="123" applyNumberFormat="0" applyAlignment="0" applyProtection="0"/>
    <xf numFmtId="351" fontId="48" fillId="83" borderId="123" applyNumberFormat="0" applyProtection="0">
      <alignment horizontal="left" vertical="center"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88" fillId="31" borderId="130" applyBorder="0"/>
    <xf numFmtId="4" fontId="48" fillId="22" borderId="129" applyNumberFormat="0" applyProtection="0">
      <alignment horizontal="right" vertical="center"/>
    </xf>
    <xf numFmtId="351" fontId="48" fillId="30" borderId="128" applyNumberFormat="0" applyProtection="0">
      <alignment horizontal="left" vertical="top" indent="1"/>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250" fillId="50"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1" fontId="48" fillId="19" borderId="128" applyNumberFormat="0" applyProtection="0">
      <alignment horizontal="left" vertical="top"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 fillId="32" borderId="128"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4" fontId="250" fillId="50" borderId="123" applyNumberFormat="0" applyProtection="0">
      <alignment horizontal="right" vertical="center"/>
    </xf>
    <xf numFmtId="351" fontId="4" fillId="30" borderId="128" applyNumberFormat="0" applyProtection="0">
      <alignment horizontal="left" vertical="top" indent="1"/>
    </xf>
    <xf numFmtId="351"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1" fontId="10" fillId="0" borderId="132" applyNumberFormat="0" applyFill="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252" fillId="34" borderId="128" applyNumberFormat="0" applyProtection="0">
      <alignment horizontal="left" vertical="top" indent="1"/>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1"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13" borderId="123" applyNumberFormat="0" applyFont="0" applyAlignment="0" applyProtection="0"/>
    <xf numFmtId="210" fontId="59" fillId="0" borderId="32" applyFill="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0" borderId="128" applyNumberFormat="0" applyProtection="0">
      <alignment horizontal="left" vertical="top" indent="1"/>
    </xf>
    <xf numFmtId="4" fontId="4" fillId="31" borderId="129" applyNumberFormat="0" applyProtection="0">
      <alignment horizontal="left" vertical="center" indent="1"/>
    </xf>
    <xf numFmtId="351" fontId="4" fillId="31" borderId="128" applyNumberFormat="0" applyProtection="0">
      <alignment horizontal="left" vertical="top" indent="1"/>
    </xf>
    <xf numFmtId="4" fontId="48" fillId="22" borderId="129" applyNumberFormat="0" applyProtection="0">
      <alignment horizontal="right" vertical="center"/>
    </xf>
    <xf numFmtId="351" fontId="48" fillId="61" borderId="123" applyNumberFormat="0" applyProtection="0">
      <alignment horizontal="left" vertical="center" indent="1"/>
    </xf>
    <xf numFmtId="4" fontId="48" fillId="45"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251" fillId="18" borderId="128" applyNumberFormat="0" applyProtection="0">
      <alignment horizontal="left" vertical="top" indent="1"/>
    </xf>
    <xf numFmtId="351" fontId="48" fillId="13" borderId="123" applyNumberFormat="0" applyFont="0" applyAlignment="0" applyProtection="0"/>
    <xf numFmtId="351"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1" fontId="248" fillId="128" borderId="123" applyNumberFormat="0" applyAlignment="0" applyProtection="0"/>
    <xf numFmtId="4" fontId="250" fillId="50" borderId="123" applyNumberFormat="0" applyProtection="0">
      <alignment horizontal="right" vertical="center"/>
    </xf>
    <xf numFmtId="351" fontId="137" fillId="14" borderId="123" applyNumberFormat="0" applyAlignment="0" applyProtection="0"/>
    <xf numFmtId="164" fontId="7" fillId="0" borderId="0" applyFont="0" applyFill="0" applyBorder="0" applyAlignment="0" applyProtection="0"/>
    <xf numFmtId="351" fontId="248" fillId="128" borderId="123" applyNumberFormat="0" applyAlignment="0" applyProtection="0"/>
    <xf numFmtId="4" fontId="48" fillId="45" borderId="123" applyNumberFormat="0" applyProtection="0">
      <alignment horizontal="left" vertical="center" indent="1"/>
    </xf>
    <xf numFmtId="351"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859">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xf numFmtId="0" fontId="20" fillId="41" borderId="9" xfId="75" applyFont="1" applyFill="1" applyBorder="1"/>
    <xf numFmtId="0" fontId="20" fillId="37" borderId="9" xfId="75" applyFont="1" applyFill="1" applyBorder="1"/>
    <xf numFmtId="0" fontId="20" fillId="40" borderId="9" xfId="75" applyFont="1" applyFill="1" applyBorder="1"/>
    <xf numFmtId="0" fontId="20" fillId="39" borderId="9" xfId="75" applyFont="1" applyFill="1" applyBorder="1"/>
    <xf numFmtId="0" fontId="20" fillId="38" borderId="9" xfId="75" applyFont="1" applyFill="1" applyBorder="1"/>
    <xf numFmtId="0" fontId="20" fillId="0" borderId="0" xfId="75" applyFont="1" applyProtection="1">
      <protection locked="0"/>
    </xf>
    <xf numFmtId="0" fontId="20" fillId="36" borderId="9" xfId="75" applyFont="1" applyFill="1" applyBorder="1"/>
    <xf numFmtId="0" fontId="3" fillId="0" borderId="0" xfId="0" applyFont="1" applyAlignment="1">
      <alignment horizontal="left" vertical="top"/>
    </xf>
    <xf numFmtId="0" fontId="6" fillId="0" borderId="0" xfId="85" applyFont="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xf numFmtId="0" fontId="4" fillId="42" borderId="0" xfId="88" applyFill="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Alignment="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xf numFmtId="0" fontId="27" fillId="47" borderId="13" xfId="75" applyFont="1" applyFill="1" applyBorder="1"/>
    <xf numFmtId="0" fontId="25" fillId="47" borderId="0" xfId="90" applyFont="1" applyFill="1" applyAlignment="1">
      <alignment horizontal="left"/>
    </xf>
    <xf numFmtId="0" fontId="19" fillId="0" borderId="0" xfId="93" applyFont="1"/>
    <xf numFmtId="0" fontId="26" fillId="0" borderId="0" xfId="75" applyFont="1"/>
    <xf numFmtId="0" fontId="27" fillId="0" borderId="0" xfId="75" applyFont="1"/>
    <xf numFmtId="0" fontId="27" fillId="0" borderId="13" xfId="75" applyFont="1" applyBorder="1"/>
    <xf numFmtId="0" fontId="30" fillId="47" borderId="0" xfId="90" applyFont="1" applyFill="1" applyAlignment="1">
      <alignment horizontal="left"/>
    </xf>
    <xf numFmtId="0" fontId="0" fillId="42" borderId="0" xfId="0" applyFill="1" applyAlignment="1">
      <alignment horizontal="right" vertical="top"/>
    </xf>
    <xf numFmtId="0" fontId="25" fillId="0" borderId="0" xfId="90" applyFont="1" applyAlignment="1">
      <alignment horizontal="left"/>
    </xf>
    <xf numFmtId="14" fontId="5" fillId="42" borderId="0" xfId="2" applyNumberFormat="1" applyFont="1" applyFill="1" applyBorder="1"/>
    <xf numFmtId="0" fontId="3" fillId="42" borderId="0" xfId="0" applyFont="1" applyFill="1"/>
    <xf numFmtId="0" fontId="0" fillId="42" borderId="0" xfId="0" applyFill="1"/>
    <xf numFmtId="168" fontId="5" fillId="3" borderId="0" xfId="0" applyNumberFormat="1" applyFont="1" applyFill="1" applyAlignment="1">
      <alignment vertical="center"/>
    </xf>
    <xf numFmtId="0" fontId="5" fillId="36" borderId="9" xfId="75" applyFont="1" applyFill="1" applyBorder="1" applyAlignment="1">
      <alignment horizontal="right" vertical="center"/>
    </xf>
    <xf numFmtId="175" fontId="5" fillId="36" borderId="9" xfId="75" applyNumberFormat="1" applyFont="1" applyFill="1" applyBorder="1"/>
    <xf numFmtId="0" fontId="28" fillId="0" borderId="9" xfId="75" applyFont="1" applyBorder="1" applyAlignment="1">
      <alignment horizontal="center" vertical="center"/>
    </xf>
    <xf numFmtId="1" fontId="3" fillId="0" borderId="0" xfId="0" applyNumberFormat="1" applyFont="1" applyAlignment="1">
      <alignment horizontal="center"/>
    </xf>
    <xf numFmtId="0" fontId="0" fillId="0" borderId="0" xfId="0" applyAlignment="1">
      <alignment vertical="center"/>
    </xf>
    <xf numFmtId="173" fontId="3"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3" fillId="0" borderId="0" xfId="0" applyNumberFormat="1" applyFont="1" applyAlignment="1">
      <alignment horizontal="right"/>
    </xf>
    <xf numFmtId="0" fontId="0" fillId="0" borderId="0" xfId="0" applyAlignment="1">
      <alignment horizontal="center" wrapText="1"/>
    </xf>
    <xf numFmtId="0" fontId="21" fillId="0" borderId="0" xfId="0" applyFont="1" applyAlignment="1">
      <alignment horizontal="right" indent="1"/>
    </xf>
    <xf numFmtId="173" fontId="3"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Alignment="1">
      <alignment horizontal="center" vertical="center" wrapText="1"/>
    </xf>
    <xf numFmtId="0" fontId="5" fillId="0" borderId="0" xfId="7" applyFont="1" applyAlignment="1">
      <alignment horizontal="center"/>
    </xf>
    <xf numFmtId="0" fontId="5" fillId="0" borderId="64" xfId="7" applyFont="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Border="1" applyAlignment="1">
      <alignment horizontal="left" indent="1"/>
    </xf>
    <xf numFmtId="3" fontId="5" fillId="0" borderId="70" xfId="89" applyNumberFormat="1" applyFont="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lignment vertical="center"/>
    </xf>
    <xf numFmtId="175" fontId="5" fillId="36" borderId="9" xfId="75" applyNumberFormat="1" applyFont="1" applyFill="1" applyBorder="1" applyAlignment="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Alignment="1">
      <alignment horizontal="center" vertical="top"/>
    </xf>
    <xf numFmtId="0" fontId="0" fillId="0" borderId="9" xfId="0"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xf numFmtId="0" fontId="25" fillId="47" borderId="13" xfId="90" applyFont="1" applyFill="1" applyBorder="1" applyAlignment="1">
      <alignment horizontal="left"/>
    </xf>
    <xf numFmtId="0" fontId="27" fillId="47" borderId="5" xfId="75" applyFont="1" applyFill="1" applyBorder="1"/>
    <xf numFmtId="0" fontId="26" fillId="47" borderId="57" xfId="75" applyFont="1" applyFill="1" applyBorder="1"/>
    <xf numFmtId="0" fontId="27" fillId="47" borderId="57" xfId="75" applyFont="1" applyFill="1" applyBorder="1"/>
    <xf numFmtId="0" fontId="27" fillId="47" borderId="63"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Alignment="1">
      <alignment horizontal="center" vertical="center"/>
    </xf>
    <xf numFmtId="0" fontId="3" fillId="0" borderId="0" xfId="0" applyFont="1" applyAlignment="1">
      <alignment horizontal="center" vertical="center" wrapText="1"/>
    </xf>
    <xf numFmtId="0" fontId="0" fillId="0" borderId="0" xfId="0" applyAlignment="1">
      <alignment horizontal="right" vertical="top" indent="1"/>
    </xf>
    <xf numFmtId="1" fontId="3" fillId="0" borderId="0" xfId="0" applyNumberFormat="1" applyFont="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1" fontId="0" fillId="0" borderId="0" xfId="0" applyNumberFormat="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Alignment="1">
      <alignment horizontal="left" indent="1"/>
    </xf>
    <xf numFmtId="0" fontId="3" fillId="0" borderId="0" xfId="0" applyFont="1" applyAlignment="1">
      <alignment horizontal="left" vertical="center" indent="1"/>
    </xf>
    <xf numFmtId="0" fontId="0" fillId="0" borderId="0" xfId="0" applyAlignment="1">
      <alignment horizontal="center"/>
    </xf>
    <xf numFmtId="0" fontId="0" fillId="0" borderId="14" xfId="0" applyBorder="1"/>
    <xf numFmtId="0" fontId="0" fillId="0" borderId="15" xfId="0" applyBorder="1"/>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5" fillId="37" borderId="76" xfId="75" applyFont="1" applyFill="1" applyBorder="1" applyAlignment="1">
      <alignment horizontal="center" vertical="top"/>
    </xf>
    <xf numFmtId="0" fontId="5" fillId="37" borderId="77" xfId="75" applyFont="1" applyFill="1" applyBorder="1" applyAlignment="1">
      <alignment horizontal="center" vertical="top"/>
    </xf>
    <xf numFmtId="0" fontId="5" fillId="37" borderId="78"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3" fillId="0" borderId="0" xfId="0" applyFont="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xf numFmtId="0" fontId="25" fillId="47" borderId="25" xfId="90" applyFont="1" applyFill="1" applyBorder="1" applyAlignment="1">
      <alignment horizontal="left"/>
    </xf>
    <xf numFmtId="0" fontId="26" fillId="47" borderId="25" xfId="75" applyFont="1" applyFill="1" applyBorder="1"/>
    <xf numFmtId="0" fontId="27" fillId="47" borderId="25" xfId="75" applyFont="1" applyFill="1" applyBorder="1"/>
    <xf numFmtId="0" fontId="27" fillId="47" borderId="96" xfId="75" applyFont="1" applyFill="1" applyBorder="1"/>
    <xf numFmtId="0" fontId="25" fillId="47" borderId="94" xfId="90" applyFont="1" applyFill="1" applyBorder="1" applyAlignment="1">
      <alignment horizontal="left"/>
    </xf>
    <xf numFmtId="0" fontId="27" fillId="47" borderId="98" xfId="75" applyFont="1" applyFill="1" applyBorder="1"/>
    <xf numFmtId="0" fontId="239" fillId="0" borderId="0" xfId="90" applyFont="1" applyAlignment="1">
      <alignment horizontal="left"/>
    </xf>
    <xf numFmtId="0" fontId="240" fillId="0" borderId="0" xfId="0" applyFont="1"/>
    <xf numFmtId="0" fontId="241" fillId="0" borderId="94" xfId="75" applyFont="1" applyBorder="1"/>
    <xf numFmtId="0" fontId="241" fillId="0" borderId="0" xfId="75" applyFont="1"/>
    <xf numFmtId="168" fontId="6" fillId="0" borderId="0" xfId="0" applyNumberFormat="1" applyFont="1" applyAlignment="1">
      <alignment vertical="center"/>
    </xf>
    <xf numFmtId="0" fontId="24" fillId="0" borderId="0" xfId="0" applyFont="1" applyAlignment="1">
      <alignment horizontal="left" vertical="top"/>
    </xf>
    <xf numFmtId="0" fontId="0" fillId="0" borderId="25" xfId="0" applyBorder="1"/>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117" borderId="0" xfId="0" applyFill="1" applyAlignment="1">
      <alignment horizontal="center" vertical="top"/>
    </xf>
    <xf numFmtId="0" fontId="24" fillId="0" borderId="0" xfId="0" applyFont="1"/>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71"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Alignment="1">
      <alignment horizontal="left" indent="1"/>
    </xf>
    <xf numFmtId="1" fontId="0" fillId="0" borderId="15" xfId="0" applyNumberFormat="1" applyBorder="1" applyAlignment="1">
      <alignment horizontal="center"/>
    </xf>
    <xf numFmtId="0" fontId="0" fillId="0" borderId="10" xfId="0" applyBorder="1" applyAlignment="1">
      <alignment horizontal="center" vertical="top"/>
    </xf>
    <xf numFmtId="0" fontId="0" fillId="0" borderId="32" xfId="0" applyBorder="1" applyAlignment="1">
      <alignment horizontal="center" vertical="top"/>
    </xf>
    <xf numFmtId="0" fontId="0" fillId="0" borderId="11" xfId="0" applyBorder="1" applyAlignment="1">
      <alignment horizontal="center" vertical="top"/>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Alignment="1">
      <alignment horizontal="center" wrapText="1"/>
    </xf>
    <xf numFmtId="10" fontId="0" fillId="42" borderId="0" xfId="0" applyNumberFormat="1" applyFill="1" applyAlignment="1">
      <alignment horizontal="right" vertical="top"/>
    </xf>
    <xf numFmtId="0" fontId="0" fillId="42" borderId="0" xfId="0" applyFill="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xf numFmtId="0" fontId="26" fillId="47" borderId="115" xfId="75" applyFont="1" applyFill="1" applyBorder="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Alignment="1">
      <alignment horizontal="left" vertical="center" indent="1"/>
    </xf>
    <xf numFmtId="0" fontId="5" fillId="0" borderId="0" xfId="85" applyFont="1" applyAlignment="1">
      <alignment horizontal="left" vertical="center" wrapText="1" indent="1"/>
    </xf>
    <xf numFmtId="0" fontId="243" fillId="0" borderId="0" xfId="0" applyFont="1" applyAlignment="1">
      <alignment horizontal="left" vertical="top"/>
    </xf>
    <xf numFmtId="173" fontId="5" fillId="36" borderId="65" xfId="75" applyNumberFormat="1" applyFont="1" applyFill="1" applyBorder="1" applyAlignment="1">
      <alignment horizontal="center"/>
    </xf>
    <xf numFmtId="173" fontId="5" fillId="36" borderId="68" xfId="75" applyNumberFormat="1" applyFont="1" applyFill="1" applyBorder="1" applyAlignment="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Border="1" applyAlignment="1">
      <alignment horizontal="right"/>
    </xf>
    <xf numFmtId="173" fontId="0" fillId="0" borderId="74" xfId="0" applyNumberFormat="1" applyBorder="1" applyAlignment="1">
      <alignment horizontal="right"/>
    </xf>
    <xf numFmtId="0" fontId="0" fillId="0" borderId="76" xfId="0" applyBorder="1" applyAlignment="1">
      <alignment horizontal="center" vertical="top"/>
    </xf>
    <xf numFmtId="0" fontId="0" fillId="0" borderId="77" xfId="0" applyBorder="1" applyAlignment="1">
      <alignment horizontal="center" vertical="top"/>
    </xf>
    <xf numFmtId="0" fontId="0" fillId="0" borderId="78" xfId="0" applyBorder="1" applyAlignment="1">
      <alignment horizontal="center" vertical="top"/>
    </xf>
    <xf numFmtId="0" fontId="3" fillId="0" borderId="0" xfId="0" applyFont="1" applyAlignment="1">
      <alignment horizontal="left" vertical="top" indent="1"/>
    </xf>
    <xf numFmtId="0" fontId="0" fillId="0" borderId="0" xfId="0" applyAlignment="1">
      <alignment horizontal="left" vertical="top" indent="2"/>
    </xf>
    <xf numFmtId="0" fontId="0" fillId="3" borderId="0" xfId="0" applyFill="1" applyAlignment="1">
      <alignment horizontal="left" indent="2"/>
    </xf>
    <xf numFmtId="0" fontId="25" fillId="47" borderId="57" xfId="90" applyFont="1" applyFill="1" applyBorder="1" applyAlignment="1">
      <alignment horizontal="center"/>
    </xf>
    <xf numFmtId="0" fontId="25" fillId="47" borderId="94" xfId="90" applyFont="1" applyFill="1" applyBorder="1" applyAlignment="1">
      <alignment horizontal="center"/>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Alignment="1">
      <alignment horizontal="left" vertical="top" indent="1"/>
    </xf>
    <xf numFmtId="1" fontId="3" fillId="0" borderId="0" xfId="0" applyNumberFormat="1" applyFont="1" applyAlignment="1">
      <alignment horizontal="center" vertical="center"/>
    </xf>
    <xf numFmtId="168" fontId="5" fillId="3" borderId="0" xfId="0" applyNumberFormat="1" applyFont="1" applyFill="1" applyAlignment="1">
      <alignment horizontal="left" vertical="center" indent="1"/>
    </xf>
    <xf numFmtId="0" fontId="5" fillId="0" borderId="0" xfId="85" applyFont="1" applyAlignment="1">
      <alignment horizontal="left" vertical="center" wrapText="1"/>
    </xf>
    <xf numFmtId="10" fontId="0" fillId="0" borderId="67" xfId="0" applyNumberFormat="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Alignment="1">
      <alignment horizontal="left" indent="1"/>
    </xf>
    <xf numFmtId="0" fontId="243" fillId="0" borderId="0" xfId="0" applyFont="1" applyAlignment="1">
      <alignment horizontal="center"/>
    </xf>
    <xf numFmtId="0" fontId="0" fillId="0" borderId="0" xfId="0" applyAlignment="1">
      <alignment horizontal="left"/>
    </xf>
    <xf numFmtId="0" fontId="0" fillId="53" borderId="0" xfId="0" applyFill="1" applyAlignment="1">
      <alignment horizontal="left" indent="1"/>
    </xf>
    <xf numFmtId="0" fontId="243"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xf numFmtId="3" fontId="5" fillId="0" borderId="110" xfId="89" applyNumberFormat="1" applyFont="1" applyBorder="1" applyAlignment="1">
      <alignment horizontal="left" indent="1"/>
    </xf>
    <xf numFmtId="3" fontId="5" fillId="0" borderId="108" xfId="89" applyNumberFormat="1" applyFont="1" applyBorder="1" applyAlignment="1">
      <alignment horizontal="left" indent="1"/>
    </xf>
    <xf numFmtId="173" fontId="0" fillId="0" borderId="65" xfId="0" applyNumberFormat="1" applyBorder="1" applyAlignment="1">
      <alignment horizontal="right" indent="1"/>
    </xf>
    <xf numFmtId="173" fontId="0" fillId="0" borderId="66" xfId="0" applyNumberFormat="1" applyBorder="1" applyAlignment="1">
      <alignment horizontal="right" indent="1"/>
    </xf>
    <xf numFmtId="173" fontId="0" fillId="0" borderId="68" xfId="0" applyNumberFormat="1" applyBorder="1" applyAlignment="1">
      <alignment horizontal="right" indent="1"/>
    </xf>
    <xf numFmtId="173" fontId="0" fillId="0" borderId="69" xfId="0" applyNumberFormat="1" applyBorder="1" applyAlignment="1">
      <alignment horizontal="right" indent="1"/>
    </xf>
    <xf numFmtId="173" fontId="0" fillId="0" borderId="67" xfId="0" applyNumberFormat="1" applyBorder="1" applyAlignment="1">
      <alignment horizontal="right" indent="1"/>
    </xf>
    <xf numFmtId="173" fontId="0" fillId="0" borderId="70" xfId="0" applyNumberFormat="1" applyBorder="1" applyAlignment="1">
      <alignment horizontal="right" indent="1"/>
    </xf>
    <xf numFmtId="173" fontId="0" fillId="0" borderId="71" xfId="0" applyNumberFormat="1" applyBorder="1" applyAlignment="1">
      <alignment horizontal="right" indent="1"/>
    </xf>
    <xf numFmtId="0" fontId="0" fillId="0" borderId="0" xfId="0" applyAlignment="1">
      <alignment horizontal="left" wrapText="1"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252" fontId="6" fillId="0" borderId="0" xfId="2" applyNumberFormat="1" applyFont="1" applyFill="1" applyBorder="1"/>
    <xf numFmtId="168" fontId="6" fillId="0" borderId="0" xfId="0" applyNumberFormat="1" applyFont="1" applyAlignment="1">
      <alignment horizontal="left" vertical="center"/>
    </xf>
    <xf numFmtId="165" fontId="5" fillId="3" borderId="65"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lignment vertical="top"/>
    </xf>
    <xf numFmtId="9" fontId="5" fillId="52" borderId="71" xfId="75" applyNumberFormat="1" applyFont="1" applyFill="1" applyBorder="1" applyAlignment="1">
      <alignment vertical="top"/>
    </xf>
    <xf numFmtId="9" fontId="5" fillId="52" borderId="72" xfId="75" applyNumberFormat="1" applyFont="1" applyFill="1" applyBorder="1" applyAlignment="1">
      <alignment vertical="top"/>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Border="1" applyAlignment="1">
      <alignment horizontal="center" vertical="center"/>
    </xf>
    <xf numFmtId="178" fontId="5" fillId="0" borderId="71" xfId="7" applyNumberFormat="1" applyFont="1" applyBorder="1" applyAlignment="1">
      <alignment horizontal="center" vertical="center"/>
    </xf>
    <xf numFmtId="0" fontId="5" fillId="0" borderId="64" xfId="7" applyFont="1" applyBorder="1" applyAlignment="1">
      <alignment horizontal="left" vertical="center" wrapText="1" indent="1"/>
    </xf>
    <xf numFmtId="0" fontId="5" fillId="0" borderId="70" xfId="7" applyFont="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Border="1" applyAlignment="1">
      <alignment horizontal="center"/>
    </xf>
    <xf numFmtId="2" fontId="5" fillId="0" borderId="70" xfId="7" applyNumberFormat="1" applyFont="1" applyBorder="1" applyAlignment="1">
      <alignment horizontal="center"/>
    </xf>
    <xf numFmtId="1" fontId="5" fillId="0" borderId="71" xfId="7" applyNumberFormat="1" applyFont="1" applyBorder="1" applyAlignment="1">
      <alignment horizontal="center"/>
    </xf>
    <xf numFmtId="178" fontId="0" fillId="51" borderId="76" xfId="1" applyNumberFormat="1" applyFont="1" applyFill="1" applyBorder="1" applyAlignment="1">
      <alignment horizontal="right"/>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243" fillId="117" borderId="0" xfId="0" applyFont="1" applyFill="1" applyAlignment="1">
      <alignment vertical="top"/>
    </xf>
    <xf numFmtId="0" fontId="243" fillId="0" borderId="0" xfId="0" applyFont="1" applyAlignment="1">
      <alignment vertical="top"/>
    </xf>
    <xf numFmtId="0" fontId="3" fillId="0" borderId="0" xfId="0" applyFont="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center" vertical="center" wrapText="1"/>
    </xf>
    <xf numFmtId="173" fontId="3" fillId="42" borderId="0" xfId="0" applyNumberFormat="1" applyFont="1" applyFill="1" applyAlignment="1">
      <alignment horizontal="right" vertical="top"/>
    </xf>
    <xf numFmtId="165" fontId="6" fillId="42" borderId="0" xfId="2" applyNumberFormat="1" applyFont="1" applyFill="1" applyBorder="1" applyAlignment="1">
      <alignment vertical="center"/>
    </xf>
    <xf numFmtId="0" fontId="0" fillId="42" borderId="0" xfId="0"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1" fontId="0" fillId="0" borderId="76" xfId="0" applyNumberFormat="1" applyBorder="1" applyAlignment="1">
      <alignment horizontal="right" vertical="top"/>
    </xf>
    <xf numFmtId="1" fontId="0" fillId="0" borderId="77" xfId="0" applyNumberFormat="1" applyBorder="1" applyAlignment="1">
      <alignment horizontal="right" vertical="top"/>
    </xf>
    <xf numFmtId="1" fontId="0" fillId="0" borderId="78" xfId="0" applyNumberFormat="1" applyBorder="1" applyAlignment="1">
      <alignment horizontal="right" vertical="top"/>
    </xf>
    <xf numFmtId="0" fontId="20" fillId="0" borderId="0" xfId="75" applyFont="1" applyAlignment="1">
      <alignment horizontal="left" indent="1"/>
    </xf>
    <xf numFmtId="0" fontId="20" fillId="0" borderId="0" xfId="75" applyFont="1" applyAlignment="1">
      <alignment horizontal="left" vertical="center" indent="1"/>
    </xf>
    <xf numFmtId="0" fontId="5" fillId="42" borderId="0" xfId="7" applyFont="1" applyFill="1" applyAlignment="1">
      <alignment horizontal="left" indent="1"/>
    </xf>
    <xf numFmtId="0" fontId="6" fillId="0" borderId="10" xfId="7" applyFont="1" applyBorder="1" applyAlignment="1">
      <alignment horizontal="center" vertical="center"/>
    </xf>
    <xf numFmtId="0" fontId="245" fillId="0" borderId="77" xfId="7" applyFont="1" applyBorder="1" applyAlignment="1">
      <alignment horizontal="center" vertical="center" wrapText="1"/>
    </xf>
    <xf numFmtId="0" fontId="245" fillId="0" borderId="78" xfId="7" applyFont="1" applyBorder="1" applyAlignment="1">
      <alignment horizontal="center" vertical="center" wrapText="1"/>
    </xf>
    <xf numFmtId="0" fontId="0" fillId="118" borderId="14" xfId="0" applyFill="1" applyBorder="1"/>
    <xf numFmtId="0" fontId="0" fillId="118" borderId="0" xfId="0" applyFill="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ill="1" applyBorder="1" applyAlignment="1">
      <alignment horizontal="right"/>
    </xf>
    <xf numFmtId="172" fontId="5" fillId="51" borderId="68" xfId="75" applyNumberFormat="1" applyFont="1" applyFill="1" applyBorder="1" applyAlignment="1">
      <alignment horizontal="right"/>
    </xf>
    <xf numFmtId="172" fontId="0" fillId="51" borderId="68" xfId="0" applyNumberFormat="1" applyFill="1" applyBorder="1" applyAlignment="1">
      <alignment horizontal="right"/>
    </xf>
    <xf numFmtId="172" fontId="0" fillId="51" borderId="69" xfId="0" applyNumberForma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70" xfId="0" applyNumberFormat="1" applyFill="1" applyBorder="1" applyAlignment="1">
      <alignment horizontal="right"/>
    </xf>
    <xf numFmtId="172" fontId="0" fillId="3" borderId="71" xfId="0" applyNumberFormat="1" applyFill="1" applyBorder="1" applyAlignment="1">
      <alignment horizontal="right"/>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xf>
    <xf numFmtId="172" fontId="0" fillId="52" borderId="76" xfId="0" applyNumberFormat="1" applyFill="1" applyBorder="1" applyAlignment="1">
      <alignment horizontal="right"/>
    </xf>
    <xf numFmtId="172" fontId="0" fillId="52" borderId="77" xfId="0" applyNumberFormat="1" applyFill="1" applyBorder="1" applyAlignment="1">
      <alignment horizontal="right"/>
    </xf>
    <xf numFmtId="172" fontId="0" fillId="52" borderId="78" xfId="0" applyNumberFormat="1" applyFill="1" applyBorder="1" applyAlignment="1">
      <alignment horizontal="right"/>
    </xf>
    <xf numFmtId="172" fontId="0" fillId="3" borderId="76" xfId="0" applyNumberFormat="1" applyFill="1" applyBorder="1" applyAlignment="1">
      <alignment horizontal="right"/>
    </xf>
    <xf numFmtId="172" fontId="0" fillId="3" borderId="77" xfId="0" applyNumberFormat="1" applyFill="1" applyBorder="1" applyAlignment="1">
      <alignment horizontal="right"/>
    </xf>
    <xf numFmtId="172" fontId="0" fillId="3" borderId="78" xfId="0" applyNumberFormat="1" applyFill="1" applyBorder="1" applyAlignment="1">
      <alignment horizontal="right"/>
    </xf>
    <xf numFmtId="172" fontId="0" fillId="52" borderId="64" xfId="0" applyNumberFormat="1" applyFill="1" applyBorder="1" applyAlignment="1">
      <alignment horizontal="right"/>
    </xf>
    <xf numFmtId="172" fontId="0" fillId="52" borderId="65" xfId="0" applyNumberFormat="1" applyFill="1" applyBorder="1" applyAlignment="1">
      <alignment horizontal="right"/>
    </xf>
    <xf numFmtId="172" fontId="0" fillId="52" borderId="66" xfId="0" applyNumberFormat="1" applyFill="1" applyBorder="1" applyAlignment="1">
      <alignment horizontal="right"/>
    </xf>
    <xf numFmtId="172" fontId="0" fillId="3" borderId="70"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Border="1" applyAlignment="1">
      <alignment horizontal="right" vertical="top"/>
    </xf>
    <xf numFmtId="172" fontId="0" fillId="0" borderId="65" xfId="0" applyNumberFormat="1" applyBorder="1" applyAlignment="1">
      <alignment horizontal="right" vertical="top"/>
    </xf>
    <xf numFmtId="172" fontId="0" fillId="0" borderId="66" xfId="0" applyNumberFormat="1" applyBorder="1" applyAlignment="1">
      <alignment horizontal="right" vertical="top"/>
    </xf>
    <xf numFmtId="172" fontId="0" fillId="52" borderId="64" xfId="0" applyNumberFormat="1" applyFill="1" applyBorder="1" applyAlignment="1">
      <alignment horizontal="right" vertical="top"/>
    </xf>
    <xf numFmtId="172" fontId="0" fillId="0" borderId="74" xfId="0" applyNumberFormat="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ill="1" applyBorder="1" applyAlignment="1">
      <alignment horizontal="right"/>
    </xf>
    <xf numFmtId="252" fontId="0" fillId="51" borderId="74" xfId="0" applyNumberFormat="1" applyFill="1" applyBorder="1" applyAlignment="1">
      <alignment horizontal="right"/>
    </xf>
    <xf numFmtId="172" fontId="0" fillId="51" borderId="74" xfId="0" applyNumberFormat="1" applyFill="1" applyBorder="1" applyAlignment="1">
      <alignment horizontal="right"/>
    </xf>
    <xf numFmtId="172" fontId="0" fillId="51" borderId="75" xfId="0" applyNumberFormat="1" applyFill="1" applyBorder="1" applyAlignment="1">
      <alignment horizontal="right"/>
    </xf>
    <xf numFmtId="172" fontId="0" fillId="52" borderId="64" xfId="0" applyNumberFormat="1" applyFill="1" applyBorder="1"/>
    <xf numFmtId="172" fontId="0" fillId="52" borderId="65" xfId="0" applyNumberFormat="1" applyFill="1" applyBorder="1"/>
    <xf numFmtId="172" fontId="0" fillId="52" borderId="66" xfId="0" applyNumberForma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ill="1" applyBorder="1"/>
    <xf numFmtId="172" fontId="0" fillId="52" borderId="77" xfId="0" applyNumberFormat="1" applyFill="1" applyBorder="1"/>
    <xf numFmtId="172" fontId="0" fillId="52" borderId="78" xfId="0" applyNumberFormat="1" applyFill="1" applyBorder="1"/>
    <xf numFmtId="172" fontId="0" fillId="52" borderId="70" xfId="0" applyNumberFormat="1" applyFill="1" applyBorder="1"/>
    <xf numFmtId="172" fontId="0" fillId="52" borderId="71" xfId="0" applyNumberFormat="1" applyFill="1" applyBorder="1"/>
    <xf numFmtId="172" fontId="0" fillId="52" borderId="72" xfId="0" applyNumberFormat="1" applyFill="1" applyBorder="1"/>
    <xf numFmtId="172" fontId="3" fillId="0" borderId="0" xfId="0" applyNumberFormat="1" applyFont="1"/>
    <xf numFmtId="172" fontId="5"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0" fillId="0" borderId="0" xfId="0" applyNumberFormat="1"/>
    <xf numFmtId="172" fontId="0" fillId="0" borderId="76" xfId="0" applyNumberFormat="1" applyBorder="1" applyAlignment="1">
      <alignment horizontal="right" vertical="top"/>
    </xf>
    <xf numFmtId="172" fontId="0" fillId="0" borderId="77" xfId="0" applyNumberFormat="1" applyBorder="1" applyAlignment="1">
      <alignment horizontal="right" vertical="top"/>
    </xf>
    <xf numFmtId="172" fontId="0" fillId="0" borderId="78" xfId="0" applyNumberFormat="1" applyBorder="1" applyAlignment="1">
      <alignment horizontal="right" vertical="top"/>
    </xf>
    <xf numFmtId="172" fontId="0" fillId="0" borderId="70" xfId="0" applyNumberFormat="1" applyBorder="1" applyAlignment="1">
      <alignment horizontal="right" vertical="top"/>
    </xf>
    <xf numFmtId="172" fontId="0" fillId="0" borderId="71" xfId="0" applyNumberFormat="1" applyBorder="1" applyAlignment="1">
      <alignment horizontal="right" vertical="top"/>
    </xf>
    <xf numFmtId="172" fontId="0" fillId="0" borderId="72" xfId="0" applyNumberFormat="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0" fontId="3" fillId="0" borderId="0" xfId="0" applyFont="1" applyAlignment="1" applyProtection="1">
      <alignment horizontal="left" indent="1"/>
      <protection locked="0"/>
    </xf>
    <xf numFmtId="0" fontId="3" fillId="53" borderId="0" xfId="0" applyFont="1" applyFill="1" applyAlignment="1">
      <alignment horizontal="left" vertical="top" indent="1"/>
    </xf>
    <xf numFmtId="0" fontId="0" fillId="0" borderId="0" xfId="0" applyAlignment="1" applyProtection="1">
      <alignment horizontal="left" indent="1"/>
      <protection locked="0"/>
    </xf>
    <xf numFmtId="0" fontId="0" fillId="53" borderId="0" xfId="0" applyFill="1" applyAlignment="1">
      <alignment horizontal="left" vertical="top" indent="1"/>
    </xf>
    <xf numFmtId="0" fontId="3" fillId="117" borderId="0" xfId="0" applyFont="1" applyFill="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0" fontId="6" fillId="53" borderId="0" xfId="85" applyFont="1" applyFill="1" applyAlignment="1">
      <alignment horizontal="left" vertical="center" wrapText="1"/>
    </xf>
    <xf numFmtId="0" fontId="5" fillId="53" borderId="0" xfId="85" applyFont="1" applyFill="1" applyAlignment="1">
      <alignment horizontal="left" vertical="center" wrapText="1"/>
    </xf>
    <xf numFmtId="0" fontId="0" fillId="0" borderId="0" xfId="0" applyAlignment="1">
      <alignment horizontal="left" vertical="center" wrapText="1" indent="1"/>
    </xf>
    <xf numFmtId="0" fontId="243" fillId="0" borderId="0" xfId="0" applyFont="1" applyAlignment="1">
      <alignment horizontal="left" indent="1"/>
    </xf>
    <xf numFmtId="0" fontId="243" fillId="0" borderId="0" xfId="0" applyFont="1" applyAlignment="1">
      <alignment wrapText="1"/>
    </xf>
    <xf numFmtId="0" fontId="243" fillId="0" borderId="0" xfId="0" applyFont="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49" fontId="0" fillId="3" borderId="67" xfId="0" applyNumberFormat="1" applyFill="1" applyBorder="1" applyAlignment="1">
      <alignment horizontal="right" vertical="top"/>
    </xf>
    <xf numFmtId="349" fontId="0" fillId="3" borderId="68" xfId="0" applyNumberFormat="1" applyFill="1" applyBorder="1" applyAlignment="1">
      <alignment horizontal="right" vertical="top"/>
    </xf>
    <xf numFmtId="172" fontId="5" fillId="0" borderId="0" xfId="2" applyNumberFormat="1" applyFont="1" applyFill="1" applyBorder="1"/>
    <xf numFmtId="0" fontId="3" fillId="53" borderId="0" xfId="0" applyFont="1" applyFill="1" applyAlignment="1">
      <alignment horizontal="left"/>
    </xf>
    <xf numFmtId="0" fontId="0" fillId="53" borderId="0" xfId="0" applyFill="1" applyAlignment="1">
      <alignment horizontal="center" vertical="center" wrapText="1"/>
    </xf>
    <xf numFmtId="0" fontId="3" fillId="0" borderId="0" xfId="0" applyFont="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xf numFmtId="350" fontId="0" fillId="0" borderId="0" xfId="0" applyNumberFormat="1"/>
    <xf numFmtId="349" fontId="0" fillId="0" borderId="0" xfId="1" applyNumberFormat="1" applyFont="1"/>
    <xf numFmtId="168" fontId="5" fillId="42" borderId="0" xfId="0" applyNumberFormat="1" applyFont="1" applyFill="1" applyAlignment="1">
      <alignment vertical="center"/>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Alignment="1">
      <alignment horizontal="left" vertical="center" wrapText="1" indent="1"/>
    </xf>
    <xf numFmtId="172" fontId="0" fillId="51" borderId="64" xfId="0" applyNumberFormat="1" applyFill="1" applyBorder="1" applyAlignment="1">
      <alignment horizontal="right"/>
    </xf>
    <xf numFmtId="172" fontId="0" fillId="51" borderId="65" xfId="0" applyNumberFormat="1" applyFill="1" applyBorder="1" applyAlignment="1">
      <alignment horizontal="right"/>
    </xf>
    <xf numFmtId="168" fontId="6" fillId="0" borderId="0" xfId="0" applyNumberFormat="1" applyFont="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Alignment="1">
      <alignment horizontal="right" vertical="top"/>
    </xf>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5" fillId="42" borderId="0" xfId="0" applyFont="1" applyFill="1" applyAlignment="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5" fillId="52" borderId="30" xfId="2" applyNumberFormat="1" applyFont="1" applyFill="1" applyBorder="1" applyAlignment="1">
      <alignment horizontal="right" vertical="center"/>
    </xf>
    <xf numFmtId="0" fontId="257" fillId="47" borderId="0" xfId="90" applyFont="1" applyFill="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Font="1" applyFill="1" applyBorder="1" applyAlignment="1">
      <alignment horizontal="left" indent="1"/>
    </xf>
    <xf numFmtId="0" fontId="257" fillId="47" borderId="25" xfId="90" applyFont="1" applyFill="1" applyBorder="1" applyAlignment="1">
      <alignment horizontal="left"/>
    </xf>
    <xf numFmtId="0" fontId="257" fillId="47" borderId="0" xfId="90" applyFont="1" applyFill="1" applyAlignment="1">
      <alignment horizontal="left" indent="1"/>
    </xf>
    <xf numFmtId="0" fontId="259" fillId="47" borderId="94" xfId="90"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ill="1" applyAlignment="1">
      <alignment horizontal="left" vertical="top" wrapText="1" indent="1"/>
    </xf>
    <xf numFmtId="168" fontId="5" fillId="3" borderId="0" xfId="0" applyNumberFormat="1" applyFont="1" applyFill="1" applyAlignment="1">
      <alignment horizontal="left" vertical="center" wrapText="1" indent="1"/>
    </xf>
    <xf numFmtId="168" fontId="262" fillId="3" borderId="0" xfId="0" applyNumberFormat="1" applyFont="1" applyFill="1" applyAlignment="1">
      <alignment horizontal="left" vertical="center"/>
    </xf>
    <xf numFmtId="14" fontId="5" fillId="3" borderId="3" xfId="2" applyNumberFormat="1" applyFont="1" applyFill="1" applyBorder="1" applyAlignment="1">
      <alignment horizontal="right" vertical="center"/>
    </xf>
    <xf numFmtId="172" fontId="5" fillId="38" borderId="133" xfId="1" applyNumberFormat="1" applyFont="1" applyFill="1" applyBorder="1" applyAlignment="1" applyProtection="1">
      <alignment horizontal="right"/>
    </xf>
    <xf numFmtId="172" fontId="5" fillId="3" borderId="65" xfId="0" applyNumberFormat="1" applyFont="1" applyFill="1" applyBorder="1" applyAlignment="1">
      <alignment horizontal="right" vertical="top"/>
    </xf>
    <xf numFmtId="172" fontId="5" fillId="3" borderId="68" xfId="0" applyNumberFormat="1" applyFont="1" applyFill="1" applyBorder="1" applyAlignment="1">
      <alignment horizontal="right" vertical="top"/>
    </xf>
    <xf numFmtId="172" fontId="5" fillId="3" borderId="80" xfId="0" applyNumberFormat="1" applyFont="1" applyFill="1" applyBorder="1" applyAlignment="1">
      <alignment horizontal="right" vertical="top"/>
    </xf>
    <xf numFmtId="352" fontId="0" fillId="0" borderId="0" xfId="0" applyNumberFormat="1" applyAlignment="1">
      <alignment horizontal="left" vertical="top"/>
    </xf>
    <xf numFmtId="43" fontId="0" fillId="0" borderId="0" xfId="0" applyNumberFormat="1" applyAlignment="1">
      <alignment horizontal="left" vertical="top"/>
    </xf>
    <xf numFmtId="350" fontId="24" fillId="0" borderId="0" xfId="0" applyNumberFormat="1" applyFont="1"/>
    <xf numFmtId="172" fontId="24" fillId="3" borderId="68" xfId="0" applyNumberFormat="1" applyFont="1" applyFill="1" applyBorder="1" applyAlignment="1">
      <alignment horizontal="right" vertical="top"/>
    </xf>
    <xf numFmtId="352" fontId="0" fillId="0" borderId="0" xfId="0" applyNumberFormat="1"/>
    <xf numFmtId="353" fontId="0" fillId="0" borderId="0" xfId="0" applyNumberFormat="1"/>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33" xfId="92" applyBorder="1" applyAlignment="1">
      <alignment horizontal="center"/>
    </xf>
    <xf numFmtId="1" fontId="3" fillId="0" borderId="10" xfId="0" applyNumberFormat="1" applyFont="1" applyBorder="1" applyAlignment="1">
      <alignment horizontal="center" vertical="center"/>
    </xf>
    <xf numFmtId="1" fontId="3" fillId="0" borderId="32"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29" fillId="0" borderId="0" xfId="92"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Font="1" applyFill="1" applyBorder="1" applyAlignment="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ill="1" applyAlignment="1">
      <alignment horizontal="left" vertical="top" indent="1"/>
    </xf>
    <xf numFmtId="0" fontId="0" fillId="53" borderId="119" xfId="0" applyFill="1" applyBorder="1" applyAlignment="1">
      <alignment horizontal="center" vertical="top" wrapText="1"/>
    </xf>
    <xf numFmtId="0" fontId="0" fillId="53" borderId="2" xfId="0" applyFill="1" applyBorder="1" applyAlignment="1">
      <alignment horizontal="center" vertical="top" wrapText="1"/>
    </xf>
    <xf numFmtId="0" fontId="0" fillId="53" borderId="121" xfId="0"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59">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fill>
        <patternFill patternType="darkUp">
          <fgColor rgb="FFC0C0C0"/>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107552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pane="bottomLeft"/>
    </sheetView>
  </sheetViews>
  <sheetFormatPr defaultRowHeight="13.5"/>
  <cols>
    <col min="1" max="1" width="8.3828125" customWidth="1"/>
    <col min="2" max="2" width="27.15234375" customWidth="1"/>
    <col min="3" max="6" width="14.15234375" customWidth="1"/>
    <col min="7" max="7" width="14.15234375" style="181" customWidth="1"/>
    <col min="8" max="11" width="14.15234375" customWidth="1"/>
  </cols>
  <sheetData>
    <row r="1" spans="1:11" ht="20">
      <c r="A1" s="764" t="s">
        <v>304</v>
      </c>
      <c r="B1" s="765"/>
      <c r="C1" s="765"/>
      <c r="D1" s="766"/>
      <c r="E1" s="767"/>
      <c r="F1" s="765"/>
      <c r="G1" s="768"/>
      <c r="H1" s="765"/>
      <c r="I1" s="765"/>
      <c r="J1" s="765"/>
      <c r="K1" s="765"/>
    </row>
    <row r="2" spans="1:11" ht="20">
      <c r="A2" s="764" t="str">
        <f>'RFPR cover'!C5</f>
        <v>NPgN</v>
      </c>
      <c r="B2" s="765"/>
      <c r="C2" s="765"/>
      <c r="D2" s="767"/>
      <c r="E2" s="767"/>
      <c r="F2" s="765"/>
      <c r="G2" s="768"/>
      <c r="H2" s="765"/>
      <c r="I2" s="765"/>
      <c r="J2" s="765"/>
      <c r="K2" s="765"/>
    </row>
    <row r="3" spans="1:11" ht="20">
      <c r="A3" s="764">
        <f>'RFPR cover'!C7</f>
        <v>2023</v>
      </c>
      <c r="B3" s="765"/>
      <c r="C3" s="765"/>
      <c r="D3" s="767"/>
      <c r="E3" s="767"/>
      <c r="F3" s="765"/>
      <c r="G3" s="768"/>
      <c r="H3" s="765"/>
      <c r="I3" s="765"/>
      <c r="J3" s="765"/>
      <c r="K3" s="765"/>
    </row>
    <row r="4" spans="1:11" ht="14">
      <c r="A4" s="30"/>
      <c r="B4" s="30"/>
      <c r="C4" s="30"/>
      <c r="D4" s="30"/>
      <c r="E4" s="30"/>
      <c r="H4" s="10"/>
      <c r="I4" s="10"/>
      <c r="J4" s="10"/>
    </row>
    <row r="5" spans="1:11" ht="13.5" customHeight="1">
      <c r="A5" s="30"/>
      <c r="B5" s="69" t="s">
        <v>62</v>
      </c>
      <c r="C5" s="41" t="s">
        <v>44</v>
      </c>
      <c r="D5" s="298"/>
      <c r="E5" s="19"/>
      <c r="F5" s="11"/>
      <c r="G5" s="472" t="s">
        <v>0</v>
      </c>
      <c r="H5" s="10"/>
      <c r="I5" s="10"/>
      <c r="J5" s="10"/>
    </row>
    <row r="6" spans="1:11" ht="13.5" customHeight="1">
      <c r="A6" s="30"/>
      <c r="B6" s="69" t="s">
        <v>188</v>
      </c>
      <c r="C6" s="74" t="str">
        <f>INDEX(Data!$A$73:$A$100,MATCH($C$5,Data!$B$73:$B$100,0),0)&amp;"1"</f>
        <v>ED1</v>
      </c>
      <c r="D6" s="19"/>
      <c r="E6" s="19"/>
      <c r="F6" s="9"/>
      <c r="G6" s="472" t="s">
        <v>1</v>
      </c>
      <c r="H6" s="10"/>
      <c r="I6" s="10"/>
      <c r="J6" s="10"/>
    </row>
    <row r="7" spans="1:11" ht="27">
      <c r="A7" s="30"/>
      <c r="B7" s="70" t="s">
        <v>187</v>
      </c>
      <c r="C7" s="75">
        <v>2023</v>
      </c>
      <c r="D7" s="18"/>
      <c r="E7" s="19"/>
      <c r="F7" s="8"/>
      <c r="G7" s="473" t="s">
        <v>2</v>
      </c>
      <c r="H7" s="10"/>
      <c r="I7" s="10"/>
      <c r="J7" s="10"/>
    </row>
    <row r="8" spans="1:11" ht="14">
      <c r="A8" s="30"/>
      <c r="B8" s="69" t="s">
        <v>37</v>
      </c>
      <c r="C8" s="75">
        <v>1</v>
      </c>
      <c r="D8" s="19"/>
      <c r="E8" s="18"/>
      <c r="F8" s="7"/>
      <c r="G8" s="472" t="s">
        <v>3</v>
      </c>
      <c r="H8" s="10"/>
      <c r="I8" s="10"/>
      <c r="J8" s="10"/>
    </row>
    <row r="9" spans="1:11" ht="14">
      <c r="A9" s="30"/>
      <c r="B9" s="69" t="s">
        <v>38</v>
      </c>
      <c r="C9" s="76">
        <v>45138</v>
      </c>
      <c r="D9" s="18"/>
      <c r="E9" s="18"/>
      <c r="F9" s="6"/>
      <c r="G9" s="472" t="s">
        <v>4</v>
      </c>
      <c r="H9" s="10"/>
      <c r="I9" s="10"/>
      <c r="J9" s="10"/>
    </row>
    <row r="10" spans="1:11" ht="14">
      <c r="A10" s="30"/>
      <c r="B10" s="69" t="s">
        <v>70</v>
      </c>
      <c r="C10" s="77">
        <f>SUMIF(Data!$B$72:$B$100,C5,Data!$C$72:$C$100)</f>
        <v>0.06</v>
      </c>
      <c r="D10" s="18"/>
      <c r="E10" s="18"/>
      <c r="F10" s="5"/>
      <c r="G10" s="472" t="s">
        <v>5</v>
      </c>
      <c r="H10" s="10"/>
      <c r="I10" s="10"/>
      <c r="J10" s="10"/>
    </row>
    <row r="11" spans="1:11" ht="14">
      <c r="A11" s="30"/>
      <c r="B11" s="69" t="s">
        <v>71</v>
      </c>
      <c r="C11" s="78">
        <f>SUMIF(Data!$B$72:$B$100,C5,Data!$D$72:$D$100)</f>
        <v>0.55843703457782867</v>
      </c>
      <c r="D11" s="19"/>
      <c r="E11" s="19"/>
      <c r="F11" s="4"/>
      <c r="G11" s="472" t="s">
        <v>6</v>
      </c>
      <c r="H11" s="10"/>
      <c r="I11" s="10"/>
      <c r="J11" s="10"/>
    </row>
    <row r="12" spans="1:11">
      <c r="A12" s="30"/>
      <c r="B12" s="69" t="s">
        <v>115</v>
      </c>
      <c r="C12" s="77">
        <f>SUMIF(Data!$B$72:$B$100,C5,Data!$E$72:$E$100)</f>
        <v>0.65</v>
      </c>
      <c r="D12" s="18"/>
      <c r="E12" s="18"/>
      <c r="F12" s="18"/>
      <c r="G12" s="474"/>
    </row>
    <row r="13" spans="1:11">
      <c r="A13" s="30"/>
      <c r="B13" s="69" t="s">
        <v>508</v>
      </c>
      <c r="C13" s="74">
        <f>INDEX(Data!$G$73:$G$100,MATCH($C$5,Data!$B$73:$B$100,0),0)</f>
        <v>2016</v>
      </c>
      <c r="D13" s="18"/>
      <c r="E13" s="18"/>
      <c r="F13" s="68" t="s">
        <v>190</v>
      </c>
    </row>
    <row r="14" spans="1:11">
      <c r="A14" s="30"/>
      <c r="B14" s="71" t="s">
        <v>184</v>
      </c>
      <c r="C14" s="74" t="str">
        <f>INDEX(Data!$H$73:$H$100,MATCH($C$5,Data!$B$73:$B$100,0),0)</f>
        <v>£m 12/13</v>
      </c>
      <c r="D14" s="18"/>
      <c r="E14" s="18"/>
      <c r="F14" s="80">
        <v>0.1</v>
      </c>
      <c r="G14" s="474"/>
    </row>
    <row r="15" spans="1:11">
      <c r="A15" s="30"/>
      <c r="B15" s="18"/>
      <c r="C15" s="18"/>
      <c r="D15" s="18"/>
      <c r="E15" s="18"/>
      <c r="F15" s="18"/>
      <c r="G15" s="474"/>
    </row>
    <row r="85" spans="1:1">
      <c r="A85" s="51"/>
    </row>
  </sheetData>
  <sheetProtection algorithmName="SHA-512" hashValue="V23X3HRzF/KOaf/v2PVAAhvqgh5uxKE/Llh/0NCXdRutJhxvxJNtX19WJKtkg69JsMPggetFy5EDbXk+GDvIfg==" saltValue="N7s/jd2yWFYg/6UylLYlBQ==" spinCount="100000" sheet="1" objects="1" scenarios="1"/>
  <pageMargins left="0.70866141732283472" right="0.70866141732283472" top="0.74803149606299213" bottom="0.74803149606299213" header="0.31496062992125984" footer="0.31496062992125984"/>
  <pageSetup paperSize="8" scale="7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pageSetUpPr fitToPage="1"/>
  </sheetPr>
  <dimension ref="A1:T268"/>
  <sheetViews>
    <sheetView showGridLines="0" zoomScale="69" zoomScaleNormal="69" workbookViewId="0">
      <pane ySplit="4" topLeftCell="A5" activePane="bottomLeft" state="frozen"/>
      <selection pane="bottomLeft"/>
    </sheetView>
  </sheetViews>
  <sheetFormatPr defaultRowHeight="13.5"/>
  <cols>
    <col min="1" max="1" width="8.3828125" customWidth="1"/>
    <col min="2" max="2" width="35.15234375" customWidth="1"/>
    <col min="8" max="8" width="10.15234375" bestFit="1" customWidth="1"/>
    <col min="14" max="14" width="9" customWidth="1"/>
  </cols>
  <sheetData>
    <row r="1" spans="1:14" ht="20">
      <c r="A1" s="769" t="s">
        <v>375</v>
      </c>
      <c r="B1" s="770"/>
      <c r="C1" s="770"/>
      <c r="D1" s="770"/>
      <c r="E1" s="770"/>
      <c r="F1" s="770"/>
      <c r="G1" s="770"/>
      <c r="H1" s="770"/>
      <c r="I1" s="770"/>
      <c r="J1" s="770"/>
      <c r="K1" s="770"/>
      <c r="L1" s="770"/>
      <c r="M1" s="770"/>
      <c r="N1" s="771"/>
    </row>
    <row r="2" spans="1:14" ht="20">
      <c r="A2" s="772" t="str">
        <f>'RFPR cover'!C5</f>
        <v>NPgN</v>
      </c>
      <c r="B2" s="767"/>
      <c r="C2" s="767"/>
      <c r="D2" s="767"/>
      <c r="E2" s="767"/>
      <c r="F2" s="767"/>
      <c r="G2" s="767"/>
      <c r="H2" s="767"/>
      <c r="I2" s="767"/>
      <c r="J2" s="767"/>
      <c r="K2" s="767"/>
      <c r="L2" s="767"/>
      <c r="M2" s="767"/>
      <c r="N2" s="773"/>
    </row>
    <row r="3" spans="1:14" ht="20">
      <c r="A3" s="774">
        <f>'RFPR cover'!C7</f>
        <v>2023</v>
      </c>
      <c r="B3" s="775"/>
      <c r="C3" s="775"/>
      <c r="D3" s="775"/>
      <c r="E3" s="775"/>
      <c r="F3" s="775"/>
      <c r="G3" s="775"/>
      <c r="H3" s="775"/>
      <c r="I3" s="775"/>
      <c r="J3" s="775"/>
      <c r="K3" s="775"/>
      <c r="L3" s="775"/>
      <c r="M3" s="775"/>
      <c r="N3" s="776"/>
    </row>
    <row r="6" spans="1:14">
      <c r="A6" s="30"/>
      <c r="B6" s="21">
        <v>2018</v>
      </c>
      <c r="C6" s="20" t="s">
        <v>63</v>
      </c>
      <c r="D6" s="18"/>
      <c r="E6" s="18"/>
      <c r="F6" s="719"/>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475" t="s">
        <v>39</v>
      </c>
      <c r="C13" s="476" t="s">
        <v>40</v>
      </c>
      <c r="D13" s="476" t="s">
        <v>191</v>
      </c>
      <c r="E13" s="476" t="s">
        <v>41</v>
      </c>
      <c r="F13" s="476" t="s">
        <v>42</v>
      </c>
      <c r="G13" s="477" t="s">
        <v>317</v>
      </c>
    </row>
    <row r="14" spans="1:14">
      <c r="A14" s="30"/>
      <c r="B14" s="148" t="s">
        <v>74</v>
      </c>
      <c r="C14" s="155">
        <v>2010</v>
      </c>
      <c r="D14" s="149" t="str">
        <f>IF(VALUE(C14)&lt;='RFPR cover'!$C$7,"Actual","Forecast")</f>
        <v>Actual</v>
      </c>
      <c r="E14" s="326">
        <v>215.767</v>
      </c>
      <c r="F14" s="430">
        <v>221.75</v>
      </c>
      <c r="G14" s="150">
        <v>0.28000000000000003</v>
      </c>
      <c r="H14" s="720"/>
      <c r="J14" s="721"/>
    </row>
    <row r="15" spans="1:14">
      <c r="A15" s="30"/>
      <c r="B15" s="151" t="s">
        <v>75</v>
      </c>
      <c r="C15" s="156">
        <v>2011</v>
      </c>
      <c r="D15" s="152" t="str">
        <f>IF(VALUE(C15)&lt;='RFPR cover'!$C$7,"Actual","Forecast")</f>
        <v>Actual</v>
      </c>
      <c r="E15" s="327">
        <v>226.47499999999999</v>
      </c>
      <c r="F15" s="431">
        <v>233.45</v>
      </c>
      <c r="G15" s="153">
        <v>0.28000000000000003</v>
      </c>
      <c r="H15" s="720"/>
      <c r="J15" s="721"/>
    </row>
    <row r="16" spans="1:14" ht="14.25" customHeight="1">
      <c r="A16" s="30"/>
      <c r="B16" s="151" t="s">
        <v>76</v>
      </c>
      <c r="C16" s="156">
        <v>2012</v>
      </c>
      <c r="D16" s="152" t="str">
        <f>IF(VALUE(C16)&lt;='RFPR cover'!$C$7,"Actual","Forecast")</f>
        <v>Actual</v>
      </c>
      <c r="E16" s="327">
        <v>237.34200000000001</v>
      </c>
      <c r="F16" s="431">
        <v>241.65</v>
      </c>
      <c r="G16" s="153">
        <v>0.26</v>
      </c>
      <c r="H16" s="720"/>
      <c r="J16" s="721"/>
    </row>
    <row r="17" spans="2:10">
      <c r="B17" s="151" t="s">
        <v>77</v>
      </c>
      <c r="C17" s="156">
        <v>2013</v>
      </c>
      <c r="D17" s="152" t="str">
        <f>IF(VALUE(C17)&lt;='RFPR cover'!$C$7,"Actual","Forecast")</f>
        <v>Actual</v>
      </c>
      <c r="E17" s="327">
        <v>244.67500000000001</v>
      </c>
      <c r="F17" s="431">
        <v>249.1</v>
      </c>
      <c r="G17" s="153">
        <v>0.24</v>
      </c>
      <c r="H17" s="720"/>
      <c r="J17" s="721"/>
    </row>
    <row r="18" spans="2:10">
      <c r="B18" s="151" t="s">
        <v>78</v>
      </c>
      <c r="C18" s="156">
        <v>2014</v>
      </c>
      <c r="D18" s="152" t="str">
        <f>IF(VALUE(C18)&lt;='RFPR cover'!$C$7,"Actual","Forecast")</f>
        <v>Actual</v>
      </c>
      <c r="E18" s="327">
        <v>251.733</v>
      </c>
      <c r="F18" s="431">
        <v>255.25</v>
      </c>
      <c r="G18" s="153">
        <v>0.23</v>
      </c>
      <c r="H18" s="720"/>
      <c r="I18" s="446"/>
      <c r="J18" s="721"/>
    </row>
    <row r="19" spans="2:10">
      <c r="B19" s="151" t="s">
        <v>79</v>
      </c>
      <c r="C19" s="156">
        <v>2015</v>
      </c>
      <c r="D19" s="152" t="str">
        <f>IF(VALUE(C19)&lt;='RFPR cover'!$C$7,"Actual","Forecast")</f>
        <v>Actual</v>
      </c>
      <c r="E19" s="327">
        <v>256.66699999999997</v>
      </c>
      <c r="F19" s="431">
        <v>257.55</v>
      </c>
      <c r="G19" s="153">
        <v>0.21</v>
      </c>
      <c r="H19" s="720"/>
      <c r="I19" s="446"/>
      <c r="J19" s="721"/>
    </row>
    <row r="20" spans="2:10">
      <c r="B20" s="151" t="s">
        <v>80</v>
      </c>
      <c r="C20" s="156">
        <v>2016</v>
      </c>
      <c r="D20" s="152" t="str">
        <f>IF(VALUE(C20)&lt;='RFPR cover'!$C$7,"Actual","Forecast")</f>
        <v>Actual</v>
      </c>
      <c r="E20" s="327">
        <v>259.43299999999999</v>
      </c>
      <c r="F20" s="431">
        <v>261.25</v>
      </c>
      <c r="G20" s="153">
        <v>0.2</v>
      </c>
      <c r="H20" s="720"/>
      <c r="I20" s="446"/>
      <c r="J20" s="721"/>
    </row>
    <row r="21" spans="2:10">
      <c r="B21" s="151" t="s">
        <v>81</v>
      </c>
      <c r="C21" s="156">
        <v>2017</v>
      </c>
      <c r="D21" s="152" t="str">
        <f>IF(VALUE(C21)&lt;='RFPR cover'!$C$7,"Actual","Forecast")</f>
        <v>Actual</v>
      </c>
      <c r="E21" s="327">
        <v>264.99200000000002</v>
      </c>
      <c r="F21" s="431">
        <v>269.95000000000005</v>
      </c>
      <c r="G21" s="153">
        <v>0.2</v>
      </c>
      <c r="H21" s="720"/>
      <c r="I21" s="446"/>
      <c r="J21" s="721"/>
    </row>
    <row r="22" spans="2:10">
      <c r="B22" s="151" t="s">
        <v>63</v>
      </c>
      <c r="C22" s="156">
        <v>2018</v>
      </c>
      <c r="D22" s="152" t="str">
        <f>IF(VALUE(C22)&lt;='RFPR cover'!$C$7,"Actual","Forecast")</f>
        <v>Actual</v>
      </c>
      <c r="E22" s="327">
        <v>274.90800000000002</v>
      </c>
      <c r="F22" s="431">
        <v>279</v>
      </c>
      <c r="G22" s="153">
        <v>0.19</v>
      </c>
      <c r="H22" s="720"/>
      <c r="I22" s="446"/>
      <c r="J22" s="721"/>
    </row>
    <row r="23" spans="2:10">
      <c r="B23" s="432" t="s">
        <v>64</v>
      </c>
      <c r="C23" s="156">
        <v>2019</v>
      </c>
      <c r="D23" s="152" t="str">
        <f>IF(VALUE(C23)&lt;='RFPR cover'!$C$7,"Actual","Forecast")</f>
        <v>Actual</v>
      </c>
      <c r="E23" s="327">
        <v>283.30799999999999</v>
      </c>
      <c r="F23" s="431">
        <v>286.64999999999998</v>
      </c>
      <c r="G23" s="153">
        <v>0.19</v>
      </c>
      <c r="H23" s="720"/>
      <c r="J23" s="721"/>
    </row>
    <row r="24" spans="2:10">
      <c r="B24" s="432" t="s">
        <v>65</v>
      </c>
      <c r="C24" s="156">
        <v>2020</v>
      </c>
      <c r="D24" s="152" t="str">
        <f>IF(VALUE(C24)&lt;='RFPR cover'!$C$7,"Actual","Forecast")</f>
        <v>Actual</v>
      </c>
      <c r="E24" s="327">
        <v>290.642</v>
      </c>
      <c r="F24" s="431">
        <v>292.60000000000002</v>
      </c>
      <c r="G24" s="153">
        <v>0.19</v>
      </c>
      <c r="H24" s="720"/>
      <c r="J24" s="721"/>
    </row>
    <row r="25" spans="2:10">
      <c r="B25" s="432" t="s">
        <v>66</v>
      </c>
      <c r="C25" s="156">
        <v>2021</v>
      </c>
      <c r="D25" s="152" t="str">
        <f>IF(VALUE(C25)&lt;='RFPR cover'!$C$7,"Actual","Forecast")</f>
        <v>Actual</v>
      </c>
      <c r="E25" s="327">
        <v>294.16699999999997</v>
      </c>
      <c r="F25" s="431">
        <v>299</v>
      </c>
      <c r="G25" s="153">
        <v>0.19</v>
      </c>
      <c r="H25" s="720"/>
      <c r="J25" s="721"/>
    </row>
    <row r="26" spans="2:10">
      <c r="B26" s="432" t="s">
        <v>67</v>
      </c>
      <c r="C26" s="156">
        <v>2022</v>
      </c>
      <c r="D26" s="152" t="str">
        <f>IF(VALUE(C26)&lt;='RFPR cover'!$C$7,"Actual","Forecast")</f>
        <v>Actual</v>
      </c>
      <c r="E26" s="327">
        <v>311.15800000000002</v>
      </c>
      <c r="F26" s="431">
        <f>(323.5+334.6)/2</f>
        <v>329.05</v>
      </c>
      <c r="G26" s="153">
        <v>0.19</v>
      </c>
      <c r="H26" s="806"/>
      <c r="J26" s="721"/>
    </row>
    <row r="27" spans="2:10">
      <c r="B27" s="432" t="s">
        <v>68</v>
      </c>
      <c r="C27" s="156">
        <v>2023</v>
      </c>
      <c r="D27" s="152" t="str">
        <f>IF(VALUE(C27)&lt;='RFPR cover'!$C$7,"Actual","Forecast")</f>
        <v>Actual</v>
      </c>
      <c r="E27" s="327">
        <v>351.21699999999998</v>
      </c>
      <c r="F27" s="431">
        <v>369.68599999999998</v>
      </c>
      <c r="G27" s="153">
        <v>0.19</v>
      </c>
      <c r="H27" s="720"/>
      <c r="J27" s="721"/>
    </row>
    <row r="28" spans="2:10">
      <c r="B28" s="432" t="s">
        <v>204</v>
      </c>
      <c r="C28" s="156">
        <v>2024</v>
      </c>
      <c r="D28" s="152" t="str">
        <f>IF(VALUE(C28)&lt;='RFPR cover'!$C$7,"Actual","Forecast")</f>
        <v>Forecast</v>
      </c>
      <c r="E28" s="329"/>
      <c r="F28" s="329"/>
      <c r="G28" s="153">
        <v>0.25</v>
      </c>
    </row>
    <row r="29" spans="2:10">
      <c r="B29" s="432" t="s">
        <v>205</v>
      </c>
      <c r="C29" s="156">
        <v>2025</v>
      </c>
      <c r="D29" s="152" t="str">
        <f>IF(VALUE(C29)&lt;='RFPR cover'!$C$7,"Actual","Forecast")</f>
        <v>Forecast</v>
      </c>
      <c r="E29" s="329"/>
      <c r="F29" s="329"/>
      <c r="G29" s="153">
        <v>0.25</v>
      </c>
    </row>
    <row r="30" spans="2:10">
      <c r="B30" s="433" t="s">
        <v>206</v>
      </c>
      <c r="C30" s="434">
        <v>2026</v>
      </c>
      <c r="D30" s="154" t="str">
        <f>IF(VALUE(C30)&lt;='RFPR cover'!$C$7,"Actual","Forecast")</f>
        <v>Forecast</v>
      </c>
      <c r="E30" s="328"/>
      <c r="F30" s="328"/>
      <c r="G30" s="153">
        <v>0.25</v>
      </c>
    </row>
    <row r="31" spans="2:10">
      <c r="B31" s="79"/>
      <c r="C31" s="58"/>
      <c r="D31" s="58"/>
      <c r="E31" s="58"/>
      <c r="F31" s="58"/>
    </row>
    <row r="32" spans="2:10">
      <c r="B32" s="79"/>
      <c r="C32" s="300" t="str">
        <f>IF(C33&lt;='RFPR cover'!$C$7,"Actuals","Forecast")</f>
        <v>Actuals</v>
      </c>
      <c r="D32" s="301" t="str">
        <f>IF(D33&lt;='RFPR cover'!$C$7,"Actuals","Forecast")</f>
        <v>Actuals</v>
      </c>
      <c r="E32" s="301" t="str">
        <f>IF(E33&lt;='RFPR cover'!$C$7,"Actuals","Forecast")</f>
        <v>Actuals</v>
      </c>
      <c r="F32" s="301" t="str">
        <f>IF(F33&lt;='RFPR cover'!$C$7,"Actuals","Forecast")</f>
        <v>Actuals</v>
      </c>
      <c r="G32" s="301" t="str">
        <f>IF(G33&lt;='RFPR cover'!$C$7,"Actuals","Forecast")</f>
        <v>Actuals</v>
      </c>
      <c r="H32" s="301" t="str">
        <f>IF(H33&lt;='RFPR cover'!$C$7,"Actuals","Forecast")</f>
        <v>Actuals</v>
      </c>
      <c r="I32" s="301" t="str">
        <f>IF(I33&lt;='RFPR cover'!$C$7,"Actuals","Forecast")</f>
        <v>Actuals</v>
      </c>
      <c r="J32" s="302" t="str">
        <f>IF(J33&lt;='RFPR cover'!$C$7,"Actuals","Forecast")</f>
        <v>Actuals</v>
      </c>
    </row>
    <row r="33" spans="2:18" ht="15.75" customHeight="1">
      <c r="B33" s="257"/>
      <c r="C33" s="81">
        <f>'RFPR cover'!$C$13</f>
        <v>2016</v>
      </c>
      <c r="D33" s="82">
        <f t="shared" ref="D33:J33" si="0">C33+1</f>
        <v>2017</v>
      </c>
      <c r="E33" s="82">
        <f t="shared" si="0"/>
        <v>2018</v>
      </c>
      <c r="F33" s="82">
        <f t="shared" si="0"/>
        <v>2019</v>
      </c>
      <c r="G33" s="82">
        <f t="shared" si="0"/>
        <v>2020</v>
      </c>
      <c r="H33" s="82">
        <f t="shared" si="0"/>
        <v>2021</v>
      </c>
      <c r="I33" s="82">
        <f t="shared" si="0"/>
        <v>2022</v>
      </c>
      <c r="J33" s="283">
        <f t="shared" si="0"/>
        <v>2023</v>
      </c>
    </row>
    <row r="34" spans="2:18" ht="15.75" customHeight="1">
      <c r="B34" s="428" t="s">
        <v>376</v>
      </c>
      <c r="C34" s="426">
        <f>INDEX(Data!$E$14:$E$30,MATCH(C$33,Data!$C$14:$C$30,0),0)/IF('RFPR cover'!$C$6="ED1",Data!$E$17,Data!$E$14)</f>
        <v>1.0603167467048125</v>
      </c>
      <c r="D34" s="423">
        <f>INDEX(Data!$E$14:$E$30,MATCH(D$33,Data!$C$14:$C$30,0),0)/IF('RFPR cover'!$C$6="ED1",Data!$E$17,Data!$E$14)</f>
        <v>1.0830366813119445</v>
      </c>
      <c r="E34" s="423">
        <f>INDEX(Data!$E$14:$E$30,MATCH(E$33,Data!$C$14:$C$30,0),0)/IF('RFPR cover'!$C$6="ED1",Data!$E$17,Data!$E$14)</f>
        <v>1.1235639113109226</v>
      </c>
      <c r="F34" s="423">
        <f>INDEX(Data!$E$14:$E$30,MATCH(F$33,Data!$C$14:$C$30,0),0)/IF('RFPR cover'!$C$6="ED1",Data!$E$17,Data!$E$14)</f>
        <v>1.1578951670583426</v>
      </c>
      <c r="G34" s="423">
        <f>INDEX(Data!$E$14:$E$30,MATCH(G$33,Data!$C$14:$C$30,0),0)/IF('RFPR cover'!$C$6="ED1",Data!$E$17,Data!$E$14)</f>
        <v>1.1878696229692449</v>
      </c>
      <c r="H34" s="423">
        <f>INDEX(Data!$E$14:$E$30,MATCH(H$33,Data!$C$14:$C$30,0),0)/IF('RFPR cover'!$C$6="ED1",Data!$E$17,Data!$E$14)</f>
        <v>1.2022764892203943</v>
      </c>
      <c r="I34" s="424">
        <f>INDEX(Data!$E$14:$E$30,MATCH(I$33,Data!$C$14:$C$30,0),0)/IF('RFPR cover'!$C$6="ED1",Data!$E$17,Data!$E$14)</f>
        <v>1.2717196280780627</v>
      </c>
      <c r="J34" s="425">
        <f>INDEX(Data!$E$14:$E$30,MATCH(J$33,Data!$C$14:$C$30,0),0)/IF('RFPR cover'!$C$6="ED1",Data!$E$17,Data!$E$14)</f>
        <v>1.4354429345049555</v>
      </c>
    </row>
    <row r="35" spans="2:18" ht="15.75" customHeight="1">
      <c r="B35" s="429" t="s">
        <v>42</v>
      </c>
      <c r="C35" s="427">
        <f>INDEX(Data!$F$14:$F$30,MATCH(C$33,Data!$C$14:$C$30,0),0)/IF('RFPR cover'!$C$6="ED1",Data!$E$17,Data!$E$14)</f>
        <v>1.0677429242873198</v>
      </c>
      <c r="D35" s="427">
        <f>INDEX(Data!$F$14:$F$30,MATCH(D$33,Data!$C$14:$C$30,0),0)/IF('RFPR cover'!$C$6="ED1",Data!$E$17,Data!$E$14)</f>
        <v>1.1033002963114336</v>
      </c>
      <c r="E35" s="427">
        <f>INDEX(Data!$F$14:$F$30,MATCH(E$33,Data!$C$14:$C$30,0),0)/IF('RFPR cover'!$C$6="ED1",Data!$E$17,Data!$E$14)</f>
        <v>1.1402881373250229</v>
      </c>
      <c r="F35" s="427">
        <f>INDEX(Data!$F$14:$F$30,MATCH(F$33,Data!$C$14:$C$30,0),0)/IF('RFPR cover'!$C$6="ED1",Data!$E$17,Data!$E$14)</f>
        <v>1.171554102380709</v>
      </c>
      <c r="G35" s="427">
        <f>INDEX(Data!$F$14:$F$30,MATCH(G$33,Data!$C$14:$C$30,0),0)/IF('RFPR cover'!$C$6="ED1",Data!$E$17,Data!$E$14)</f>
        <v>1.1958720752017984</v>
      </c>
      <c r="H35" s="427">
        <f>INDEX(Data!$F$14:$F$30,MATCH(H$33,Data!$C$14:$C$30,0),0)/IF('RFPR cover'!$C$6="ED1",Data!$E$17,Data!$E$14)</f>
        <v>1.2220292224379279</v>
      </c>
      <c r="I35" s="427">
        <f>INDEX(Data!$F$14:$F$30,MATCH(I$33,Data!$C$14:$C$30,0),0)/IF('RFPR cover'!$C$6="ED1",Data!$E$17,Data!$E$14)</f>
        <v>1.3448452028200675</v>
      </c>
      <c r="J35" s="427">
        <f>INDEX(Data!$F$14:$F$30,MATCH(J$33,Data!$C$14:$C$30,0),0)/IF('RFPR cover'!$C$6="ED1",Data!$E$17,Data!$E$14)</f>
        <v>1.5109267395524675</v>
      </c>
    </row>
    <row r="36" spans="2:18">
      <c r="B36" s="429" t="s">
        <v>503</v>
      </c>
      <c r="C36" s="427">
        <f>INDEX(Data!$E$14:$E$30,MATCH(C$33,Data!$C$14:$C$30,0))/INDEX(Data!$E$14:$E$30,MATCH(C$33-1,Data!$C$14:$C$30,0))</f>
        <v>1.0107766093810269</v>
      </c>
      <c r="D36" s="427">
        <f>INDEX(Data!$E$14:$E$30,MATCH(D$33,Data!$C$14:$C$30,0))/INDEX(Data!$E$14:$E$30,MATCH(D$33-1,Data!$C$14:$C$30,0))</f>
        <v>1.0214274976583551</v>
      </c>
      <c r="E36" s="427">
        <f>INDEX(Data!$E$14:$E$30,MATCH(E$33,Data!$C$14:$C$30,0))/INDEX(Data!$E$14:$E$30,MATCH(E$33-1,Data!$C$14:$C$30,0))</f>
        <v>1.0374199975848328</v>
      </c>
      <c r="F36" s="427">
        <f>INDEX(Data!$E$14:$E$30,MATCH(F$33,Data!$C$14:$C$30,0))/INDEX(Data!$E$14:$E$30,MATCH(F$33-1,Data!$C$14:$C$30,0))</f>
        <v>1.0305556768082411</v>
      </c>
      <c r="G36" s="427">
        <f>INDEX(Data!$E$14:$E$30,MATCH(G$33,Data!$C$14:$C$30,0))/INDEX(Data!$E$14:$E$30,MATCH(G$33-1,Data!$C$14:$C$30,0))</f>
        <v>1.0258870204865376</v>
      </c>
      <c r="H36" s="427">
        <f>INDEX(Data!$E$14:$E$30,MATCH(H$33,Data!$C$14:$C$30,0))/INDEX(Data!$E$14:$E$30,MATCH(H$33-1,Data!$C$14:$C$30,0))</f>
        <v>1.0121283228163858</v>
      </c>
      <c r="I36" s="427">
        <f>INDEX(Data!$E$14:$E$30,MATCH(I$33,Data!$C$14:$C$30,0))/INDEX(Data!$E$14:$E$30,MATCH(I$33-1,Data!$C$14:$C$30,0))</f>
        <v>1.057759707921011</v>
      </c>
      <c r="J36" s="427">
        <f>INDEX(Data!$E$14:$E$30,MATCH(J$33,Data!$C$14:$C$30,0))/INDEX(Data!$E$14:$E$30,MATCH(J$33-1,Data!$C$14:$C$30,0))</f>
        <v>1.1287416682200038</v>
      </c>
    </row>
    <row r="37" spans="2:18" ht="15.75" customHeight="1">
      <c r="B37" s="14" t="s">
        <v>274</v>
      </c>
      <c r="F37" s="446"/>
    </row>
    <row r="38" spans="2:18">
      <c r="C38" s="439" t="s">
        <v>275</v>
      </c>
      <c r="D38" s="108">
        <v>2017</v>
      </c>
      <c r="E38" s="109">
        <f t="shared" ref="E38:J38" si="1">D38+1</f>
        <v>2018</v>
      </c>
      <c r="F38" s="109">
        <f t="shared" si="1"/>
        <v>2019</v>
      </c>
      <c r="G38" s="109">
        <f t="shared" si="1"/>
        <v>2020</v>
      </c>
      <c r="H38" s="109">
        <f t="shared" si="1"/>
        <v>2021</v>
      </c>
      <c r="I38" s="109">
        <f t="shared" si="1"/>
        <v>2022</v>
      </c>
      <c r="J38" s="180">
        <f t="shared" si="1"/>
        <v>2023</v>
      </c>
      <c r="K38" s="825" t="s">
        <v>386</v>
      </c>
      <c r="L38" s="825"/>
      <c r="M38" s="825"/>
    </row>
    <row r="39" spans="2:18">
      <c r="B39" t="s">
        <v>387</v>
      </c>
      <c r="D39" s="673"/>
      <c r="E39" s="673"/>
      <c r="F39" s="673"/>
      <c r="G39" s="673"/>
      <c r="H39" s="673"/>
      <c r="I39" s="673"/>
      <c r="J39" s="673"/>
      <c r="K39" s="826"/>
      <c r="L39" s="826"/>
      <c r="M39" s="826"/>
      <c r="N39" s="806"/>
      <c r="P39" s="845"/>
      <c r="Q39" s="845"/>
      <c r="R39" s="845"/>
    </row>
    <row r="41" spans="2:18">
      <c r="B41" s="14" t="s">
        <v>276</v>
      </c>
    </row>
    <row r="42" spans="2:18">
      <c r="C42" s="439" t="s">
        <v>277</v>
      </c>
      <c r="D42" s="108">
        <v>2017</v>
      </c>
      <c r="E42" s="109">
        <f t="shared" ref="E42:J42" si="2">D42+1</f>
        <v>2018</v>
      </c>
      <c r="F42" s="109">
        <f t="shared" si="2"/>
        <v>2019</v>
      </c>
      <c r="G42" s="109">
        <f t="shared" si="2"/>
        <v>2020</v>
      </c>
      <c r="H42" s="109">
        <f t="shared" si="2"/>
        <v>2021</v>
      </c>
      <c r="I42" s="109">
        <f t="shared" si="2"/>
        <v>2022</v>
      </c>
      <c r="J42" s="180">
        <f t="shared" si="2"/>
        <v>2023</v>
      </c>
    </row>
    <row r="43" spans="2:18">
      <c r="B43" t="s">
        <v>278</v>
      </c>
      <c r="D43" s="494"/>
      <c r="E43" s="495"/>
      <c r="F43" s="495"/>
      <c r="G43" s="495"/>
      <c r="H43" s="495"/>
      <c r="I43" s="495"/>
      <c r="J43" s="495"/>
    </row>
    <row r="45" spans="2:18">
      <c r="B45" s="282" t="str">
        <f>"Selected Capitalisation rates for "&amp;'RFPR cover'!C5</f>
        <v>Selected Capitalisation rates for NPgN</v>
      </c>
      <c r="C45" s="243"/>
      <c r="D45" s="243"/>
      <c r="E45" s="243"/>
      <c r="F45" s="243"/>
      <c r="G45" s="243"/>
      <c r="H45" s="243"/>
      <c r="I45" s="243"/>
      <c r="J45" s="243"/>
      <c r="K45" s="243"/>
      <c r="L45" s="243"/>
      <c r="M45" s="254"/>
    </row>
    <row r="46" spans="2:18">
      <c r="B46" s="184"/>
      <c r="M46" s="185"/>
    </row>
    <row r="47" spans="2:18">
      <c r="B47" s="184"/>
      <c r="C47" s="281" t="s">
        <v>251</v>
      </c>
      <c r="M47" s="185"/>
    </row>
    <row r="48" spans="2:18">
      <c r="B48" s="284" t="str">
        <f>INDEX($G$54:$G$57,MATCH(LEFT('RFPR cover'!$C$6,2),Data!$E$54:$E$57,0),0)</f>
        <v>Totex</v>
      </c>
      <c r="C48" s="280">
        <f>INDEX($F$73:$F$100,MATCH('RFPR cover'!$C$5,Data!$B$73:$B$100,0),0)</f>
        <v>0.7</v>
      </c>
      <c r="M48" s="185"/>
    </row>
    <row r="49" spans="2:20">
      <c r="B49" s="285"/>
      <c r="M49" s="185"/>
    </row>
    <row r="50" spans="2:20">
      <c r="B50" s="285"/>
      <c r="C50" s="81">
        <v>2014</v>
      </c>
      <c r="D50" s="82">
        <f t="shared" ref="D50:J50" si="3">C50+1</f>
        <v>2015</v>
      </c>
      <c r="E50" s="82">
        <f t="shared" si="3"/>
        <v>2016</v>
      </c>
      <c r="F50" s="82">
        <f t="shared" si="3"/>
        <v>2017</v>
      </c>
      <c r="G50" s="82">
        <f t="shared" si="3"/>
        <v>2018</v>
      </c>
      <c r="H50" s="82">
        <f t="shared" si="3"/>
        <v>2019</v>
      </c>
      <c r="I50" s="82">
        <f t="shared" si="3"/>
        <v>2020</v>
      </c>
      <c r="J50" s="82">
        <f t="shared" si="3"/>
        <v>2021</v>
      </c>
      <c r="M50" s="185"/>
    </row>
    <row r="51" spans="2:20">
      <c r="B51" s="284" t="str">
        <f>INDEX($J$54:$J$57,MATCH(LEFT('RFPR cover'!$C$6,2),Data!$E$54:$E$57,0),0)</f>
        <v>n/a</v>
      </c>
      <c r="C51" s="286">
        <f>IFERROR(INDEX(C$106:C$115,MATCH('RFPR cover'!$C$5,Data!$B$106:$B$115,0),0),0)</f>
        <v>0</v>
      </c>
      <c r="D51" s="269">
        <f>IFERROR(INDEX(D$106:D$115,MATCH('RFPR cover'!$C$5,Data!$B$106:$B$115,0),0),0)</f>
        <v>0</v>
      </c>
      <c r="E51" s="269">
        <f>IFERROR(INDEX(E$106:E$115,MATCH('RFPR cover'!$C$5,Data!$B$106:$B$115,0),0),0)</f>
        <v>0</v>
      </c>
      <c r="F51" s="269">
        <f>IFERROR(INDEX(F$106:F$115,MATCH('RFPR cover'!$C$5,Data!$B$106:$B$115,0),0),0)</f>
        <v>0</v>
      </c>
      <c r="G51" s="269">
        <f>IFERROR(INDEX(G$106:G$115,MATCH('RFPR cover'!$C$5,Data!$B$106:$B$115,0),0),0)</f>
        <v>0</v>
      </c>
      <c r="H51" s="269">
        <f>IFERROR(INDEX(H$106:H$115,MATCH('RFPR cover'!$C$5,Data!$B$106:$B$115,0),0),0)</f>
        <v>0</v>
      </c>
      <c r="I51" s="269">
        <f>IFERROR(INDEX(I$106:I$115,MATCH('RFPR cover'!$C$5,Data!$B$106:$B$115,0),0),0)</f>
        <v>0</v>
      </c>
      <c r="J51" s="269">
        <f>IFERROR(INDEX(J$106:J$115,MATCH('RFPR cover'!$C$5,Data!$B$106:$B$115,0),0),0)</f>
        <v>0</v>
      </c>
      <c r="M51" s="185"/>
    </row>
    <row r="52" spans="2:20">
      <c r="B52" s="263"/>
      <c r="C52" s="264"/>
      <c r="D52" s="264"/>
      <c r="E52" s="264"/>
      <c r="F52" s="264"/>
      <c r="G52" s="264"/>
      <c r="H52" s="264"/>
      <c r="I52" s="264"/>
      <c r="J52" s="264"/>
      <c r="K52" s="264"/>
      <c r="L52" s="264"/>
      <c r="M52" s="265"/>
    </row>
    <row r="54" spans="2:20">
      <c r="B54" s="181"/>
      <c r="C54" s="181"/>
      <c r="E54" s="270" t="s">
        <v>171</v>
      </c>
      <c r="F54" s="294" t="s">
        <v>158</v>
      </c>
      <c r="G54" s="830" t="s">
        <v>252</v>
      </c>
      <c r="H54" s="831"/>
      <c r="I54" s="832"/>
      <c r="J54" s="839" t="s">
        <v>254</v>
      </c>
      <c r="K54" s="840"/>
    </row>
    <row r="55" spans="2:20">
      <c r="B55" s="181"/>
      <c r="C55" s="181"/>
      <c r="E55" s="271" t="s">
        <v>173</v>
      </c>
      <c r="F55" s="295" t="s">
        <v>183</v>
      </c>
      <c r="G55" s="833" t="s">
        <v>252</v>
      </c>
      <c r="H55" s="834"/>
      <c r="I55" s="835"/>
      <c r="J55" s="841" t="s">
        <v>254</v>
      </c>
      <c r="K55" s="842"/>
    </row>
    <row r="56" spans="2:20">
      <c r="B56" s="181"/>
      <c r="C56" s="181"/>
      <c r="E56" s="271" t="s">
        <v>172</v>
      </c>
      <c r="F56" s="295" t="s">
        <v>183</v>
      </c>
      <c r="G56" s="833" t="s">
        <v>243</v>
      </c>
      <c r="H56" s="834"/>
      <c r="I56" s="835"/>
      <c r="J56" s="841" t="s">
        <v>244</v>
      </c>
      <c r="K56" s="842"/>
    </row>
    <row r="57" spans="2:20">
      <c r="B57" s="181"/>
      <c r="C57" s="181"/>
      <c r="E57" s="272" t="s">
        <v>174</v>
      </c>
      <c r="F57" s="296" t="s">
        <v>183</v>
      </c>
      <c r="G57" s="836" t="s">
        <v>253</v>
      </c>
      <c r="H57" s="837"/>
      <c r="I57" s="838"/>
      <c r="J57" s="843" t="s">
        <v>255</v>
      </c>
      <c r="K57" s="844"/>
    </row>
    <row r="58" spans="2:20">
      <c r="B58" s="181"/>
      <c r="C58" s="181"/>
      <c r="E58" s="181"/>
      <c r="F58" s="390"/>
      <c r="G58" s="391"/>
      <c r="H58" s="391"/>
      <c r="I58" s="391"/>
      <c r="J58" s="183"/>
      <c r="K58" s="183"/>
    </row>
    <row r="59" spans="2:20">
      <c r="B59" s="392"/>
      <c r="C59" s="392"/>
      <c r="D59" s="197"/>
      <c r="E59" s="392"/>
      <c r="F59" s="393"/>
      <c r="G59" s="394"/>
      <c r="H59" s="394"/>
      <c r="I59" s="394"/>
      <c r="J59" s="395"/>
      <c r="K59" s="395"/>
      <c r="L59" s="197"/>
      <c r="M59" s="197"/>
      <c r="N59" s="197"/>
      <c r="O59" s="197"/>
      <c r="P59" s="197"/>
      <c r="Q59" s="197"/>
      <c r="R59" s="197"/>
      <c r="S59" s="197"/>
      <c r="T59" s="197"/>
    </row>
    <row r="60" spans="2:20">
      <c r="B60" s="181"/>
      <c r="C60" s="181"/>
      <c r="E60" s="181"/>
      <c r="F60" s="390"/>
      <c r="G60" s="391"/>
      <c r="H60" s="391"/>
      <c r="I60" s="391"/>
      <c r="J60" s="183"/>
      <c r="K60" s="183"/>
    </row>
    <row r="61" spans="2:20">
      <c r="B61" s="389" t="s">
        <v>348</v>
      </c>
      <c r="I61" s="58"/>
    </row>
    <row r="62" spans="2:20">
      <c r="C62" s="108">
        <v>2014</v>
      </c>
      <c r="D62" s="109">
        <f t="shared" ref="D62:L62" si="4">C62+1</f>
        <v>2015</v>
      </c>
      <c r="E62" s="109">
        <f t="shared" si="4"/>
        <v>2016</v>
      </c>
      <c r="F62" s="109">
        <f t="shared" si="4"/>
        <v>2017</v>
      </c>
      <c r="G62" s="109">
        <f t="shared" si="4"/>
        <v>2018</v>
      </c>
      <c r="H62" s="109">
        <f t="shared" si="4"/>
        <v>2019</v>
      </c>
      <c r="I62" s="109">
        <f t="shared" si="4"/>
        <v>2020</v>
      </c>
      <c r="J62" s="109">
        <f t="shared" si="4"/>
        <v>2021</v>
      </c>
      <c r="K62" s="109">
        <f t="shared" si="4"/>
        <v>2022</v>
      </c>
      <c r="L62" s="180">
        <f t="shared" si="4"/>
        <v>2023</v>
      </c>
    </row>
    <row r="63" spans="2:20">
      <c r="B63" s="386" t="s">
        <v>346</v>
      </c>
      <c r="C63" s="490"/>
      <c r="D63" s="491"/>
      <c r="E63" s="384">
        <v>2.5499999999999998E-2</v>
      </c>
      <c r="F63" s="384">
        <v>2.3799999999999998E-2</v>
      </c>
      <c r="G63" s="384">
        <v>2.2200000000000001E-2</v>
      </c>
      <c r="H63" s="384">
        <v>1.9099999999999999E-2</v>
      </c>
      <c r="I63" s="384">
        <v>1.5800000000000002E-2</v>
      </c>
      <c r="J63" s="384">
        <v>1.09E-2</v>
      </c>
      <c r="K63" s="384">
        <v>7.6E-3</v>
      </c>
      <c r="L63" s="385">
        <v>3.8999999999999998E-3</v>
      </c>
    </row>
    <row r="64" spans="2:20">
      <c r="B64" s="387" t="s">
        <v>333</v>
      </c>
      <c r="C64" s="478"/>
      <c r="D64" s="479"/>
      <c r="E64" s="351">
        <v>2.5499999999999998E-2</v>
      </c>
      <c r="F64" s="351">
        <v>2.4199999999999999E-2</v>
      </c>
      <c r="G64" s="351">
        <v>2.29E-2</v>
      </c>
      <c r="H64" s="351">
        <v>2.0899999999999998E-2</v>
      </c>
      <c r="I64" s="351">
        <v>1.9400000000000001E-2</v>
      </c>
      <c r="J64" s="351">
        <v>1.78E-2</v>
      </c>
      <c r="K64" s="351">
        <v>1.6199999999999999E-2</v>
      </c>
      <c r="L64" s="354">
        <v>1.44E-2</v>
      </c>
    </row>
    <row r="65" spans="1:20">
      <c r="B65" s="387" t="s">
        <v>61</v>
      </c>
      <c r="C65" s="350">
        <v>2.92E-2</v>
      </c>
      <c r="D65" s="351">
        <v>2.5000000000000001E-2</v>
      </c>
      <c r="E65" s="351">
        <v>2.1499999999999998E-2</v>
      </c>
      <c r="F65" s="351">
        <v>1.7899999999999999E-2</v>
      </c>
      <c r="G65" s="351">
        <v>1.5100000000000001E-2</v>
      </c>
      <c r="H65" s="351">
        <v>1.1599999999999999E-2</v>
      </c>
      <c r="I65" s="351">
        <v>1.0200000000000001E-2</v>
      </c>
      <c r="J65" s="351">
        <v>7.6E-3</v>
      </c>
      <c r="K65" s="492"/>
      <c r="L65" s="493"/>
    </row>
    <row r="66" spans="1:20">
      <c r="B66" s="387" t="s">
        <v>347</v>
      </c>
      <c r="C66" s="382">
        <v>2.92E-2</v>
      </c>
      <c r="D66" s="383">
        <v>2.7199999999999998E-2</v>
      </c>
      <c r="E66" s="383">
        <v>2.5499999999999998E-2</v>
      </c>
      <c r="F66" s="383">
        <v>2.3800000000000002E-2</v>
      </c>
      <c r="G66" s="383">
        <v>2.2200000000000001E-2</v>
      </c>
      <c r="H66" s="383">
        <v>1.9099999999999999E-2</v>
      </c>
      <c r="I66" s="383">
        <v>1.5800000000000002E-2</v>
      </c>
      <c r="J66" s="383">
        <v>1.09E-2</v>
      </c>
      <c r="K66" s="479"/>
      <c r="L66" s="480"/>
    </row>
    <row r="67" spans="1:20">
      <c r="B67" s="387" t="s">
        <v>172</v>
      </c>
      <c r="C67" s="350">
        <v>2.92E-2</v>
      </c>
      <c r="D67" s="351">
        <v>2.7199999999999998E-2</v>
      </c>
      <c r="E67" s="351">
        <v>2.5499999999999998E-2</v>
      </c>
      <c r="F67" s="351">
        <v>2.3800000000000002E-2</v>
      </c>
      <c r="G67" s="351">
        <v>2.2200000000000001E-2</v>
      </c>
      <c r="H67" s="383">
        <v>1.9099999999999999E-2</v>
      </c>
      <c r="I67" s="383">
        <v>1.5800000000000002E-2</v>
      </c>
      <c r="J67" s="383">
        <v>1.09E-2</v>
      </c>
      <c r="K67" s="479"/>
      <c r="L67" s="480"/>
    </row>
    <row r="68" spans="1:20">
      <c r="B68" s="388" t="s">
        <v>174</v>
      </c>
      <c r="C68" s="352">
        <v>2.92E-2</v>
      </c>
      <c r="D68" s="353">
        <v>2.7199999999999998E-2</v>
      </c>
      <c r="E68" s="353">
        <v>2.5499999999999998E-2</v>
      </c>
      <c r="F68" s="353">
        <v>2.3800000000000002E-2</v>
      </c>
      <c r="G68" s="353">
        <v>2.2200000000000001E-2</v>
      </c>
      <c r="H68" s="353">
        <v>1.9099999999999999E-2</v>
      </c>
      <c r="I68" s="353">
        <v>1.5800000000000002E-2</v>
      </c>
      <c r="J68" s="353">
        <v>1.09E-2</v>
      </c>
      <c r="K68" s="481"/>
      <c r="L68" s="482"/>
    </row>
    <row r="69" spans="1:20">
      <c r="I69" s="58"/>
    </row>
    <row r="70" spans="1:20">
      <c r="H70" s="58"/>
    </row>
    <row r="71" spans="1:20" ht="40.5">
      <c r="B71" s="22"/>
      <c r="C71" s="65" t="s">
        <v>250</v>
      </c>
      <c r="D71" s="66" t="s">
        <v>211</v>
      </c>
      <c r="E71" s="66" t="s">
        <v>72</v>
      </c>
      <c r="F71" s="66" t="s">
        <v>273</v>
      </c>
      <c r="G71" s="66" t="s">
        <v>116</v>
      </c>
      <c r="H71" s="67" t="s">
        <v>185</v>
      </c>
      <c r="I71" s="293" t="s">
        <v>268</v>
      </c>
      <c r="J71" s="293" t="s">
        <v>480</v>
      </c>
      <c r="K71" s="827" t="s">
        <v>342</v>
      </c>
      <c r="L71" s="828"/>
      <c r="M71" s="828"/>
      <c r="N71" s="828"/>
      <c r="O71" s="828"/>
      <c r="P71" s="828"/>
      <c r="Q71" s="828"/>
      <c r="R71" s="828"/>
      <c r="S71" s="828"/>
      <c r="T71" s="829"/>
    </row>
    <row r="72" spans="1:20">
      <c r="A72" s="297" t="s">
        <v>188</v>
      </c>
      <c r="B72" s="59" t="s">
        <v>69</v>
      </c>
      <c r="C72" s="273"/>
      <c r="D72" s="61"/>
      <c r="E72" s="60"/>
      <c r="F72" s="60"/>
      <c r="G72" s="61"/>
      <c r="H72" s="62"/>
      <c r="I72" s="62"/>
      <c r="J72" s="373"/>
      <c r="K72" s="374">
        <v>2014</v>
      </c>
      <c r="L72" s="375">
        <f t="shared" ref="L72:T72" si="5">K72+1</f>
        <v>2015</v>
      </c>
      <c r="M72" s="375">
        <f t="shared" si="5"/>
        <v>2016</v>
      </c>
      <c r="N72" s="375">
        <f t="shared" si="5"/>
        <v>2017</v>
      </c>
      <c r="O72" s="375">
        <f t="shared" si="5"/>
        <v>2018</v>
      </c>
      <c r="P72" s="375">
        <f t="shared" si="5"/>
        <v>2019</v>
      </c>
      <c r="Q72" s="375">
        <f t="shared" si="5"/>
        <v>2020</v>
      </c>
      <c r="R72" s="375">
        <f t="shared" si="5"/>
        <v>2021</v>
      </c>
      <c r="S72" s="375">
        <f t="shared" si="5"/>
        <v>2022</v>
      </c>
      <c r="T72" s="376">
        <f t="shared" si="5"/>
        <v>2023</v>
      </c>
    </row>
    <row r="73" spans="1:20">
      <c r="A73" s="51" t="s">
        <v>171</v>
      </c>
      <c r="B73" s="63" t="s">
        <v>43</v>
      </c>
      <c r="C73" s="274">
        <v>0.06</v>
      </c>
      <c r="D73" s="275">
        <v>0.58109999999999995</v>
      </c>
      <c r="E73" s="276">
        <v>0.65</v>
      </c>
      <c r="F73" s="276">
        <v>0.68</v>
      </c>
      <c r="G73" s="291">
        <v>2016</v>
      </c>
      <c r="H73" s="289" t="str">
        <f t="shared" ref="H73:H97" si="6">VLOOKUP($A73,$E$54:$F$57,2,FALSE)</f>
        <v>£m 12/13</v>
      </c>
      <c r="I73" s="289" t="s">
        <v>269</v>
      </c>
      <c r="J73" s="373" t="s">
        <v>481</v>
      </c>
      <c r="K73" s="478"/>
      <c r="L73" s="479"/>
      <c r="M73" s="199">
        <f t="shared" ref="M73:M82" si="7">E$64</f>
        <v>2.5499999999999998E-2</v>
      </c>
      <c r="N73" s="199">
        <f t="shared" ref="N73:N82" si="8">F$64</f>
        <v>2.4199999999999999E-2</v>
      </c>
      <c r="O73" s="199">
        <f t="shared" ref="O73:O82" si="9">G$64</f>
        <v>2.29E-2</v>
      </c>
      <c r="P73" s="199">
        <f t="shared" ref="P73:P82" si="10">H$64</f>
        <v>2.0899999999999998E-2</v>
      </c>
      <c r="Q73" s="199">
        <f t="shared" ref="Q73:Q82" si="11">I$64</f>
        <v>1.9400000000000001E-2</v>
      </c>
      <c r="R73" s="199">
        <f t="shared" ref="R73:R82" si="12">J$64</f>
        <v>1.78E-2</v>
      </c>
      <c r="S73" s="199">
        <f t="shared" ref="S73:S82" si="13">K$64</f>
        <v>1.6199999999999999E-2</v>
      </c>
      <c r="T73" s="200">
        <f t="shared" ref="T73:T82" si="14">L$64</f>
        <v>1.44E-2</v>
      </c>
    </row>
    <row r="74" spans="1:20">
      <c r="A74" s="51" t="s">
        <v>171</v>
      </c>
      <c r="B74" s="63" t="s">
        <v>44</v>
      </c>
      <c r="C74" s="274">
        <v>0.06</v>
      </c>
      <c r="D74" s="275">
        <v>0.55843703457782867</v>
      </c>
      <c r="E74" s="276">
        <v>0.65</v>
      </c>
      <c r="F74" s="276">
        <v>0.7</v>
      </c>
      <c r="G74" s="291">
        <v>2016</v>
      </c>
      <c r="H74" s="289" t="str">
        <f t="shared" si="6"/>
        <v>£m 12/13</v>
      </c>
      <c r="I74" s="289" t="s">
        <v>269</v>
      </c>
      <c r="J74" s="373" t="s">
        <v>481</v>
      </c>
      <c r="K74" s="478"/>
      <c r="L74" s="479"/>
      <c r="M74" s="199">
        <f t="shared" si="7"/>
        <v>2.5499999999999998E-2</v>
      </c>
      <c r="N74" s="199">
        <f t="shared" si="8"/>
        <v>2.4199999999999999E-2</v>
      </c>
      <c r="O74" s="199">
        <f t="shared" si="9"/>
        <v>2.29E-2</v>
      </c>
      <c r="P74" s="199">
        <f t="shared" si="10"/>
        <v>2.0899999999999998E-2</v>
      </c>
      <c r="Q74" s="199">
        <f t="shared" si="11"/>
        <v>1.9400000000000001E-2</v>
      </c>
      <c r="R74" s="199">
        <f t="shared" si="12"/>
        <v>1.78E-2</v>
      </c>
      <c r="S74" s="199">
        <f t="shared" si="13"/>
        <v>1.6199999999999999E-2</v>
      </c>
      <c r="T74" s="200">
        <f t="shared" si="14"/>
        <v>1.44E-2</v>
      </c>
    </row>
    <row r="75" spans="1:20">
      <c r="A75" s="51" t="s">
        <v>171</v>
      </c>
      <c r="B75" s="63" t="s">
        <v>73</v>
      </c>
      <c r="C75" s="274">
        <v>0.06</v>
      </c>
      <c r="D75" s="275">
        <v>0.55843703457782867</v>
      </c>
      <c r="E75" s="276">
        <v>0.65</v>
      </c>
      <c r="F75" s="276">
        <v>0.72</v>
      </c>
      <c r="G75" s="291">
        <v>2016</v>
      </c>
      <c r="H75" s="289" t="str">
        <f t="shared" si="6"/>
        <v>£m 12/13</v>
      </c>
      <c r="I75" s="289" t="s">
        <v>269</v>
      </c>
      <c r="J75" s="373" t="s">
        <v>481</v>
      </c>
      <c r="K75" s="478"/>
      <c r="L75" s="479"/>
      <c r="M75" s="199">
        <f t="shared" si="7"/>
        <v>2.5499999999999998E-2</v>
      </c>
      <c r="N75" s="199">
        <f t="shared" si="8"/>
        <v>2.4199999999999999E-2</v>
      </c>
      <c r="O75" s="199">
        <f t="shared" si="9"/>
        <v>2.29E-2</v>
      </c>
      <c r="P75" s="199">
        <f t="shared" si="10"/>
        <v>2.0899999999999998E-2</v>
      </c>
      <c r="Q75" s="199">
        <f t="shared" si="11"/>
        <v>1.9400000000000001E-2</v>
      </c>
      <c r="R75" s="199">
        <f t="shared" si="12"/>
        <v>1.78E-2</v>
      </c>
      <c r="S75" s="199">
        <f t="shared" si="13"/>
        <v>1.6199999999999999E-2</v>
      </c>
      <c r="T75" s="200">
        <f t="shared" si="14"/>
        <v>1.44E-2</v>
      </c>
    </row>
    <row r="76" spans="1:20">
      <c r="A76" s="51" t="s">
        <v>171</v>
      </c>
      <c r="B76" s="63" t="s">
        <v>59</v>
      </c>
      <c r="C76" s="274">
        <v>0.06</v>
      </c>
      <c r="D76" s="275">
        <v>0.53280000000000005</v>
      </c>
      <c r="E76" s="276">
        <v>0.65</v>
      </c>
      <c r="F76" s="276">
        <v>0.68</v>
      </c>
      <c r="G76" s="291">
        <v>2016</v>
      </c>
      <c r="H76" s="289" t="str">
        <f t="shared" si="6"/>
        <v>£m 12/13</v>
      </c>
      <c r="I76" s="289" t="s">
        <v>269</v>
      </c>
      <c r="J76" s="373" t="s">
        <v>481</v>
      </c>
      <c r="K76" s="478"/>
      <c r="L76" s="479"/>
      <c r="M76" s="199">
        <f t="shared" si="7"/>
        <v>2.5499999999999998E-2</v>
      </c>
      <c r="N76" s="199">
        <f t="shared" si="8"/>
        <v>2.4199999999999999E-2</v>
      </c>
      <c r="O76" s="199">
        <f t="shared" si="9"/>
        <v>2.29E-2</v>
      </c>
      <c r="P76" s="199">
        <f t="shared" si="10"/>
        <v>2.0899999999999998E-2</v>
      </c>
      <c r="Q76" s="199">
        <f t="shared" si="11"/>
        <v>1.9400000000000001E-2</v>
      </c>
      <c r="R76" s="199">
        <f t="shared" si="12"/>
        <v>1.78E-2</v>
      </c>
      <c r="S76" s="199">
        <f t="shared" si="13"/>
        <v>1.6199999999999999E-2</v>
      </c>
      <c r="T76" s="200">
        <f t="shared" si="14"/>
        <v>1.44E-2</v>
      </c>
    </row>
    <row r="77" spans="1:20">
      <c r="A77" s="51" t="s">
        <v>171</v>
      </c>
      <c r="B77" s="63" t="s">
        <v>57</v>
      </c>
      <c r="C77" s="274">
        <v>0.06</v>
      </c>
      <c r="D77" s="275">
        <v>0.53280000000000005</v>
      </c>
      <c r="E77" s="276">
        <v>0.65</v>
      </c>
      <c r="F77" s="276">
        <v>0.68</v>
      </c>
      <c r="G77" s="291">
        <v>2016</v>
      </c>
      <c r="H77" s="289" t="str">
        <f t="shared" si="6"/>
        <v>£m 12/13</v>
      </c>
      <c r="I77" s="289" t="s">
        <v>269</v>
      </c>
      <c r="J77" s="373" t="s">
        <v>481</v>
      </c>
      <c r="K77" s="478"/>
      <c r="L77" s="479"/>
      <c r="M77" s="199">
        <f t="shared" si="7"/>
        <v>2.5499999999999998E-2</v>
      </c>
      <c r="N77" s="199">
        <f t="shared" si="8"/>
        <v>2.4199999999999999E-2</v>
      </c>
      <c r="O77" s="199">
        <f t="shared" si="9"/>
        <v>2.29E-2</v>
      </c>
      <c r="P77" s="199">
        <f t="shared" si="10"/>
        <v>2.0899999999999998E-2</v>
      </c>
      <c r="Q77" s="199">
        <f t="shared" si="11"/>
        <v>1.9400000000000001E-2</v>
      </c>
      <c r="R77" s="199">
        <f t="shared" si="12"/>
        <v>1.78E-2</v>
      </c>
      <c r="S77" s="199">
        <f t="shared" si="13"/>
        <v>1.6199999999999999E-2</v>
      </c>
      <c r="T77" s="200">
        <f t="shared" si="14"/>
        <v>1.44E-2</v>
      </c>
    </row>
    <row r="78" spans="1:20">
      <c r="A78" s="51" t="s">
        <v>171</v>
      </c>
      <c r="B78" s="63" t="s">
        <v>58</v>
      </c>
      <c r="C78" s="274">
        <v>0.06</v>
      </c>
      <c r="D78" s="275">
        <v>0.53280000000000005</v>
      </c>
      <c r="E78" s="276">
        <v>0.65</v>
      </c>
      <c r="F78" s="276">
        <v>0.68</v>
      </c>
      <c r="G78" s="291">
        <v>2016</v>
      </c>
      <c r="H78" s="289" t="str">
        <f t="shared" si="6"/>
        <v>£m 12/13</v>
      </c>
      <c r="I78" s="289" t="s">
        <v>269</v>
      </c>
      <c r="J78" s="373" t="s">
        <v>481</v>
      </c>
      <c r="K78" s="478"/>
      <c r="L78" s="479"/>
      <c r="M78" s="199">
        <f t="shared" si="7"/>
        <v>2.5499999999999998E-2</v>
      </c>
      <c r="N78" s="199">
        <f t="shared" si="8"/>
        <v>2.4199999999999999E-2</v>
      </c>
      <c r="O78" s="199">
        <f t="shared" si="9"/>
        <v>2.29E-2</v>
      </c>
      <c r="P78" s="199">
        <f t="shared" si="10"/>
        <v>2.0899999999999998E-2</v>
      </c>
      <c r="Q78" s="199">
        <f t="shared" si="11"/>
        <v>1.9400000000000001E-2</v>
      </c>
      <c r="R78" s="199">
        <f t="shared" si="12"/>
        <v>1.78E-2</v>
      </c>
      <c r="S78" s="199">
        <f t="shared" si="13"/>
        <v>1.6199999999999999E-2</v>
      </c>
      <c r="T78" s="200">
        <f t="shared" si="14"/>
        <v>1.44E-2</v>
      </c>
    </row>
    <row r="79" spans="1:20">
      <c r="A79" s="51" t="s">
        <v>171</v>
      </c>
      <c r="B79" s="63" t="s">
        <v>45</v>
      </c>
      <c r="C79" s="274">
        <v>0.06</v>
      </c>
      <c r="D79" s="275">
        <v>0.53500000000000003</v>
      </c>
      <c r="E79" s="276">
        <v>0.65</v>
      </c>
      <c r="F79" s="276">
        <v>0.8</v>
      </c>
      <c r="G79" s="291">
        <v>2016</v>
      </c>
      <c r="H79" s="289" t="str">
        <f t="shared" si="6"/>
        <v>£m 12/13</v>
      </c>
      <c r="I79" s="289" t="s">
        <v>269</v>
      </c>
      <c r="J79" s="373" t="s">
        <v>481</v>
      </c>
      <c r="K79" s="478"/>
      <c r="L79" s="479"/>
      <c r="M79" s="199">
        <f t="shared" si="7"/>
        <v>2.5499999999999998E-2</v>
      </c>
      <c r="N79" s="199">
        <f t="shared" si="8"/>
        <v>2.4199999999999999E-2</v>
      </c>
      <c r="O79" s="199">
        <f t="shared" si="9"/>
        <v>2.29E-2</v>
      </c>
      <c r="P79" s="199">
        <f t="shared" si="10"/>
        <v>2.0899999999999998E-2</v>
      </c>
      <c r="Q79" s="199">
        <f t="shared" si="11"/>
        <v>1.9400000000000001E-2</v>
      </c>
      <c r="R79" s="199">
        <f t="shared" si="12"/>
        <v>1.78E-2</v>
      </c>
      <c r="S79" s="199">
        <f t="shared" si="13"/>
        <v>1.6199999999999999E-2</v>
      </c>
      <c r="T79" s="200">
        <f t="shared" si="14"/>
        <v>1.44E-2</v>
      </c>
    </row>
    <row r="80" spans="1:20">
      <c r="A80" s="51" t="s">
        <v>171</v>
      </c>
      <c r="B80" s="63" t="s">
        <v>46</v>
      </c>
      <c r="C80" s="274">
        <v>0.06</v>
      </c>
      <c r="D80" s="275">
        <v>0.53500000000000003</v>
      </c>
      <c r="E80" s="276">
        <v>0.65</v>
      </c>
      <c r="F80" s="276">
        <v>0.8</v>
      </c>
      <c r="G80" s="291">
        <v>2016</v>
      </c>
      <c r="H80" s="289" t="str">
        <f t="shared" si="6"/>
        <v>£m 12/13</v>
      </c>
      <c r="I80" s="289" t="s">
        <v>269</v>
      </c>
      <c r="J80" s="373" t="s">
        <v>481</v>
      </c>
      <c r="K80" s="478"/>
      <c r="L80" s="479"/>
      <c r="M80" s="199">
        <f t="shared" si="7"/>
        <v>2.5499999999999998E-2</v>
      </c>
      <c r="N80" s="199">
        <f t="shared" si="8"/>
        <v>2.4199999999999999E-2</v>
      </c>
      <c r="O80" s="199">
        <f t="shared" si="9"/>
        <v>2.29E-2</v>
      </c>
      <c r="P80" s="199">
        <f t="shared" si="10"/>
        <v>2.0899999999999998E-2</v>
      </c>
      <c r="Q80" s="199">
        <f t="shared" si="11"/>
        <v>1.9400000000000001E-2</v>
      </c>
      <c r="R80" s="199">
        <f t="shared" si="12"/>
        <v>1.78E-2</v>
      </c>
      <c r="S80" s="199">
        <f t="shared" si="13"/>
        <v>1.6199999999999999E-2</v>
      </c>
      <c r="T80" s="200">
        <f t="shared" si="14"/>
        <v>1.44E-2</v>
      </c>
    </row>
    <row r="81" spans="1:20">
      <c r="A81" s="51" t="s">
        <v>171</v>
      </c>
      <c r="B81" s="63" t="s">
        <v>47</v>
      </c>
      <c r="C81" s="274">
        <v>0.06</v>
      </c>
      <c r="D81" s="275">
        <v>0.56469999999999998</v>
      </c>
      <c r="E81" s="276">
        <v>0.65</v>
      </c>
      <c r="F81" s="276">
        <v>0.62</v>
      </c>
      <c r="G81" s="291">
        <v>2016</v>
      </c>
      <c r="H81" s="289" t="str">
        <f t="shared" si="6"/>
        <v>£m 12/13</v>
      </c>
      <c r="I81" s="289" t="s">
        <v>269</v>
      </c>
      <c r="J81" s="373" t="s">
        <v>481</v>
      </c>
      <c r="K81" s="478"/>
      <c r="L81" s="479"/>
      <c r="M81" s="199">
        <f t="shared" si="7"/>
        <v>2.5499999999999998E-2</v>
      </c>
      <c r="N81" s="199">
        <f t="shared" si="8"/>
        <v>2.4199999999999999E-2</v>
      </c>
      <c r="O81" s="199">
        <f t="shared" si="9"/>
        <v>2.29E-2</v>
      </c>
      <c r="P81" s="199">
        <f t="shared" si="10"/>
        <v>2.0899999999999998E-2</v>
      </c>
      <c r="Q81" s="199">
        <f t="shared" si="11"/>
        <v>1.9400000000000001E-2</v>
      </c>
      <c r="R81" s="199">
        <f t="shared" si="12"/>
        <v>1.78E-2</v>
      </c>
      <c r="S81" s="199">
        <f t="shared" si="13"/>
        <v>1.6199999999999999E-2</v>
      </c>
      <c r="T81" s="200">
        <f t="shared" si="14"/>
        <v>1.44E-2</v>
      </c>
    </row>
    <row r="82" spans="1:20">
      <c r="A82" s="51" t="s">
        <v>171</v>
      </c>
      <c r="B82" s="63" t="s">
        <v>48</v>
      </c>
      <c r="C82" s="274">
        <v>0.06</v>
      </c>
      <c r="D82" s="275">
        <v>0.56469999999999998</v>
      </c>
      <c r="E82" s="276">
        <v>0.65</v>
      </c>
      <c r="F82" s="276">
        <v>0.7</v>
      </c>
      <c r="G82" s="291">
        <v>2016</v>
      </c>
      <c r="H82" s="289" t="str">
        <f t="shared" si="6"/>
        <v>£m 12/13</v>
      </c>
      <c r="I82" s="289" t="s">
        <v>269</v>
      </c>
      <c r="J82" s="373" t="s">
        <v>481</v>
      </c>
      <c r="K82" s="478"/>
      <c r="L82" s="479"/>
      <c r="M82" s="199">
        <f t="shared" si="7"/>
        <v>2.5499999999999998E-2</v>
      </c>
      <c r="N82" s="199">
        <f t="shared" si="8"/>
        <v>2.4199999999999999E-2</v>
      </c>
      <c r="O82" s="199">
        <f t="shared" si="9"/>
        <v>2.29E-2</v>
      </c>
      <c r="P82" s="199">
        <f t="shared" si="10"/>
        <v>2.0899999999999998E-2</v>
      </c>
      <c r="Q82" s="199">
        <f t="shared" si="11"/>
        <v>1.9400000000000001E-2</v>
      </c>
      <c r="R82" s="199">
        <f t="shared" si="12"/>
        <v>1.78E-2</v>
      </c>
      <c r="S82" s="199">
        <f t="shared" si="13"/>
        <v>1.6199999999999999E-2</v>
      </c>
      <c r="T82" s="200">
        <f t="shared" si="14"/>
        <v>1.44E-2</v>
      </c>
    </row>
    <row r="83" spans="1:20">
      <c r="A83" s="51" t="s">
        <v>171</v>
      </c>
      <c r="B83" s="63" t="s">
        <v>245</v>
      </c>
      <c r="C83" s="274">
        <v>6.4000000000000001E-2</v>
      </c>
      <c r="D83" s="275">
        <v>0.7</v>
      </c>
      <c r="E83" s="276">
        <v>0.65</v>
      </c>
      <c r="F83" s="276">
        <v>0.8</v>
      </c>
      <c r="G83" s="291">
        <v>2016</v>
      </c>
      <c r="H83" s="289" t="str">
        <f t="shared" si="6"/>
        <v>£m 12/13</v>
      </c>
      <c r="I83" s="289" t="s">
        <v>270</v>
      </c>
      <c r="J83" s="373" t="s">
        <v>482</v>
      </c>
      <c r="K83" s="478"/>
      <c r="L83" s="479"/>
      <c r="M83" s="199">
        <f t="shared" ref="M83:T86" si="15">E$63</f>
        <v>2.5499999999999998E-2</v>
      </c>
      <c r="N83" s="199">
        <f t="shared" si="15"/>
        <v>2.3799999999999998E-2</v>
      </c>
      <c r="O83" s="199">
        <f t="shared" si="15"/>
        <v>2.2200000000000001E-2</v>
      </c>
      <c r="P83" s="199">
        <f t="shared" si="15"/>
        <v>1.9099999999999999E-2</v>
      </c>
      <c r="Q83" s="199">
        <f t="shared" si="15"/>
        <v>1.5800000000000002E-2</v>
      </c>
      <c r="R83" s="199">
        <f t="shared" si="15"/>
        <v>1.09E-2</v>
      </c>
      <c r="S83" s="199">
        <f t="shared" si="15"/>
        <v>7.6E-3</v>
      </c>
      <c r="T83" s="200">
        <f t="shared" si="15"/>
        <v>3.8999999999999998E-3</v>
      </c>
    </row>
    <row r="84" spans="1:20">
      <c r="A84" s="51" t="s">
        <v>171</v>
      </c>
      <c r="B84" s="63" t="s">
        <v>246</v>
      </c>
      <c r="C84" s="274">
        <v>6.4000000000000001E-2</v>
      </c>
      <c r="D84" s="275">
        <v>0.7</v>
      </c>
      <c r="E84" s="276">
        <v>0.65</v>
      </c>
      <c r="F84" s="276">
        <v>0.8</v>
      </c>
      <c r="G84" s="291">
        <v>2016</v>
      </c>
      <c r="H84" s="289" t="str">
        <f t="shared" si="6"/>
        <v>£m 12/13</v>
      </c>
      <c r="I84" s="289" t="s">
        <v>270</v>
      </c>
      <c r="J84" s="373" t="s">
        <v>482</v>
      </c>
      <c r="K84" s="478"/>
      <c r="L84" s="479"/>
      <c r="M84" s="199">
        <f t="shared" si="15"/>
        <v>2.5499999999999998E-2</v>
      </c>
      <c r="N84" s="199">
        <f t="shared" si="15"/>
        <v>2.3799999999999998E-2</v>
      </c>
      <c r="O84" s="199">
        <f t="shared" si="15"/>
        <v>2.2200000000000001E-2</v>
      </c>
      <c r="P84" s="199">
        <f t="shared" si="15"/>
        <v>1.9099999999999999E-2</v>
      </c>
      <c r="Q84" s="199">
        <f t="shared" si="15"/>
        <v>1.5800000000000002E-2</v>
      </c>
      <c r="R84" s="199">
        <f t="shared" si="15"/>
        <v>1.09E-2</v>
      </c>
      <c r="S84" s="199">
        <f t="shared" si="15"/>
        <v>7.6E-3</v>
      </c>
      <c r="T84" s="200">
        <f t="shared" si="15"/>
        <v>3.8999999999999998E-3</v>
      </c>
    </row>
    <row r="85" spans="1:20">
      <c r="A85" s="51" t="s">
        <v>171</v>
      </c>
      <c r="B85" s="63" t="s">
        <v>247</v>
      </c>
      <c r="C85" s="274">
        <v>6.4000000000000001E-2</v>
      </c>
      <c r="D85" s="275">
        <v>0.7</v>
      </c>
      <c r="E85" s="276">
        <v>0.65</v>
      </c>
      <c r="F85" s="276">
        <v>0.8</v>
      </c>
      <c r="G85" s="291">
        <v>2016</v>
      </c>
      <c r="H85" s="289" t="str">
        <f t="shared" si="6"/>
        <v>£m 12/13</v>
      </c>
      <c r="I85" s="289" t="s">
        <v>270</v>
      </c>
      <c r="J85" s="373" t="s">
        <v>482</v>
      </c>
      <c r="K85" s="478"/>
      <c r="L85" s="479"/>
      <c r="M85" s="199">
        <f t="shared" si="15"/>
        <v>2.5499999999999998E-2</v>
      </c>
      <c r="N85" s="199">
        <f t="shared" si="15"/>
        <v>2.3799999999999998E-2</v>
      </c>
      <c r="O85" s="199">
        <f t="shared" si="15"/>
        <v>2.2200000000000001E-2</v>
      </c>
      <c r="P85" s="199">
        <f t="shared" si="15"/>
        <v>1.9099999999999999E-2</v>
      </c>
      <c r="Q85" s="199">
        <f t="shared" si="15"/>
        <v>1.5800000000000002E-2</v>
      </c>
      <c r="R85" s="199">
        <f t="shared" si="15"/>
        <v>1.09E-2</v>
      </c>
      <c r="S85" s="199">
        <f t="shared" si="15"/>
        <v>7.6E-3</v>
      </c>
      <c r="T85" s="200">
        <f t="shared" si="15"/>
        <v>3.8999999999999998E-3</v>
      </c>
    </row>
    <row r="86" spans="1:20">
      <c r="A86" s="51" t="s">
        <v>171</v>
      </c>
      <c r="B86" s="63" t="s">
        <v>248</v>
      </c>
      <c r="C86" s="274">
        <v>6.4000000000000001E-2</v>
      </c>
      <c r="D86" s="275">
        <v>0.7</v>
      </c>
      <c r="E86" s="276">
        <v>0.65</v>
      </c>
      <c r="F86" s="276">
        <v>0.8</v>
      </c>
      <c r="G86" s="291">
        <v>2016</v>
      </c>
      <c r="H86" s="289" t="str">
        <f t="shared" si="6"/>
        <v>£m 12/13</v>
      </c>
      <c r="I86" s="289" t="s">
        <v>270</v>
      </c>
      <c r="J86" s="373" t="s">
        <v>482</v>
      </c>
      <c r="K86" s="478"/>
      <c r="L86" s="479"/>
      <c r="M86" s="199">
        <f t="shared" si="15"/>
        <v>2.5499999999999998E-2</v>
      </c>
      <c r="N86" s="199">
        <f t="shared" si="15"/>
        <v>2.3799999999999998E-2</v>
      </c>
      <c r="O86" s="199">
        <f t="shared" si="15"/>
        <v>2.2200000000000001E-2</v>
      </c>
      <c r="P86" s="199">
        <f t="shared" si="15"/>
        <v>1.9099999999999999E-2</v>
      </c>
      <c r="Q86" s="199">
        <f t="shared" si="15"/>
        <v>1.5800000000000002E-2</v>
      </c>
      <c r="R86" s="199">
        <f t="shared" si="15"/>
        <v>1.09E-2</v>
      </c>
      <c r="S86" s="199">
        <f t="shared" si="15"/>
        <v>7.6E-3</v>
      </c>
      <c r="T86" s="200">
        <f t="shared" si="15"/>
        <v>3.8999999999999998E-3</v>
      </c>
    </row>
    <row r="87" spans="1:20">
      <c r="A87" s="51" t="s">
        <v>172</v>
      </c>
      <c r="B87" s="63" t="s">
        <v>53</v>
      </c>
      <c r="C87" s="274">
        <v>6.7000000000000004E-2</v>
      </c>
      <c r="D87" s="275">
        <v>0.63039999999999996</v>
      </c>
      <c r="E87" s="276">
        <v>0.65</v>
      </c>
      <c r="F87" s="276">
        <v>0.26634501855794862</v>
      </c>
      <c r="G87" s="291">
        <v>2014</v>
      </c>
      <c r="H87" s="289" t="str">
        <f t="shared" si="6"/>
        <v>£m 09/10</v>
      </c>
      <c r="I87" s="289" t="s">
        <v>269</v>
      </c>
      <c r="J87" s="373" t="s">
        <v>482</v>
      </c>
      <c r="K87" s="381">
        <f t="shared" ref="K87:R94" si="16">C$67</f>
        <v>2.92E-2</v>
      </c>
      <c r="L87" s="199">
        <f t="shared" si="16"/>
        <v>2.7199999999999998E-2</v>
      </c>
      <c r="M87" s="199">
        <f t="shared" si="16"/>
        <v>2.5499999999999998E-2</v>
      </c>
      <c r="N87" s="199">
        <f t="shared" si="16"/>
        <v>2.3800000000000002E-2</v>
      </c>
      <c r="O87" s="199">
        <f t="shared" si="16"/>
        <v>2.2200000000000001E-2</v>
      </c>
      <c r="P87" s="199">
        <f t="shared" si="16"/>
        <v>1.9099999999999999E-2</v>
      </c>
      <c r="Q87" s="199">
        <f t="shared" si="16"/>
        <v>1.5800000000000002E-2</v>
      </c>
      <c r="R87" s="199">
        <f t="shared" si="16"/>
        <v>1.09E-2</v>
      </c>
      <c r="S87" s="479"/>
      <c r="T87" s="480"/>
    </row>
    <row r="88" spans="1:20">
      <c r="A88" s="51" t="s">
        <v>172</v>
      </c>
      <c r="B88" s="63" t="s">
        <v>54</v>
      </c>
      <c r="C88" s="274">
        <v>6.7000000000000004E-2</v>
      </c>
      <c r="D88" s="275">
        <v>0.63039999999999996</v>
      </c>
      <c r="E88" s="276">
        <v>0.65</v>
      </c>
      <c r="F88" s="276">
        <v>0.23469337831705597</v>
      </c>
      <c r="G88" s="291">
        <v>2014</v>
      </c>
      <c r="H88" s="289" t="str">
        <f t="shared" si="6"/>
        <v>£m 09/10</v>
      </c>
      <c r="I88" s="289" t="s">
        <v>269</v>
      </c>
      <c r="J88" s="373" t="s">
        <v>482</v>
      </c>
      <c r="K88" s="381">
        <f t="shared" si="16"/>
        <v>2.92E-2</v>
      </c>
      <c r="L88" s="199">
        <f t="shared" si="16"/>
        <v>2.7199999999999998E-2</v>
      </c>
      <c r="M88" s="199">
        <f t="shared" si="16"/>
        <v>2.5499999999999998E-2</v>
      </c>
      <c r="N88" s="199">
        <f t="shared" si="16"/>
        <v>2.3800000000000002E-2</v>
      </c>
      <c r="O88" s="199">
        <f t="shared" si="16"/>
        <v>2.2200000000000001E-2</v>
      </c>
      <c r="P88" s="199">
        <f t="shared" si="16"/>
        <v>1.9099999999999999E-2</v>
      </c>
      <c r="Q88" s="199">
        <f t="shared" si="16"/>
        <v>1.5800000000000002E-2</v>
      </c>
      <c r="R88" s="199">
        <f t="shared" si="16"/>
        <v>1.09E-2</v>
      </c>
      <c r="S88" s="479"/>
      <c r="T88" s="480"/>
    </row>
    <row r="89" spans="1:20">
      <c r="A89" s="51" t="s">
        <v>172</v>
      </c>
      <c r="B89" s="63" t="s">
        <v>55</v>
      </c>
      <c r="C89" s="274">
        <v>6.7000000000000004E-2</v>
      </c>
      <c r="D89" s="275">
        <v>0.63039999999999996</v>
      </c>
      <c r="E89" s="276">
        <v>0.65</v>
      </c>
      <c r="F89" s="276">
        <v>0.24946223864843597</v>
      </c>
      <c r="G89" s="291">
        <v>2014</v>
      </c>
      <c r="H89" s="289" t="str">
        <f t="shared" si="6"/>
        <v>£m 09/10</v>
      </c>
      <c r="I89" s="289" t="s">
        <v>269</v>
      </c>
      <c r="J89" s="373" t="s">
        <v>482</v>
      </c>
      <c r="K89" s="381">
        <f t="shared" si="16"/>
        <v>2.92E-2</v>
      </c>
      <c r="L89" s="199">
        <f t="shared" si="16"/>
        <v>2.7199999999999998E-2</v>
      </c>
      <c r="M89" s="199">
        <f t="shared" si="16"/>
        <v>2.5499999999999998E-2</v>
      </c>
      <c r="N89" s="199">
        <f t="shared" si="16"/>
        <v>2.3800000000000002E-2</v>
      </c>
      <c r="O89" s="199">
        <f t="shared" si="16"/>
        <v>2.2200000000000001E-2</v>
      </c>
      <c r="P89" s="199">
        <f t="shared" si="16"/>
        <v>1.9099999999999999E-2</v>
      </c>
      <c r="Q89" s="199">
        <f t="shared" si="16"/>
        <v>1.5800000000000002E-2</v>
      </c>
      <c r="R89" s="199">
        <f t="shared" si="16"/>
        <v>1.09E-2</v>
      </c>
      <c r="S89" s="479"/>
      <c r="T89" s="480"/>
    </row>
    <row r="90" spans="1:20">
      <c r="A90" s="51" t="s">
        <v>172</v>
      </c>
      <c r="B90" s="63" t="s">
        <v>56</v>
      </c>
      <c r="C90" s="274">
        <v>6.7000000000000004E-2</v>
      </c>
      <c r="D90" s="275">
        <v>0.63039999999999996</v>
      </c>
      <c r="E90" s="276">
        <v>0.65</v>
      </c>
      <c r="F90" s="276">
        <v>0.26095352485819256</v>
      </c>
      <c r="G90" s="291">
        <v>2014</v>
      </c>
      <c r="H90" s="289" t="str">
        <f t="shared" si="6"/>
        <v>£m 09/10</v>
      </c>
      <c r="I90" s="289" t="s">
        <v>269</v>
      </c>
      <c r="J90" s="373" t="s">
        <v>482</v>
      </c>
      <c r="K90" s="381">
        <f t="shared" si="16"/>
        <v>2.92E-2</v>
      </c>
      <c r="L90" s="199">
        <f t="shared" si="16"/>
        <v>2.7199999999999998E-2</v>
      </c>
      <c r="M90" s="199">
        <f t="shared" si="16"/>
        <v>2.5499999999999998E-2</v>
      </c>
      <c r="N90" s="199">
        <f t="shared" si="16"/>
        <v>2.3800000000000002E-2</v>
      </c>
      <c r="O90" s="199">
        <f t="shared" si="16"/>
        <v>2.2200000000000001E-2</v>
      </c>
      <c r="P90" s="199">
        <f t="shared" si="16"/>
        <v>1.9099999999999999E-2</v>
      </c>
      <c r="Q90" s="199">
        <f t="shared" si="16"/>
        <v>1.5800000000000002E-2</v>
      </c>
      <c r="R90" s="199">
        <f t="shared" si="16"/>
        <v>1.09E-2</v>
      </c>
      <c r="S90" s="479"/>
      <c r="T90" s="480"/>
    </row>
    <row r="91" spans="1:20">
      <c r="A91" s="51" t="s">
        <v>172</v>
      </c>
      <c r="B91" s="63" t="s">
        <v>50</v>
      </c>
      <c r="C91" s="274">
        <v>6.7000000000000004E-2</v>
      </c>
      <c r="D91" s="275">
        <v>0.63980000000000004</v>
      </c>
      <c r="E91" s="276">
        <v>0.65</v>
      </c>
      <c r="F91" s="276">
        <v>0.34984411379298247</v>
      </c>
      <c r="G91" s="291">
        <v>2014</v>
      </c>
      <c r="H91" s="289" t="str">
        <f t="shared" si="6"/>
        <v>£m 09/10</v>
      </c>
      <c r="I91" s="289" t="s">
        <v>269</v>
      </c>
      <c r="J91" s="373" t="s">
        <v>482</v>
      </c>
      <c r="K91" s="381">
        <f t="shared" si="16"/>
        <v>2.92E-2</v>
      </c>
      <c r="L91" s="199">
        <f t="shared" si="16"/>
        <v>2.7199999999999998E-2</v>
      </c>
      <c r="M91" s="199">
        <f t="shared" si="16"/>
        <v>2.5499999999999998E-2</v>
      </c>
      <c r="N91" s="199">
        <f t="shared" si="16"/>
        <v>2.3800000000000002E-2</v>
      </c>
      <c r="O91" s="199">
        <f t="shared" si="16"/>
        <v>2.2200000000000001E-2</v>
      </c>
      <c r="P91" s="199">
        <f t="shared" si="16"/>
        <v>1.9099999999999999E-2</v>
      </c>
      <c r="Q91" s="199">
        <f t="shared" si="16"/>
        <v>1.5800000000000002E-2</v>
      </c>
      <c r="R91" s="199">
        <f t="shared" si="16"/>
        <v>1.09E-2</v>
      </c>
      <c r="S91" s="479"/>
      <c r="T91" s="480"/>
    </row>
    <row r="92" spans="1:20">
      <c r="A92" s="51" t="s">
        <v>172</v>
      </c>
      <c r="B92" s="63" t="s">
        <v>52</v>
      </c>
      <c r="C92" s="274">
        <v>6.7000000000000004E-2</v>
      </c>
      <c r="D92" s="275">
        <v>0.63729999999999998</v>
      </c>
      <c r="E92" s="276">
        <v>0.65</v>
      </c>
      <c r="F92" s="276">
        <v>0.35129049661183626</v>
      </c>
      <c r="G92" s="291">
        <v>2014</v>
      </c>
      <c r="H92" s="289" t="str">
        <f t="shared" si="6"/>
        <v>£m 09/10</v>
      </c>
      <c r="I92" s="289" t="s">
        <v>269</v>
      </c>
      <c r="J92" s="373" t="s">
        <v>482</v>
      </c>
      <c r="K92" s="381">
        <f t="shared" si="16"/>
        <v>2.92E-2</v>
      </c>
      <c r="L92" s="199">
        <f t="shared" si="16"/>
        <v>2.7199999999999998E-2</v>
      </c>
      <c r="M92" s="199">
        <f t="shared" si="16"/>
        <v>2.5499999999999998E-2</v>
      </c>
      <c r="N92" s="199">
        <f t="shared" si="16"/>
        <v>2.3800000000000002E-2</v>
      </c>
      <c r="O92" s="199">
        <f t="shared" si="16"/>
        <v>2.2200000000000001E-2</v>
      </c>
      <c r="P92" s="199">
        <f t="shared" si="16"/>
        <v>1.9099999999999999E-2</v>
      </c>
      <c r="Q92" s="199">
        <f t="shared" si="16"/>
        <v>1.5800000000000002E-2</v>
      </c>
      <c r="R92" s="199">
        <f t="shared" si="16"/>
        <v>1.09E-2</v>
      </c>
      <c r="S92" s="479"/>
      <c r="T92" s="480"/>
    </row>
    <row r="93" spans="1:20">
      <c r="A93" s="51" t="s">
        <v>172</v>
      </c>
      <c r="B93" s="63" t="s">
        <v>51</v>
      </c>
      <c r="C93" s="274">
        <v>6.7000000000000004E-2</v>
      </c>
      <c r="D93" s="275">
        <v>0.63729999999999998</v>
      </c>
      <c r="E93" s="276">
        <v>0.65</v>
      </c>
      <c r="F93" s="276">
        <v>0.32230855902021693</v>
      </c>
      <c r="G93" s="291">
        <v>2014</v>
      </c>
      <c r="H93" s="289" t="str">
        <f t="shared" si="6"/>
        <v>£m 09/10</v>
      </c>
      <c r="I93" s="289" t="s">
        <v>269</v>
      </c>
      <c r="J93" s="373" t="s">
        <v>482</v>
      </c>
      <c r="K93" s="381">
        <f t="shared" si="16"/>
        <v>2.92E-2</v>
      </c>
      <c r="L93" s="199">
        <f t="shared" si="16"/>
        <v>2.7199999999999998E-2</v>
      </c>
      <c r="M93" s="199">
        <f t="shared" si="16"/>
        <v>2.5499999999999998E-2</v>
      </c>
      <c r="N93" s="199">
        <f t="shared" si="16"/>
        <v>2.3800000000000002E-2</v>
      </c>
      <c r="O93" s="199">
        <f t="shared" si="16"/>
        <v>2.2200000000000001E-2</v>
      </c>
      <c r="P93" s="199">
        <f t="shared" si="16"/>
        <v>1.9099999999999999E-2</v>
      </c>
      <c r="Q93" s="199">
        <f t="shared" si="16"/>
        <v>1.5800000000000002E-2</v>
      </c>
      <c r="R93" s="199">
        <f t="shared" si="16"/>
        <v>1.09E-2</v>
      </c>
      <c r="S93" s="479"/>
      <c r="T93" s="480"/>
    </row>
    <row r="94" spans="1:20">
      <c r="A94" s="51" t="s">
        <v>172</v>
      </c>
      <c r="B94" s="63" t="s">
        <v>49</v>
      </c>
      <c r="C94" s="274">
        <v>6.7000000000000004E-2</v>
      </c>
      <c r="D94" s="275">
        <v>0.63170000000000004</v>
      </c>
      <c r="E94" s="276">
        <v>0.65</v>
      </c>
      <c r="F94" s="276">
        <v>0.35781904469402892</v>
      </c>
      <c r="G94" s="291">
        <v>2014</v>
      </c>
      <c r="H94" s="289" t="str">
        <f t="shared" si="6"/>
        <v>£m 09/10</v>
      </c>
      <c r="I94" s="289" t="s">
        <v>269</v>
      </c>
      <c r="J94" s="373" t="s">
        <v>482</v>
      </c>
      <c r="K94" s="381">
        <f t="shared" si="16"/>
        <v>2.92E-2</v>
      </c>
      <c r="L94" s="199">
        <f t="shared" si="16"/>
        <v>2.7199999999999998E-2</v>
      </c>
      <c r="M94" s="199">
        <f t="shared" si="16"/>
        <v>2.5499999999999998E-2</v>
      </c>
      <c r="N94" s="199">
        <f t="shared" si="16"/>
        <v>2.3800000000000002E-2</v>
      </c>
      <c r="O94" s="199">
        <f t="shared" si="16"/>
        <v>2.2200000000000001E-2</v>
      </c>
      <c r="P94" s="199">
        <f t="shared" si="16"/>
        <v>1.9099999999999999E-2</v>
      </c>
      <c r="Q94" s="199">
        <f t="shared" si="16"/>
        <v>1.5800000000000002E-2</v>
      </c>
      <c r="R94" s="199">
        <f t="shared" si="16"/>
        <v>1.09E-2</v>
      </c>
      <c r="S94" s="479"/>
      <c r="T94" s="480"/>
    </row>
    <row r="95" spans="1:20">
      <c r="A95" s="51" t="s">
        <v>174</v>
      </c>
      <c r="B95" s="63" t="s">
        <v>113</v>
      </c>
      <c r="C95" s="274">
        <v>6.8000000000000005E-2</v>
      </c>
      <c r="D95" s="275">
        <v>0.44359999999999999</v>
      </c>
      <c r="E95" s="276">
        <v>0.625</v>
      </c>
      <c r="F95" s="276">
        <v>0.64400000000000002</v>
      </c>
      <c r="G95" s="291">
        <v>2014</v>
      </c>
      <c r="H95" s="289" t="str">
        <f t="shared" si="6"/>
        <v>£m 09/10</v>
      </c>
      <c r="I95" s="289" t="s">
        <v>269</v>
      </c>
      <c r="J95" s="373" t="s">
        <v>482</v>
      </c>
      <c r="K95" s="381">
        <f t="shared" ref="K95:R96" si="17">C$68</f>
        <v>2.92E-2</v>
      </c>
      <c r="L95" s="199">
        <f t="shared" si="17"/>
        <v>2.7199999999999998E-2</v>
      </c>
      <c r="M95" s="199">
        <f t="shared" si="17"/>
        <v>2.5499999999999998E-2</v>
      </c>
      <c r="N95" s="199">
        <f t="shared" si="17"/>
        <v>2.3800000000000002E-2</v>
      </c>
      <c r="O95" s="199">
        <f t="shared" si="17"/>
        <v>2.2200000000000001E-2</v>
      </c>
      <c r="P95" s="199">
        <f t="shared" si="17"/>
        <v>1.9099999999999999E-2</v>
      </c>
      <c r="Q95" s="199">
        <f t="shared" si="17"/>
        <v>1.5800000000000002E-2</v>
      </c>
      <c r="R95" s="199">
        <f t="shared" si="17"/>
        <v>1.09E-2</v>
      </c>
      <c r="S95" s="479"/>
      <c r="T95" s="480"/>
    </row>
    <row r="96" spans="1:20">
      <c r="A96" s="51" t="s">
        <v>174</v>
      </c>
      <c r="B96" s="63" t="s">
        <v>114</v>
      </c>
      <c r="C96" s="274">
        <v>6.8000000000000005E-2</v>
      </c>
      <c r="D96" s="275">
        <v>0.44359999999999999</v>
      </c>
      <c r="E96" s="276">
        <v>0.625</v>
      </c>
      <c r="F96" s="276">
        <v>0.374</v>
      </c>
      <c r="G96" s="291">
        <v>2014</v>
      </c>
      <c r="H96" s="289" t="str">
        <f t="shared" si="6"/>
        <v>£m 09/10</v>
      </c>
      <c r="I96" s="289" t="s">
        <v>269</v>
      </c>
      <c r="J96" s="373" t="s">
        <v>482</v>
      </c>
      <c r="K96" s="381">
        <f t="shared" si="17"/>
        <v>2.92E-2</v>
      </c>
      <c r="L96" s="199">
        <f t="shared" si="17"/>
        <v>2.7199999999999998E-2</v>
      </c>
      <c r="M96" s="199">
        <f t="shared" si="17"/>
        <v>2.5499999999999998E-2</v>
      </c>
      <c r="N96" s="199">
        <f t="shared" si="17"/>
        <v>2.3800000000000002E-2</v>
      </c>
      <c r="O96" s="199">
        <f t="shared" si="17"/>
        <v>2.2200000000000001E-2</v>
      </c>
      <c r="P96" s="199">
        <f t="shared" si="17"/>
        <v>1.9099999999999999E-2</v>
      </c>
      <c r="Q96" s="199">
        <f t="shared" si="17"/>
        <v>1.5800000000000002E-2</v>
      </c>
      <c r="R96" s="199">
        <f t="shared" si="17"/>
        <v>1.09E-2</v>
      </c>
      <c r="S96" s="479"/>
      <c r="T96" s="480"/>
    </row>
    <row r="97" spans="1:20">
      <c r="A97" s="51" t="s">
        <v>173</v>
      </c>
      <c r="B97" s="63" t="s">
        <v>111</v>
      </c>
      <c r="C97" s="274">
        <v>7.0000000000000007E-2</v>
      </c>
      <c r="D97" s="275">
        <v>0.46889999999999998</v>
      </c>
      <c r="E97" s="276">
        <v>0.6</v>
      </c>
      <c r="F97" s="276">
        <v>0.85</v>
      </c>
      <c r="G97" s="291">
        <v>2014</v>
      </c>
      <c r="H97" s="289" t="str">
        <f t="shared" si="6"/>
        <v>£m 09/10</v>
      </c>
      <c r="I97" s="289" t="s">
        <v>269</v>
      </c>
      <c r="J97" s="373" t="s">
        <v>482</v>
      </c>
      <c r="K97" s="381">
        <f t="shared" ref="K97:R99" si="18">C$66</f>
        <v>2.92E-2</v>
      </c>
      <c r="L97" s="199">
        <f t="shared" si="18"/>
        <v>2.7199999999999998E-2</v>
      </c>
      <c r="M97" s="199">
        <f t="shared" si="18"/>
        <v>2.5499999999999998E-2</v>
      </c>
      <c r="N97" s="199">
        <f t="shared" si="18"/>
        <v>2.3800000000000002E-2</v>
      </c>
      <c r="O97" s="199">
        <f t="shared" si="18"/>
        <v>2.2200000000000001E-2</v>
      </c>
      <c r="P97" s="199">
        <f t="shared" si="18"/>
        <v>1.9099999999999999E-2</v>
      </c>
      <c r="Q97" s="199">
        <f t="shared" si="18"/>
        <v>1.5800000000000002E-2</v>
      </c>
      <c r="R97" s="199">
        <f t="shared" si="18"/>
        <v>1.09E-2</v>
      </c>
      <c r="S97" s="479"/>
      <c r="T97" s="480"/>
    </row>
    <row r="98" spans="1:20">
      <c r="A98" s="51" t="s">
        <v>173</v>
      </c>
      <c r="B98" s="63" t="s">
        <v>112</v>
      </c>
      <c r="C98" s="274">
        <v>7.0000000000000007E-2</v>
      </c>
      <c r="D98" s="275">
        <v>0.46889999999999998</v>
      </c>
      <c r="E98" s="276">
        <v>0.6</v>
      </c>
      <c r="F98" s="276">
        <v>0.27900000000000003</v>
      </c>
      <c r="G98" s="291">
        <v>2014</v>
      </c>
      <c r="H98" s="289" t="str">
        <f>VLOOKUP($A98,$E$54:$F$57,2,FALSE)</f>
        <v>£m 09/10</v>
      </c>
      <c r="I98" s="289" t="s">
        <v>269</v>
      </c>
      <c r="J98" s="373" t="s">
        <v>482</v>
      </c>
      <c r="K98" s="381">
        <f t="shared" si="18"/>
        <v>2.92E-2</v>
      </c>
      <c r="L98" s="199">
        <f t="shared" si="18"/>
        <v>2.7199999999999998E-2</v>
      </c>
      <c r="M98" s="199">
        <f t="shared" si="18"/>
        <v>2.5499999999999998E-2</v>
      </c>
      <c r="N98" s="199">
        <f t="shared" si="18"/>
        <v>2.3800000000000002E-2</v>
      </c>
      <c r="O98" s="199">
        <f t="shared" si="18"/>
        <v>2.2200000000000001E-2</v>
      </c>
      <c r="P98" s="199">
        <f t="shared" si="18"/>
        <v>1.9099999999999999E-2</v>
      </c>
      <c r="Q98" s="199">
        <f t="shared" si="18"/>
        <v>1.5800000000000002E-2</v>
      </c>
      <c r="R98" s="199">
        <f t="shared" si="18"/>
        <v>1.09E-2</v>
      </c>
      <c r="S98" s="479"/>
      <c r="T98" s="480"/>
    </row>
    <row r="99" spans="1:20">
      <c r="A99" s="51" t="s">
        <v>173</v>
      </c>
      <c r="B99" s="63" t="s">
        <v>60</v>
      </c>
      <c r="C99" s="274">
        <v>7.0000000000000007E-2</v>
      </c>
      <c r="D99" s="275">
        <v>0.5</v>
      </c>
      <c r="E99" s="276">
        <v>0.55000000000000004</v>
      </c>
      <c r="F99" s="276">
        <v>0.9</v>
      </c>
      <c r="G99" s="291">
        <v>2014</v>
      </c>
      <c r="H99" s="289" t="str">
        <f>VLOOKUP($A99,$E$54:$F$57,2,FALSE)</f>
        <v>£m 09/10</v>
      </c>
      <c r="I99" s="289" t="s">
        <v>270</v>
      </c>
      <c r="J99" s="373" t="s">
        <v>482</v>
      </c>
      <c r="K99" s="381">
        <f t="shared" si="18"/>
        <v>2.92E-2</v>
      </c>
      <c r="L99" s="199">
        <f t="shared" si="18"/>
        <v>2.7199999999999998E-2</v>
      </c>
      <c r="M99" s="199">
        <f t="shared" si="18"/>
        <v>2.5499999999999998E-2</v>
      </c>
      <c r="N99" s="199">
        <f t="shared" si="18"/>
        <v>2.3800000000000002E-2</v>
      </c>
      <c r="O99" s="199">
        <f t="shared" si="18"/>
        <v>2.2200000000000001E-2</v>
      </c>
      <c r="P99" s="199">
        <f t="shared" si="18"/>
        <v>1.9099999999999999E-2</v>
      </c>
      <c r="Q99" s="199">
        <f t="shared" si="18"/>
        <v>1.5800000000000002E-2</v>
      </c>
      <c r="R99" s="199">
        <f t="shared" si="18"/>
        <v>1.09E-2</v>
      </c>
      <c r="S99" s="479"/>
      <c r="T99" s="480"/>
    </row>
    <row r="100" spans="1:20">
      <c r="A100" s="51" t="s">
        <v>173</v>
      </c>
      <c r="B100" s="64" t="s">
        <v>61</v>
      </c>
      <c r="C100" s="277">
        <v>7.0000000000000007E-2</v>
      </c>
      <c r="D100" s="278">
        <v>0.5</v>
      </c>
      <c r="E100" s="279">
        <v>0.55000000000000004</v>
      </c>
      <c r="F100" s="279">
        <v>0.9</v>
      </c>
      <c r="G100" s="292">
        <v>2014</v>
      </c>
      <c r="H100" s="290" t="str">
        <f>VLOOKUP($A100,$E$54:$F$57,2,FALSE)</f>
        <v>£m 09/10</v>
      </c>
      <c r="I100" s="290" t="s">
        <v>270</v>
      </c>
      <c r="J100" s="373" t="s">
        <v>482</v>
      </c>
      <c r="K100" s="286">
        <f t="shared" ref="K100:R100" si="19">C$65</f>
        <v>2.92E-2</v>
      </c>
      <c r="L100" s="269">
        <f t="shared" si="19"/>
        <v>2.5000000000000001E-2</v>
      </c>
      <c r="M100" s="269">
        <f t="shared" si="19"/>
        <v>2.1499999999999998E-2</v>
      </c>
      <c r="N100" s="269">
        <f t="shared" si="19"/>
        <v>1.7899999999999999E-2</v>
      </c>
      <c r="O100" s="269">
        <f t="shared" si="19"/>
        <v>1.5100000000000001E-2</v>
      </c>
      <c r="P100" s="269">
        <f t="shared" si="19"/>
        <v>1.1599999999999999E-2</v>
      </c>
      <c r="Q100" s="269">
        <f t="shared" si="19"/>
        <v>1.0200000000000001E-2</v>
      </c>
      <c r="R100" s="269">
        <f t="shared" si="19"/>
        <v>7.6E-3</v>
      </c>
      <c r="S100" s="481"/>
      <c r="T100" s="482"/>
    </row>
    <row r="101" spans="1:20">
      <c r="I101" s="58"/>
    </row>
    <row r="102" spans="1:20">
      <c r="I102" s="58"/>
    </row>
    <row r="103" spans="1:20">
      <c r="I103" s="58"/>
    </row>
    <row r="104" spans="1:20">
      <c r="B104" s="14" t="s">
        <v>249</v>
      </c>
      <c r="D104" s="266"/>
      <c r="E104" s="266"/>
      <c r="F104" s="266"/>
      <c r="G104" s="266"/>
      <c r="H104" s="266"/>
      <c r="I104" s="266"/>
      <c r="J104" s="266"/>
    </row>
    <row r="105" spans="1:20">
      <c r="B105" s="14"/>
      <c r="C105" s="108">
        <v>2014</v>
      </c>
      <c r="D105" s="109">
        <f>C105+1</f>
        <v>2015</v>
      </c>
      <c r="E105" s="109">
        <f t="shared" ref="E105:J105" si="20">D105+1</f>
        <v>2016</v>
      </c>
      <c r="F105" s="109">
        <f>E105+1</f>
        <v>2017</v>
      </c>
      <c r="G105" s="109">
        <f t="shared" si="20"/>
        <v>2018</v>
      </c>
      <c r="H105" s="109">
        <f t="shared" si="20"/>
        <v>2019</v>
      </c>
      <c r="I105" s="109">
        <f t="shared" si="20"/>
        <v>2020</v>
      </c>
      <c r="J105" s="109">
        <f t="shared" si="20"/>
        <v>2021</v>
      </c>
    </row>
    <row r="106" spans="1:20">
      <c r="B106" s="270" t="s">
        <v>53</v>
      </c>
      <c r="C106" s="267">
        <v>0.5</v>
      </c>
      <c r="D106" s="267">
        <v>0.5714285714285714</v>
      </c>
      <c r="E106" s="267">
        <v>0.64285714285714279</v>
      </c>
      <c r="F106" s="267">
        <v>0.71428571428571419</v>
      </c>
      <c r="G106" s="267">
        <v>0.78571428571428559</v>
      </c>
      <c r="H106" s="267">
        <v>0.85714285714285698</v>
      </c>
      <c r="I106" s="267">
        <v>0.92857142857142838</v>
      </c>
      <c r="J106" s="268">
        <v>1</v>
      </c>
    </row>
    <row r="107" spans="1:20">
      <c r="B107" s="271" t="s">
        <v>54</v>
      </c>
      <c r="C107" s="199">
        <v>0.5</v>
      </c>
      <c r="D107" s="199">
        <v>0.5714285714285714</v>
      </c>
      <c r="E107" s="199">
        <v>0.64285714285714279</v>
      </c>
      <c r="F107" s="199">
        <v>0.71428571428571419</v>
      </c>
      <c r="G107" s="199">
        <v>0.78571428571428559</v>
      </c>
      <c r="H107" s="199">
        <v>0.85714285714285698</v>
      </c>
      <c r="I107" s="199">
        <v>0.92857142857142838</v>
      </c>
      <c r="J107" s="200">
        <v>1</v>
      </c>
    </row>
    <row r="108" spans="1:20">
      <c r="B108" s="271" t="s">
        <v>55</v>
      </c>
      <c r="C108" s="199">
        <v>0.5</v>
      </c>
      <c r="D108" s="199">
        <v>0.5714285714285714</v>
      </c>
      <c r="E108" s="199">
        <v>0.64285714285714279</v>
      </c>
      <c r="F108" s="199">
        <v>0.71428571428571419</v>
      </c>
      <c r="G108" s="199">
        <v>0.78571428571428559</v>
      </c>
      <c r="H108" s="199">
        <v>0.85714285714285698</v>
      </c>
      <c r="I108" s="199">
        <v>0.92857142857142838</v>
      </c>
      <c r="J108" s="200">
        <v>1</v>
      </c>
    </row>
    <row r="109" spans="1:20">
      <c r="B109" s="271" t="s">
        <v>56</v>
      </c>
      <c r="C109" s="199">
        <v>0.5</v>
      </c>
      <c r="D109" s="199">
        <v>0.5714285714285714</v>
      </c>
      <c r="E109" s="199">
        <v>0.64285714285714279</v>
      </c>
      <c r="F109" s="199">
        <v>0.71428571428571419</v>
      </c>
      <c r="G109" s="199">
        <v>0.78571428571428559</v>
      </c>
      <c r="H109" s="199">
        <v>0.85714285714285698</v>
      </c>
      <c r="I109" s="199">
        <v>0.92857142857142838</v>
      </c>
      <c r="J109" s="200">
        <v>1</v>
      </c>
    </row>
    <row r="110" spans="1:20">
      <c r="B110" s="271" t="s">
        <v>50</v>
      </c>
      <c r="C110" s="199">
        <v>0.5</v>
      </c>
      <c r="D110" s="199">
        <v>0.5714285714285714</v>
      </c>
      <c r="E110" s="199">
        <v>0.64285714285714279</v>
      </c>
      <c r="F110" s="199">
        <v>0.71428571428571419</v>
      </c>
      <c r="G110" s="199">
        <v>0.78571428571428559</v>
      </c>
      <c r="H110" s="199">
        <v>0.85714285714285698</v>
      </c>
      <c r="I110" s="199">
        <v>0.92857142857142838</v>
      </c>
      <c r="J110" s="200">
        <v>1</v>
      </c>
    </row>
    <row r="111" spans="1:20">
      <c r="B111" s="271" t="s">
        <v>52</v>
      </c>
      <c r="C111" s="199">
        <v>0.5</v>
      </c>
      <c r="D111" s="199">
        <v>0.5714285714285714</v>
      </c>
      <c r="E111" s="199">
        <v>0.64285714285714279</v>
      </c>
      <c r="F111" s="199">
        <v>0.71428571428571419</v>
      </c>
      <c r="G111" s="199">
        <v>0.78571428571428559</v>
      </c>
      <c r="H111" s="199">
        <v>0.85714285714285698</v>
      </c>
      <c r="I111" s="199">
        <v>0.92857142857142838</v>
      </c>
      <c r="J111" s="200">
        <v>1</v>
      </c>
    </row>
    <row r="112" spans="1:20">
      <c r="B112" s="271" t="s">
        <v>51</v>
      </c>
      <c r="C112" s="199">
        <v>0.5</v>
      </c>
      <c r="D112" s="199">
        <v>0.5714285714285714</v>
      </c>
      <c r="E112" s="199">
        <v>0.64285714285714279</v>
      </c>
      <c r="F112" s="199">
        <v>0.71428571428571419</v>
      </c>
      <c r="G112" s="199">
        <v>0.78571428571428559</v>
      </c>
      <c r="H112" s="199">
        <v>0.85714285714285698</v>
      </c>
      <c r="I112" s="199">
        <v>0.92857142857142838</v>
      </c>
      <c r="J112" s="200">
        <v>1</v>
      </c>
    </row>
    <row r="113" spans="2:12">
      <c r="B113" s="367" t="s">
        <v>49</v>
      </c>
      <c r="C113" s="368">
        <v>0.5</v>
      </c>
      <c r="D113" s="368">
        <v>0.5714285714285714</v>
      </c>
      <c r="E113" s="368">
        <v>0.64285714285714279</v>
      </c>
      <c r="F113" s="368">
        <v>0.71428571428571419</v>
      </c>
      <c r="G113" s="368">
        <v>0.78571428571428559</v>
      </c>
      <c r="H113" s="368">
        <v>0.85714285714285698</v>
      </c>
      <c r="I113" s="368">
        <v>0.92857142857142838</v>
      </c>
      <c r="J113" s="369">
        <v>1</v>
      </c>
    </row>
    <row r="114" spans="2:12">
      <c r="B114" s="271" t="s">
        <v>113</v>
      </c>
      <c r="C114" s="199">
        <v>0.9</v>
      </c>
      <c r="D114" s="199">
        <v>0.9</v>
      </c>
      <c r="E114" s="199">
        <v>0.9</v>
      </c>
      <c r="F114" s="199">
        <v>0.9</v>
      </c>
      <c r="G114" s="199">
        <v>0.9</v>
      </c>
      <c r="H114" s="199">
        <v>0.9</v>
      </c>
      <c r="I114" s="199">
        <v>0.9</v>
      </c>
      <c r="J114" s="200">
        <v>0.9</v>
      </c>
    </row>
    <row r="115" spans="2:12">
      <c r="B115" s="272" t="s">
        <v>114</v>
      </c>
      <c r="C115" s="486"/>
      <c r="D115" s="486"/>
      <c r="E115" s="486"/>
      <c r="F115" s="486"/>
      <c r="G115" s="486"/>
      <c r="H115" s="486"/>
      <c r="I115" s="486"/>
      <c r="J115" s="486"/>
    </row>
    <row r="116" spans="2:12">
      <c r="B116" s="181"/>
      <c r="C116" s="399"/>
      <c r="D116" s="399"/>
      <c r="E116" s="399"/>
      <c r="F116" s="399"/>
      <c r="G116" s="399"/>
      <c r="H116" s="399"/>
      <c r="I116" s="399"/>
      <c r="J116" s="399"/>
    </row>
    <row r="117" spans="2:12">
      <c r="B117" s="181"/>
      <c r="C117" s="399"/>
      <c r="D117" s="399"/>
      <c r="E117" s="399"/>
      <c r="F117" s="399"/>
      <c r="G117" s="399"/>
      <c r="H117" s="399"/>
      <c r="I117" s="399"/>
      <c r="J117" s="399"/>
    </row>
    <row r="118" spans="2:12">
      <c r="B118" s="409" t="s">
        <v>213</v>
      </c>
      <c r="C118" s="108">
        <v>2014</v>
      </c>
      <c r="D118" s="109">
        <f t="shared" ref="D118:L118" si="21">C118+1</f>
        <v>2015</v>
      </c>
      <c r="E118" s="109">
        <f t="shared" si="21"/>
        <v>2016</v>
      </c>
      <c r="F118" s="109">
        <f t="shared" si="21"/>
        <v>2017</v>
      </c>
      <c r="G118" s="109">
        <f t="shared" si="21"/>
        <v>2018</v>
      </c>
      <c r="H118" s="109">
        <f t="shared" si="21"/>
        <v>2019</v>
      </c>
      <c r="I118" s="109">
        <f t="shared" si="21"/>
        <v>2020</v>
      </c>
      <c r="J118" s="109">
        <f t="shared" si="21"/>
        <v>2021</v>
      </c>
      <c r="K118" s="109">
        <f t="shared" si="21"/>
        <v>2022</v>
      </c>
      <c r="L118" s="180">
        <f t="shared" si="21"/>
        <v>2023</v>
      </c>
    </row>
    <row r="119" spans="2:12">
      <c r="B119" s="400" t="s">
        <v>43</v>
      </c>
      <c r="C119" s="483"/>
      <c r="D119" s="484"/>
      <c r="E119" s="402">
        <v>1.5575632164737283</v>
      </c>
      <c r="F119" s="402">
        <v>1.4734141240658321</v>
      </c>
      <c r="G119" s="402">
        <v>1.4689588897025405</v>
      </c>
      <c r="H119" s="402">
        <v>1.4707200530126929</v>
      </c>
      <c r="I119" s="402">
        <v>1.4674716260161711</v>
      </c>
      <c r="J119" s="402">
        <v>1.4486206224386007</v>
      </c>
      <c r="K119" s="402">
        <v>1.4956798325868756</v>
      </c>
      <c r="L119" s="403">
        <v>1.4397148718051931</v>
      </c>
    </row>
    <row r="120" spans="2:12">
      <c r="B120" s="400" t="s">
        <v>44</v>
      </c>
      <c r="C120" s="485"/>
      <c r="D120" s="486"/>
      <c r="E120" s="404">
        <v>-0.65871781800535345</v>
      </c>
      <c r="F120" s="404">
        <v>-0.63543772576063684</v>
      </c>
      <c r="G120" s="404">
        <v>-0.58907862874233818</v>
      </c>
      <c r="H120" s="404">
        <v>-0.58178188190178026</v>
      </c>
      <c r="I120" s="404">
        <v>-0.56823918867341305</v>
      </c>
      <c r="J120" s="404">
        <v>-0.51933170333654122</v>
      </c>
      <c r="K120" s="404">
        <v>-0.47962665852661612</v>
      </c>
      <c r="L120" s="405">
        <v>-0.4656874701170608</v>
      </c>
    </row>
    <row r="121" spans="2:12">
      <c r="B121" s="400" t="s">
        <v>73</v>
      </c>
      <c r="C121" s="485"/>
      <c r="D121" s="486"/>
      <c r="E121" s="404">
        <v>-0.86626036283610952</v>
      </c>
      <c r="F121" s="404">
        <v>-0.81019773780890636</v>
      </c>
      <c r="G121" s="404">
        <v>-0.78919084241395188</v>
      </c>
      <c r="H121" s="404">
        <v>-0.79061873066036981</v>
      </c>
      <c r="I121" s="404">
        <v>-0.74432653414361061</v>
      </c>
      <c r="J121" s="404">
        <v>-0.70697274816976396</v>
      </c>
      <c r="K121" s="404">
        <v>-0.65350946162011747</v>
      </c>
      <c r="L121" s="405">
        <v>-0.66429758885743451</v>
      </c>
    </row>
    <row r="122" spans="2:12">
      <c r="B122" s="400" t="s">
        <v>59</v>
      </c>
      <c r="C122" s="485"/>
      <c r="D122" s="486"/>
      <c r="E122" s="404">
        <v>-3.2612134183503572</v>
      </c>
      <c r="F122" s="404">
        <v>-3.3462554451402173</v>
      </c>
      <c r="G122" s="404">
        <v>-3.1732919768141143</v>
      </c>
      <c r="H122" s="404">
        <v>-3.1232404745251841</v>
      </c>
      <c r="I122" s="404">
        <v>-3.0767551306224106</v>
      </c>
      <c r="J122" s="404">
        <v>-2.9342177182087767</v>
      </c>
      <c r="K122" s="404">
        <v>-2.8825938479182072</v>
      </c>
      <c r="L122" s="405">
        <v>-2.7237011003750218</v>
      </c>
    </row>
    <row r="123" spans="2:12">
      <c r="B123" s="400" t="s">
        <v>57</v>
      </c>
      <c r="C123" s="485"/>
      <c r="D123" s="486"/>
      <c r="E123" s="404">
        <v>-2.4260972367898193</v>
      </c>
      <c r="F123" s="404">
        <v>-2.3690383662844163</v>
      </c>
      <c r="G123" s="404">
        <v>-2.2433276600060932</v>
      </c>
      <c r="H123" s="404">
        <v>-2.1466020621213828</v>
      </c>
      <c r="I123" s="404">
        <v>-2.174009678716605</v>
      </c>
      <c r="J123" s="404">
        <v>-2.0538927838998693</v>
      </c>
      <c r="K123" s="404">
        <v>-1.9044581231060691</v>
      </c>
      <c r="L123" s="405">
        <v>-1.8008611131009082</v>
      </c>
    </row>
    <row r="124" spans="2:12">
      <c r="B124" s="400" t="s">
        <v>58</v>
      </c>
      <c r="C124" s="485"/>
      <c r="D124" s="486"/>
      <c r="E124" s="404">
        <v>-2.1861012409352765</v>
      </c>
      <c r="F124" s="404">
        <v>-2.3820447425774849</v>
      </c>
      <c r="G124" s="404">
        <v>-2.2418672366929897</v>
      </c>
      <c r="H124" s="404">
        <v>-2.1147812646907029</v>
      </c>
      <c r="I124" s="404">
        <v>-2.0146177086326591</v>
      </c>
      <c r="J124" s="404">
        <v>-1.9421313262105093</v>
      </c>
      <c r="K124" s="404">
        <v>-1.9248856430948595</v>
      </c>
      <c r="L124" s="405">
        <v>-1.8464451304225615</v>
      </c>
    </row>
    <row r="125" spans="2:12">
      <c r="B125" s="400" t="s">
        <v>45</v>
      </c>
      <c r="C125" s="485"/>
      <c r="D125" s="486"/>
      <c r="E125" s="404">
        <v>-1.8633532543800757</v>
      </c>
      <c r="F125" s="404">
        <v>-1.8182980405067262</v>
      </c>
      <c r="G125" s="404">
        <v>-1.83946756302578</v>
      </c>
      <c r="H125" s="404">
        <v>-1.7415973428180247</v>
      </c>
      <c r="I125" s="404">
        <v>-1.6798002111470465</v>
      </c>
      <c r="J125" s="404">
        <v>-1.5974456358596774</v>
      </c>
      <c r="K125" s="404">
        <v>-1.5016396120831343</v>
      </c>
      <c r="L125" s="405">
        <v>-1.4453638876860204</v>
      </c>
    </row>
    <row r="126" spans="2:12">
      <c r="B126" s="400" t="s">
        <v>46</v>
      </c>
      <c r="C126" s="485"/>
      <c r="D126" s="486"/>
      <c r="E126" s="404">
        <v>-2.1317145269512103</v>
      </c>
      <c r="F126" s="404">
        <v>-2.193973633026753</v>
      </c>
      <c r="G126" s="404">
        <v>-1.9869010217130036</v>
      </c>
      <c r="H126" s="404">
        <v>-1.8037552784318813</v>
      </c>
      <c r="I126" s="404">
        <v>-1.7767942495618843</v>
      </c>
      <c r="J126" s="404">
        <v>-1.7901472583807538</v>
      </c>
      <c r="K126" s="404">
        <v>-1.6444113686346382</v>
      </c>
      <c r="L126" s="405">
        <v>-1.467384504290556</v>
      </c>
    </row>
    <row r="127" spans="2:12">
      <c r="B127" s="400" t="s">
        <v>47</v>
      </c>
      <c r="C127" s="485"/>
      <c r="D127" s="486"/>
      <c r="E127" s="404">
        <v>0.16599721814464838</v>
      </c>
      <c r="F127" s="404">
        <v>0.16631900606776751</v>
      </c>
      <c r="G127" s="404">
        <v>0.16554337895881124</v>
      </c>
      <c r="H127" s="404">
        <v>0.16569741136821181</v>
      </c>
      <c r="I127" s="404">
        <v>0.16622630759870036</v>
      </c>
      <c r="J127" s="404">
        <v>0.16380302414374548</v>
      </c>
      <c r="K127" s="404">
        <v>0.16593344617950709</v>
      </c>
      <c r="L127" s="405">
        <v>0.16036688822048883</v>
      </c>
    </row>
    <row r="128" spans="2:12">
      <c r="B128" s="400" t="s">
        <v>48</v>
      </c>
      <c r="C128" s="485"/>
      <c r="D128" s="486"/>
      <c r="E128" s="404">
        <v>0.3648271976377423</v>
      </c>
      <c r="F128" s="404">
        <v>0.37109083837102003</v>
      </c>
      <c r="G128" s="404">
        <v>0.36071859106606846</v>
      </c>
      <c r="H128" s="404">
        <v>0.35927814835295946</v>
      </c>
      <c r="I128" s="404">
        <v>0.3227419487574148</v>
      </c>
      <c r="J128" s="404">
        <v>0.32139075529498529</v>
      </c>
      <c r="K128" s="404">
        <v>0.32876178406363676</v>
      </c>
      <c r="L128" s="405">
        <v>0.31920430794598709</v>
      </c>
    </row>
    <row r="129" spans="2:12">
      <c r="B129" s="400" t="s">
        <v>245</v>
      </c>
      <c r="C129" s="485"/>
      <c r="D129" s="486"/>
      <c r="E129" s="404">
        <v>7.1281196754416492</v>
      </c>
      <c r="F129" s="404">
        <v>6.9674138399666772</v>
      </c>
      <c r="G129" s="404">
        <v>6.2034025893135132</v>
      </c>
      <c r="H129" s="404">
        <v>6.3085978915797085</v>
      </c>
      <c r="I129" s="404">
        <v>6.2376648400128394</v>
      </c>
      <c r="J129" s="404">
        <v>6.4865819943041139</v>
      </c>
      <c r="K129" s="404">
        <v>6.8152516624832584</v>
      </c>
      <c r="L129" s="405">
        <v>6.6271056201039169</v>
      </c>
    </row>
    <row r="130" spans="2:12">
      <c r="B130" s="400" t="s">
        <v>246</v>
      </c>
      <c r="C130" s="485"/>
      <c r="D130" s="486"/>
      <c r="E130" s="404">
        <v>6.5079014730517413</v>
      </c>
      <c r="F130" s="404">
        <v>6.5166167406950333</v>
      </c>
      <c r="G130" s="404">
        <v>6.3292456496722922</v>
      </c>
      <c r="H130" s="404">
        <v>6.4407397408462082</v>
      </c>
      <c r="I130" s="404">
        <v>6.6367331985058957</v>
      </c>
      <c r="J130" s="404">
        <v>6.7568163761394304</v>
      </c>
      <c r="K130" s="404">
        <v>6.6961234445143969</v>
      </c>
      <c r="L130" s="405">
        <v>6.7647427548792596</v>
      </c>
    </row>
    <row r="131" spans="2:12">
      <c r="B131" s="400" t="s">
        <v>247</v>
      </c>
      <c r="C131" s="485"/>
      <c r="D131" s="486"/>
      <c r="E131" s="404">
        <v>3.6763138465229663</v>
      </c>
      <c r="F131" s="404">
        <v>3.6748350873956013</v>
      </c>
      <c r="G131" s="404">
        <v>3.4998529635433906</v>
      </c>
      <c r="H131" s="404">
        <v>3.724685546648324</v>
      </c>
      <c r="I131" s="404">
        <v>3.4121739487309477</v>
      </c>
      <c r="J131" s="404">
        <v>3.4202241027689042</v>
      </c>
      <c r="K131" s="404">
        <v>3.3053549439575329</v>
      </c>
      <c r="L131" s="405">
        <v>3.3633285641010966</v>
      </c>
    </row>
    <row r="132" spans="2:12">
      <c r="B132" s="400" t="s">
        <v>248</v>
      </c>
      <c r="C132" s="485"/>
      <c r="D132" s="486"/>
      <c r="E132" s="404">
        <v>5.3762701961708466</v>
      </c>
      <c r="F132" s="404">
        <v>5.3775969760840585</v>
      </c>
      <c r="G132" s="404">
        <v>5.2618102801807671</v>
      </c>
      <c r="H132" s="404">
        <v>5.360849180672294</v>
      </c>
      <c r="I132" s="404">
        <v>5.2665238228731912</v>
      </c>
      <c r="J132" s="404">
        <v>5.3271179030285305</v>
      </c>
      <c r="K132" s="404">
        <v>5.3223294006601192</v>
      </c>
      <c r="L132" s="405">
        <v>5.5699880746272257</v>
      </c>
    </row>
    <row r="133" spans="2:12">
      <c r="B133" s="400" t="s">
        <v>53</v>
      </c>
      <c r="C133" s="406">
        <v>1.4371556068940596</v>
      </c>
      <c r="D133" s="404">
        <v>1.3718015630879741</v>
      </c>
      <c r="E133" s="404">
        <v>1.3507660107019517</v>
      </c>
      <c r="F133" s="404">
        <v>1.356812198977974</v>
      </c>
      <c r="G133" s="404">
        <v>1.3598136386487443</v>
      </c>
      <c r="H133" s="404">
        <v>1.3501475065962032</v>
      </c>
      <c r="I133" s="404">
        <v>1.3298433305384654</v>
      </c>
      <c r="J133" s="404">
        <v>1.3174540960763355</v>
      </c>
      <c r="K133" s="486"/>
      <c r="L133" s="487"/>
    </row>
    <row r="134" spans="2:12">
      <c r="B134" s="400" t="s">
        <v>54</v>
      </c>
      <c r="C134" s="406">
        <v>1.2224510767557433</v>
      </c>
      <c r="D134" s="404">
        <v>1.2198157429394254</v>
      </c>
      <c r="E134" s="404">
        <v>1.2942164825881293</v>
      </c>
      <c r="F134" s="404">
        <v>1.2596396269108345</v>
      </c>
      <c r="G134" s="404">
        <v>1.2840112184368913</v>
      </c>
      <c r="H134" s="404">
        <v>1.2678511857965422</v>
      </c>
      <c r="I134" s="404">
        <v>1.2592019055105816</v>
      </c>
      <c r="J134" s="404">
        <v>1.257376658609527</v>
      </c>
      <c r="K134" s="486"/>
      <c r="L134" s="487"/>
    </row>
    <row r="135" spans="2:12">
      <c r="B135" s="400" t="s">
        <v>55</v>
      </c>
      <c r="C135" s="406">
        <v>0.82325002294811445</v>
      </c>
      <c r="D135" s="404">
        <v>0.82663571281128501</v>
      </c>
      <c r="E135" s="404">
        <v>0.79640504595610451</v>
      </c>
      <c r="F135" s="404">
        <v>0.78757021450124798</v>
      </c>
      <c r="G135" s="404">
        <v>0.81133252861207505</v>
      </c>
      <c r="H135" s="404">
        <v>0.81064228783969072</v>
      </c>
      <c r="I135" s="404">
        <v>0.80900368952296353</v>
      </c>
      <c r="J135" s="404">
        <v>0.78043276967968189</v>
      </c>
      <c r="K135" s="486"/>
      <c r="L135" s="487"/>
    </row>
    <row r="136" spans="2:12">
      <c r="B136" s="400" t="s">
        <v>56</v>
      </c>
      <c r="C136" s="406">
        <v>1.0893959849781105</v>
      </c>
      <c r="D136" s="404">
        <v>1.027913194554035</v>
      </c>
      <c r="E136" s="404">
        <v>1.0066987144123654</v>
      </c>
      <c r="F136" s="404">
        <v>1.0192350900597893</v>
      </c>
      <c r="G136" s="404">
        <v>1.0341480780318344</v>
      </c>
      <c r="H136" s="404">
        <v>1.0204240792759967</v>
      </c>
      <c r="I136" s="404">
        <v>1.0137739549704501</v>
      </c>
      <c r="J136" s="404">
        <v>0.9898055017218621</v>
      </c>
      <c r="K136" s="486"/>
      <c r="L136" s="487"/>
    </row>
    <row r="137" spans="2:12">
      <c r="B137" s="400" t="s">
        <v>50</v>
      </c>
      <c r="C137" s="406">
        <v>3.0675250143183739</v>
      </c>
      <c r="D137" s="404">
        <v>3.1629219417602221</v>
      </c>
      <c r="E137" s="404">
        <v>3.2156604222069194</v>
      </c>
      <c r="F137" s="404">
        <v>3.1773534622131239</v>
      </c>
      <c r="G137" s="404">
        <v>2.9925267771957293</v>
      </c>
      <c r="H137" s="404">
        <v>2.9953978987575276</v>
      </c>
      <c r="I137" s="404">
        <v>3.008780645638939</v>
      </c>
      <c r="J137" s="404">
        <v>3.0035530345258876</v>
      </c>
      <c r="K137" s="486"/>
      <c r="L137" s="487"/>
    </row>
    <row r="138" spans="2:12">
      <c r="B138" s="400" t="s">
        <v>52</v>
      </c>
      <c r="C138" s="406">
        <v>2.1240897362733717</v>
      </c>
      <c r="D138" s="404">
        <v>2.0350723340362249</v>
      </c>
      <c r="E138" s="404">
        <v>1.9686998072928457</v>
      </c>
      <c r="F138" s="404">
        <v>2.0858456765056492</v>
      </c>
      <c r="G138" s="404">
        <v>2.1150393198028121</v>
      </c>
      <c r="H138" s="404">
        <v>2.0960407823683633</v>
      </c>
      <c r="I138" s="404">
        <v>1.9709648894580449</v>
      </c>
      <c r="J138" s="404">
        <v>1.9558237270696361</v>
      </c>
      <c r="K138" s="486"/>
      <c r="L138" s="487"/>
    </row>
    <row r="139" spans="2:12">
      <c r="B139" s="400" t="s">
        <v>51</v>
      </c>
      <c r="C139" s="406">
        <v>4.3724011747736116</v>
      </c>
      <c r="D139" s="404">
        <v>4.1057641662653896</v>
      </c>
      <c r="E139" s="404">
        <v>4.0545669929819539</v>
      </c>
      <c r="F139" s="404">
        <v>4.1740927460581894</v>
      </c>
      <c r="G139" s="404">
        <v>4.2397101975440528</v>
      </c>
      <c r="H139" s="404">
        <v>4.2461477210751069</v>
      </c>
      <c r="I139" s="404">
        <v>4.1078523076276792</v>
      </c>
      <c r="J139" s="404">
        <v>4.0575944965475035</v>
      </c>
      <c r="K139" s="486"/>
      <c r="L139" s="487"/>
    </row>
    <row r="140" spans="2:12">
      <c r="B140" s="400" t="s">
        <v>49</v>
      </c>
      <c r="C140" s="406">
        <v>1.3982776671905828</v>
      </c>
      <c r="D140" s="404">
        <v>1.3864649866746799</v>
      </c>
      <c r="E140" s="404">
        <v>1.3673040530931269</v>
      </c>
      <c r="F140" s="404">
        <v>1.3493453776780693</v>
      </c>
      <c r="G140" s="404">
        <v>1.3347777856873293</v>
      </c>
      <c r="H140" s="404">
        <v>1.3354887108693174</v>
      </c>
      <c r="I140" s="404">
        <v>1.3597799661606067</v>
      </c>
      <c r="J140" s="404">
        <v>1.3515240072037848</v>
      </c>
      <c r="K140" s="486"/>
      <c r="L140" s="487"/>
    </row>
    <row r="141" spans="2:12">
      <c r="B141" s="400" t="s">
        <v>113</v>
      </c>
      <c r="C141" s="406">
        <v>-1.1295718210052885</v>
      </c>
      <c r="D141" s="404">
        <v>-1.1444007312827333</v>
      </c>
      <c r="E141" s="404">
        <v>-1.1763817360750841</v>
      </c>
      <c r="F141" s="404">
        <v>-1.5927557463957547</v>
      </c>
      <c r="G141" s="404">
        <v>-1.8565667598967899</v>
      </c>
      <c r="H141" s="404">
        <v>-1.2720416735170972</v>
      </c>
      <c r="I141" s="404">
        <v>-1.1039739947823479</v>
      </c>
      <c r="J141" s="404">
        <v>-1.018311326547777</v>
      </c>
      <c r="K141" s="486"/>
      <c r="L141" s="487"/>
    </row>
    <row r="142" spans="2:12">
      <c r="B142" s="400" t="s">
        <v>114</v>
      </c>
      <c r="C142" s="406">
        <v>-0.43181154987245485</v>
      </c>
      <c r="D142" s="404">
        <v>-0.39947195996305995</v>
      </c>
      <c r="E142" s="404">
        <v>-0.34734317043598018</v>
      </c>
      <c r="F142" s="404">
        <v>-0.3193206524905472</v>
      </c>
      <c r="G142" s="404">
        <v>-0.31265626882301373</v>
      </c>
      <c r="H142" s="404">
        <v>-0.30799379948941219</v>
      </c>
      <c r="I142" s="404">
        <v>-0.32570922921081308</v>
      </c>
      <c r="J142" s="404">
        <v>-0.31552026220892354</v>
      </c>
      <c r="K142" s="486"/>
      <c r="L142" s="487"/>
    </row>
    <row r="143" spans="2:12">
      <c r="B143" s="400" t="s">
        <v>111</v>
      </c>
      <c r="C143" s="406">
        <v>15.168246288518162</v>
      </c>
      <c r="D143" s="404">
        <v>16.275110005972994</v>
      </c>
      <c r="E143" s="404">
        <v>15.614702904478012</v>
      </c>
      <c r="F143" s="404">
        <v>14.911674359737152</v>
      </c>
      <c r="G143" s="404">
        <v>13.033415757853545</v>
      </c>
      <c r="H143" s="404">
        <v>12.556067765830047</v>
      </c>
      <c r="I143" s="404">
        <v>11.285100906339711</v>
      </c>
      <c r="J143" s="404">
        <v>9.8268179419485548</v>
      </c>
      <c r="K143" s="486"/>
      <c r="L143" s="487"/>
    </row>
    <row r="144" spans="2:12">
      <c r="B144" s="400" t="s">
        <v>112</v>
      </c>
      <c r="C144" s="406">
        <v>0.93219394583370063</v>
      </c>
      <c r="D144" s="404">
        <v>0.89969793099769957</v>
      </c>
      <c r="E144" s="404">
        <v>0.87783267686821997</v>
      </c>
      <c r="F144" s="404">
        <v>0.87232109317784756</v>
      </c>
      <c r="G144" s="404">
        <v>0.89875958568159287</v>
      </c>
      <c r="H144" s="404">
        <v>0.82801710222961222</v>
      </c>
      <c r="I144" s="404">
        <v>0.88417658562860901</v>
      </c>
      <c r="J144" s="404">
        <v>0.89982415652833247</v>
      </c>
      <c r="K144" s="486"/>
      <c r="L144" s="487"/>
    </row>
    <row r="145" spans="1:14">
      <c r="B145" s="400" t="s">
        <v>60</v>
      </c>
      <c r="C145" s="406">
        <v>10.952751093909903</v>
      </c>
      <c r="D145" s="404">
        <v>1.3412683602121493</v>
      </c>
      <c r="E145" s="404">
        <v>22.190179414419269</v>
      </c>
      <c r="F145" s="404">
        <v>7.0488483253947072</v>
      </c>
      <c r="G145" s="404">
        <v>6.9020695692988534</v>
      </c>
      <c r="H145" s="404">
        <v>6.9425238085580094</v>
      </c>
      <c r="I145" s="404">
        <v>7.0785069781779111</v>
      </c>
      <c r="J145" s="404">
        <v>5.2688524500291916</v>
      </c>
      <c r="K145" s="486"/>
      <c r="L145" s="487"/>
    </row>
    <row r="146" spans="1:14">
      <c r="B146" s="401" t="s">
        <v>61</v>
      </c>
      <c r="C146" s="407">
        <v>4.7850556060781999</v>
      </c>
      <c r="D146" s="408">
        <v>4.9736597194598335</v>
      </c>
      <c r="E146" s="408">
        <v>5.6988662496343032</v>
      </c>
      <c r="F146" s="408">
        <v>3.7921077312788807</v>
      </c>
      <c r="G146" s="408">
        <v>2.8512563802087829</v>
      </c>
      <c r="H146" s="408">
        <v>2.8799765245720623</v>
      </c>
      <c r="I146" s="408">
        <v>2.9074703511454074</v>
      </c>
      <c r="J146" s="408">
        <v>2.8191074376225309</v>
      </c>
      <c r="K146" s="488"/>
      <c r="L146" s="489"/>
    </row>
    <row r="148" spans="1:14">
      <c r="B148" s="181"/>
    </row>
    <row r="149" spans="1:14">
      <c r="B149" s="372" t="str">
        <f>LEFT('RFPR cover'!C6,2)</f>
        <v>ED</v>
      </c>
      <c r="C149" s="370"/>
      <c r="D149" s="370"/>
      <c r="E149" s="370"/>
      <c r="F149" s="370"/>
      <c r="G149" s="370"/>
      <c r="H149" s="370"/>
      <c r="I149" s="370"/>
      <c r="J149" s="370"/>
      <c r="K149" s="370"/>
      <c r="L149" s="371"/>
    </row>
    <row r="150" spans="1:14" ht="14.25" customHeight="1">
      <c r="A150" s="187"/>
      <c r="B150" s="397" t="s">
        <v>406</v>
      </c>
      <c r="C150" s="398"/>
      <c r="D150" s="398"/>
      <c r="E150" s="398"/>
      <c r="F150" s="396"/>
      <c r="G150" s="396"/>
      <c r="H150" s="396"/>
      <c r="I150" s="396"/>
      <c r="J150" s="396"/>
      <c r="K150" s="396"/>
      <c r="L150" s="396"/>
      <c r="M150" s="396"/>
      <c r="N150" s="396"/>
    </row>
    <row r="151" spans="1:14" ht="14.25" customHeight="1">
      <c r="A151" s="187"/>
      <c r="B151" s="686"/>
      <c r="C151" s="687"/>
      <c r="D151" s="687"/>
      <c r="E151" s="687"/>
      <c r="F151" s="688"/>
      <c r="G151" s="688"/>
      <c r="H151" s="688"/>
      <c r="I151" s="688"/>
      <c r="J151" s="688"/>
      <c r="K151" s="688"/>
      <c r="L151" s="688"/>
      <c r="M151" s="688"/>
      <c r="N151" s="688"/>
    </row>
    <row r="152" spans="1:14">
      <c r="A152" s="186"/>
      <c r="B152" s="689" t="s">
        <v>412</v>
      </c>
      <c r="C152" s="188"/>
      <c r="D152" s="188"/>
      <c r="E152" s="690" t="b">
        <f>OR((LEFT('RFPR cover'!$C$6,2)=Data!F152),'RFPR cover'!$C$5=Data!F152)</f>
        <v>1</v>
      </c>
      <c r="F152" s="243" t="str">
        <f>B162</f>
        <v>ED</v>
      </c>
      <c r="G152" s="691"/>
    </row>
    <row r="153" spans="1:14">
      <c r="A153" s="186"/>
      <c r="B153" s="703" t="str">
        <f>CHOOSE(MATCH(TRUE,$E$152:$E$159,0),B163,B173,B183,E183,B193,E193,B203,E203)&amp;""</f>
        <v>Broad measure of customer service</v>
      </c>
      <c r="C153" s="188"/>
      <c r="D153" s="188"/>
      <c r="E153" s="692" t="b">
        <f>OR((LEFT('RFPR cover'!$C$6,2)=Data!F153),'RFPR cover'!$C$5=Data!F153)</f>
        <v>0</v>
      </c>
      <c r="F153" t="str">
        <f>B172</f>
        <v>GD</v>
      </c>
      <c r="G153" s="185"/>
    </row>
    <row r="154" spans="1:14">
      <c r="A154" s="186"/>
      <c r="B154" s="704" t="str">
        <f t="shared" ref="B154:B160" si="22">CHOOSE(MATCH(TRUE,$E$152:$E$159,0),B164,B174,B184,E184,B194,E194,B204,E204)&amp;""</f>
        <v>Interruptions-related quality of service</v>
      </c>
      <c r="C154" s="188"/>
      <c r="D154" s="188"/>
      <c r="E154" s="692" t="b">
        <f>OR((LEFT('RFPR cover'!$C$6,2)=Data!F154),'RFPR cover'!$C$5=Data!F154)</f>
        <v>0</v>
      </c>
      <c r="F154" s="693" t="str">
        <f>B182</f>
        <v>NGGT (TO)</v>
      </c>
      <c r="G154" s="185"/>
    </row>
    <row r="155" spans="1:14">
      <c r="A155" s="186"/>
      <c r="B155" s="704" t="str">
        <f t="shared" si="22"/>
        <v>Incentive on connections engagement</v>
      </c>
      <c r="C155" s="188"/>
      <c r="D155" s="188"/>
      <c r="E155" s="692" t="b">
        <f>OR((LEFT('RFPR cover'!$C$6,2)=Data!F155),'RFPR cover'!$C$5=Data!F155)</f>
        <v>0</v>
      </c>
      <c r="F155" s="693" t="str">
        <f>E182</f>
        <v>NGGT (SO)</v>
      </c>
      <c r="G155" s="185"/>
    </row>
    <row r="156" spans="1:14">
      <c r="A156" s="186"/>
      <c r="B156" s="704" t="str">
        <f t="shared" si="22"/>
        <v>Time to Connect Incentive</v>
      </c>
      <c r="C156" s="188"/>
      <c r="D156" s="188"/>
      <c r="E156" s="692" t="b">
        <f>OR((LEFT('RFPR cover'!$C$6,2)=Data!F156),'RFPR cover'!$C$5=Data!F156)</f>
        <v>0</v>
      </c>
      <c r="F156" s="693" t="str">
        <f>B192</f>
        <v>NGET (TO)</v>
      </c>
      <c r="G156" s="185"/>
    </row>
    <row r="157" spans="1:14">
      <c r="A157" s="186"/>
      <c r="B157" s="705" t="str">
        <f t="shared" si="22"/>
        <v>Losses discretionary reward scheme</v>
      </c>
      <c r="C157" s="188"/>
      <c r="D157" s="188"/>
      <c r="E157" s="692" t="b">
        <f>OR((LEFT('RFPR cover'!$C$6,2)=Data!F157),'RFPR cover'!$C$5=Data!F157)</f>
        <v>0</v>
      </c>
      <c r="F157" s="693" t="s">
        <v>602</v>
      </c>
      <c r="G157" s="185"/>
    </row>
    <row r="158" spans="1:14">
      <c r="A158" s="186"/>
      <c r="B158" s="705" t="str">
        <f t="shared" si="22"/>
        <v/>
      </c>
      <c r="C158" s="188"/>
      <c r="D158" s="188"/>
      <c r="E158" s="692" t="b">
        <f>OR((LEFT('RFPR cover'!$C$6,2)=Data!F158),'RFPR cover'!$C$5=Data!F158)</f>
        <v>0</v>
      </c>
      <c r="F158" s="693" t="str">
        <f>B202</f>
        <v>SPT</v>
      </c>
      <c r="G158" s="185"/>
    </row>
    <row r="159" spans="1:14">
      <c r="A159" s="186"/>
      <c r="B159" s="705" t="str">
        <f t="shared" si="22"/>
        <v/>
      </c>
      <c r="C159" s="188"/>
      <c r="D159" s="188"/>
      <c r="E159" s="694" t="b">
        <f>OR((LEFT('RFPR cover'!$C$6,2)=Data!F159),'RFPR cover'!$C$5=Data!F159)</f>
        <v>0</v>
      </c>
      <c r="F159" s="695" t="str">
        <f>E202</f>
        <v>SHET</v>
      </c>
      <c r="G159" s="265"/>
    </row>
    <row r="160" spans="1:14">
      <c r="A160" s="186"/>
      <c r="B160" s="188" t="str">
        <f t="shared" si="22"/>
        <v/>
      </c>
      <c r="C160" s="188"/>
      <c r="D160" s="188"/>
      <c r="E160" s="50"/>
      <c r="F160" s="693"/>
    </row>
    <row r="161" spans="1:6">
      <c r="A161" s="186"/>
      <c r="B161" s="188"/>
      <c r="C161" s="188"/>
      <c r="D161" s="188"/>
      <c r="E161" s="50"/>
      <c r="F161" s="693"/>
    </row>
    <row r="162" spans="1:6" ht="12" customHeight="1">
      <c r="A162" s="186"/>
      <c r="B162" s="823" t="s">
        <v>171</v>
      </c>
      <c r="C162" s="824"/>
      <c r="D162" s="188"/>
      <c r="E162" s="188"/>
    </row>
    <row r="163" spans="1:6">
      <c r="A163" s="186"/>
      <c r="B163" s="847" t="s">
        <v>407</v>
      </c>
      <c r="C163" s="848"/>
      <c r="D163" s="188"/>
      <c r="E163" s="188"/>
    </row>
    <row r="164" spans="1:6">
      <c r="A164" s="186"/>
      <c r="B164" s="847" t="s">
        <v>408</v>
      </c>
      <c r="C164" s="848"/>
      <c r="D164" s="188"/>
      <c r="E164" s="188"/>
    </row>
    <row r="165" spans="1:6">
      <c r="A165" s="186"/>
      <c r="B165" s="810" t="s">
        <v>409</v>
      </c>
      <c r="C165" s="811"/>
      <c r="D165" s="188"/>
      <c r="E165" s="188"/>
    </row>
    <row r="166" spans="1:6">
      <c r="A166" s="186"/>
      <c r="B166" s="810" t="s">
        <v>410</v>
      </c>
      <c r="C166" s="811"/>
      <c r="D166" s="188"/>
      <c r="E166" s="188"/>
    </row>
    <row r="167" spans="1:6">
      <c r="A167" s="186"/>
      <c r="B167" s="810" t="s">
        <v>411</v>
      </c>
      <c r="C167" s="811"/>
      <c r="D167" s="188"/>
      <c r="E167" s="188"/>
    </row>
    <row r="168" spans="1:6">
      <c r="A168" s="186"/>
      <c r="B168" s="810"/>
      <c r="C168" s="811"/>
      <c r="D168" s="188"/>
      <c r="E168" s="188"/>
    </row>
    <row r="169" spans="1:6">
      <c r="A169" s="186"/>
      <c r="B169" s="810"/>
      <c r="C169" s="811"/>
      <c r="D169" s="188"/>
      <c r="E169" s="188"/>
    </row>
    <row r="170" spans="1:6">
      <c r="A170" s="186"/>
      <c r="B170" s="188"/>
      <c r="C170" s="188"/>
      <c r="D170" s="188"/>
      <c r="E170" s="188"/>
    </row>
    <row r="171" spans="1:6">
      <c r="A171" s="186"/>
      <c r="B171" s="188"/>
      <c r="C171" s="188"/>
      <c r="D171" s="188"/>
      <c r="E171" s="188"/>
    </row>
    <row r="172" spans="1:6">
      <c r="A172" s="186"/>
      <c r="B172" s="823" t="s">
        <v>172</v>
      </c>
      <c r="C172" s="824"/>
      <c r="D172" s="188"/>
      <c r="E172" s="188"/>
    </row>
    <row r="173" spans="1:6" ht="12.75" customHeight="1">
      <c r="A173" s="186"/>
      <c r="B173" s="818" t="s">
        <v>222</v>
      </c>
      <c r="C173" s="819"/>
      <c r="D173" s="188"/>
      <c r="E173" s="188"/>
    </row>
    <row r="174" spans="1:6" ht="12.75" customHeight="1">
      <c r="A174" s="186"/>
      <c r="B174" s="815" t="s">
        <v>223</v>
      </c>
      <c r="C174" s="817"/>
      <c r="D174" s="188"/>
      <c r="E174" s="188"/>
    </row>
    <row r="175" spans="1:6" ht="12.75" customHeight="1">
      <c r="A175" s="186"/>
      <c r="B175" s="815" t="s">
        <v>224</v>
      </c>
      <c r="C175" s="817"/>
      <c r="D175" s="188"/>
      <c r="E175" s="188"/>
    </row>
    <row r="176" spans="1:6" ht="12.75" customHeight="1">
      <c r="A176" s="186"/>
      <c r="B176" s="815" t="s">
        <v>225</v>
      </c>
      <c r="C176" s="817"/>
      <c r="D176" s="188"/>
      <c r="E176" s="188"/>
    </row>
    <row r="177" spans="1:9" ht="12.75" customHeight="1">
      <c r="A177" s="186"/>
      <c r="B177" s="812" t="s">
        <v>305</v>
      </c>
      <c r="C177" s="814"/>
      <c r="D177" s="188"/>
      <c r="E177" s="188"/>
    </row>
    <row r="178" spans="1:9" ht="12.75" customHeight="1">
      <c r="A178" s="186"/>
      <c r="B178" s="812"/>
      <c r="C178" s="814"/>
      <c r="D178" s="188"/>
      <c r="E178" s="188"/>
    </row>
    <row r="179" spans="1:9" ht="12.75" customHeight="1">
      <c r="A179" s="186"/>
      <c r="B179" s="812"/>
      <c r="C179" s="814"/>
      <c r="D179" s="188"/>
      <c r="E179" s="188"/>
    </row>
    <row r="180" spans="1:9">
      <c r="A180" s="186"/>
      <c r="B180" s="188"/>
      <c r="C180" s="188"/>
      <c r="D180" s="188"/>
      <c r="E180" s="188"/>
    </row>
    <row r="181" spans="1:9">
      <c r="A181" s="186"/>
      <c r="B181" s="188"/>
      <c r="C181" s="188"/>
      <c r="D181" s="188"/>
      <c r="E181" s="188"/>
    </row>
    <row r="182" spans="1:9">
      <c r="A182" s="186"/>
      <c r="B182" s="820" t="str">
        <f>B95</f>
        <v>NGGT (TO)</v>
      </c>
      <c r="C182" s="821"/>
      <c r="D182" s="188"/>
      <c r="E182" s="820" t="str">
        <f>B96</f>
        <v>NGGT (SO)</v>
      </c>
      <c r="F182" s="846"/>
      <c r="G182" s="846"/>
      <c r="H182" s="846"/>
      <c r="I182" s="824"/>
    </row>
    <row r="183" spans="1:9" ht="12.4" customHeight="1">
      <c r="A183" s="186"/>
      <c r="B183" s="818" t="s">
        <v>218</v>
      </c>
      <c r="C183" s="819"/>
      <c r="D183" s="188"/>
      <c r="E183" s="815" t="s">
        <v>535</v>
      </c>
      <c r="F183" s="816" t="s">
        <v>535</v>
      </c>
      <c r="G183" s="816" t="s">
        <v>535</v>
      </c>
      <c r="H183" s="816" t="s">
        <v>535</v>
      </c>
      <c r="I183" s="817" t="s">
        <v>535</v>
      </c>
    </row>
    <row r="184" spans="1:9" ht="12.4" customHeight="1">
      <c r="A184" s="186"/>
      <c r="B184" s="815" t="s">
        <v>226</v>
      </c>
      <c r="C184" s="817"/>
      <c r="D184" s="188"/>
      <c r="E184" s="815" t="s">
        <v>536</v>
      </c>
      <c r="F184" s="816" t="s">
        <v>536</v>
      </c>
      <c r="G184" s="816" t="s">
        <v>536</v>
      </c>
      <c r="H184" s="816" t="s">
        <v>536</v>
      </c>
      <c r="I184" s="817" t="s">
        <v>536</v>
      </c>
    </row>
    <row r="185" spans="1:9" ht="12.4" customHeight="1">
      <c r="A185" s="186"/>
      <c r="B185" s="815"/>
      <c r="C185" s="817"/>
      <c r="D185" s="188"/>
      <c r="E185" s="815" t="s">
        <v>537</v>
      </c>
      <c r="F185" s="816" t="s">
        <v>537</v>
      </c>
      <c r="G185" s="816" t="s">
        <v>537</v>
      </c>
      <c r="H185" s="816" t="s">
        <v>537</v>
      </c>
      <c r="I185" s="817" t="s">
        <v>537</v>
      </c>
    </row>
    <row r="186" spans="1:9" ht="12.4" customHeight="1">
      <c r="A186" s="186"/>
      <c r="B186" s="815"/>
      <c r="C186" s="817"/>
      <c r="D186" s="188"/>
      <c r="E186" s="815" t="s">
        <v>538</v>
      </c>
      <c r="F186" s="816" t="s">
        <v>538</v>
      </c>
      <c r="G186" s="816" t="s">
        <v>538</v>
      </c>
      <c r="H186" s="816" t="s">
        <v>538</v>
      </c>
      <c r="I186" s="817" t="s">
        <v>538</v>
      </c>
    </row>
    <row r="187" spans="1:9" ht="12.4" customHeight="1">
      <c r="A187" s="186"/>
      <c r="B187" s="812"/>
      <c r="C187" s="814"/>
      <c r="D187" s="188"/>
      <c r="E187" s="815" t="s">
        <v>539</v>
      </c>
      <c r="F187" s="816" t="s">
        <v>539</v>
      </c>
      <c r="G187" s="816" t="s">
        <v>539</v>
      </c>
      <c r="H187" s="816" t="s">
        <v>539</v>
      </c>
      <c r="I187" s="817" t="s">
        <v>539</v>
      </c>
    </row>
    <row r="188" spans="1:9" ht="12.4" customHeight="1">
      <c r="A188" s="186"/>
      <c r="B188" s="812"/>
      <c r="C188" s="814"/>
      <c r="D188" s="188"/>
      <c r="E188" s="815" t="s">
        <v>540</v>
      </c>
      <c r="F188" s="816" t="s">
        <v>540</v>
      </c>
      <c r="G188" s="816" t="s">
        <v>540</v>
      </c>
      <c r="H188" s="816" t="s">
        <v>540</v>
      </c>
      <c r="I188" s="817" t="s">
        <v>540</v>
      </c>
    </row>
    <row r="189" spans="1:9" ht="12.4" customHeight="1">
      <c r="A189" s="186"/>
      <c r="B189" s="812"/>
      <c r="C189" s="814"/>
      <c r="D189" s="188"/>
      <c r="E189" s="815" t="s">
        <v>541</v>
      </c>
      <c r="F189" s="816" t="s">
        <v>541</v>
      </c>
      <c r="G189" s="816" t="s">
        <v>541</v>
      </c>
      <c r="H189" s="816" t="s">
        <v>541</v>
      </c>
      <c r="I189" s="817" t="s">
        <v>541</v>
      </c>
    </row>
    <row r="190" spans="1:9">
      <c r="A190" s="186"/>
      <c r="B190" s="188"/>
      <c r="C190" s="188"/>
      <c r="D190" s="188"/>
      <c r="E190" s="188"/>
    </row>
    <row r="191" spans="1:9">
      <c r="A191" s="186"/>
      <c r="B191" s="188"/>
      <c r="C191" s="188"/>
      <c r="D191" s="188"/>
      <c r="E191" s="188"/>
    </row>
    <row r="192" spans="1:9">
      <c r="A192" s="186"/>
      <c r="B192" s="820" t="str">
        <f>B97</f>
        <v>NGET (TO)</v>
      </c>
      <c r="C192" s="821"/>
      <c r="D192" s="188"/>
      <c r="E192" s="820" t="str">
        <f>B98</f>
        <v>NGET (SO)</v>
      </c>
      <c r="F192" s="846"/>
      <c r="G192" s="846"/>
      <c r="H192" s="846"/>
      <c r="I192" s="824"/>
    </row>
    <row r="193" spans="1:9" ht="12.75" customHeight="1">
      <c r="A193" s="186"/>
      <c r="B193" s="818" t="s">
        <v>217</v>
      </c>
      <c r="C193" s="819"/>
      <c r="D193" s="188"/>
      <c r="E193" s="815" t="s">
        <v>542</v>
      </c>
      <c r="F193" s="816" t="s">
        <v>542</v>
      </c>
      <c r="G193" s="816" t="s">
        <v>542</v>
      </c>
      <c r="H193" s="816" t="s">
        <v>542</v>
      </c>
      <c r="I193" s="817" t="s">
        <v>542</v>
      </c>
    </row>
    <row r="194" spans="1:9" ht="12.75" customHeight="1">
      <c r="A194" s="186"/>
      <c r="B194" s="815" t="s">
        <v>218</v>
      </c>
      <c r="C194" s="817"/>
      <c r="D194" s="188"/>
      <c r="E194" s="815" t="s">
        <v>543</v>
      </c>
      <c r="F194" s="816" t="s">
        <v>543</v>
      </c>
      <c r="G194" s="816" t="s">
        <v>543</v>
      </c>
      <c r="H194" s="816" t="s">
        <v>543</v>
      </c>
      <c r="I194" s="817" t="s">
        <v>543</v>
      </c>
    </row>
    <row r="195" spans="1:9" ht="12.75" customHeight="1">
      <c r="A195" s="186"/>
      <c r="B195" s="815" t="s">
        <v>219</v>
      </c>
      <c r="C195" s="817"/>
      <c r="D195" s="188"/>
      <c r="E195" s="815" t="s">
        <v>544</v>
      </c>
      <c r="F195" s="816" t="s">
        <v>544</v>
      </c>
      <c r="G195" s="816" t="s">
        <v>544</v>
      </c>
      <c r="H195" s="816" t="s">
        <v>544</v>
      </c>
      <c r="I195" s="817" t="s">
        <v>544</v>
      </c>
    </row>
    <row r="196" spans="1:9" ht="12.75" customHeight="1">
      <c r="A196" s="186"/>
      <c r="B196" s="815" t="s">
        <v>220</v>
      </c>
      <c r="C196" s="817"/>
      <c r="D196" s="188"/>
      <c r="E196" s="815"/>
      <c r="F196" s="816"/>
      <c r="G196" s="816"/>
      <c r="H196" s="816"/>
      <c r="I196" s="817"/>
    </row>
    <row r="197" spans="1:9" ht="12.75" customHeight="1">
      <c r="A197" s="186"/>
      <c r="B197" s="812"/>
      <c r="C197" s="814"/>
      <c r="D197" s="188"/>
      <c r="E197" s="812"/>
      <c r="F197" s="813"/>
      <c r="G197" s="813"/>
      <c r="H197" s="813"/>
      <c r="I197" s="814"/>
    </row>
    <row r="198" spans="1:9" ht="12.75" customHeight="1">
      <c r="A198" s="186"/>
      <c r="B198" s="812"/>
      <c r="C198" s="814"/>
      <c r="D198" s="188"/>
      <c r="E198" s="812"/>
      <c r="F198" s="813"/>
      <c r="G198" s="813"/>
      <c r="H198" s="813"/>
      <c r="I198" s="814"/>
    </row>
    <row r="199" spans="1:9" ht="12.75" customHeight="1">
      <c r="A199" s="186"/>
      <c r="B199" s="812"/>
      <c r="C199" s="814"/>
      <c r="D199" s="188"/>
      <c r="E199" s="812"/>
      <c r="F199" s="813"/>
      <c r="G199" s="813"/>
      <c r="H199" s="813"/>
      <c r="I199" s="814"/>
    </row>
    <row r="200" spans="1:9" ht="12.75" customHeight="1">
      <c r="A200" s="186"/>
      <c r="B200" s="186"/>
      <c r="C200" s="186"/>
      <c r="D200" s="188"/>
      <c r="E200" s="685"/>
      <c r="F200" s="685"/>
      <c r="G200" s="685"/>
      <c r="H200" s="685"/>
      <c r="I200" s="685"/>
    </row>
    <row r="201" spans="1:9" ht="12.75" customHeight="1">
      <c r="A201" s="186"/>
      <c r="B201" s="186"/>
      <c r="C201" s="186"/>
      <c r="D201" s="188"/>
      <c r="E201" s="685"/>
      <c r="F201" s="685"/>
      <c r="G201" s="685"/>
      <c r="H201" s="685"/>
      <c r="I201" s="685"/>
    </row>
    <row r="202" spans="1:9">
      <c r="A202" s="186"/>
      <c r="B202" s="820" t="str">
        <f>B145</f>
        <v>SPT</v>
      </c>
      <c r="C202" s="821"/>
      <c r="D202" s="188"/>
      <c r="E202" s="820" t="str">
        <f>B100</f>
        <v>SHET</v>
      </c>
      <c r="F202" s="846"/>
      <c r="G202" s="846"/>
      <c r="H202" s="846"/>
      <c r="I202" s="824"/>
    </row>
    <row r="203" spans="1:9" ht="12.75" customHeight="1">
      <c r="A203" s="186"/>
      <c r="B203" s="818" t="s">
        <v>217</v>
      </c>
      <c r="C203" s="819"/>
      <c r="D203" s="188"/>
      <c r="E203" s="818" t="s">
        <v>217</v>
      </c>
      <c r="F203" s="849"/>
      <c r="G203" s="849"/>
      <c r="H203" s="849"/>
      <c r="I203" s="819"/>
    </row>
    <row r="204" spans="1:9" ht="12.75" customHeight="1">
      <c r="A204" s="186"/>
      <c r="B204" s="815" t="s">
        <v>218</v>
      </c>
      <c r="C204" s="817"/>
      <c r="D204" s="188"/>
      <c r="E204" s="815" t="s">
        <v>218</v>
      </c>
      <c r="F204" s="816"/>
      <c r="G204" s="816"/>
      <c r="H204" s="816"/>
      <c r="I204" s="817"/>
    </row>
    <row r="205" spans="1:9" ht="12.75" customHeight="1">
      <c r="A205" s="186"/>
      <c r="B205" s="815" t="s">
        <v>219</v>
      </c>
      <c r="C205" s="817"/>
      <c r="D205" s="188"/>
      <c r="E205" s="815" t="s">
        <v>219</v>
      </c>
      <c r="F205" s="816"/>
      <c r="G205" s="816"/>
      <c r="H205" s="816"/>
      <c r="I205" s="817"/>
    </row>
    <row r="206" spans="1:9" ht="12.75" customHeight="1">
      <c r="A206" s="186"/>
      <c r="B206" s="815" t="s">
        <v>220</v>
      </c>
      <c r="C206" s="817"/>
      <c r="D206" s="188"/>
      <c r="E206" s="815" t="s">
        <v>220</v>
      </c>
      <c r="F206" s="816"/>
      <c r="G206" s="816"/>
      <c r="H206" s="816"/>
      <c r="I206" s="817"/>
    </row>
    <row r="207" spans="1:9" ht="12.75" customHeight="1">
      <c r="A207" s="186"/>
      <c r="B207" s="812" t="s">
        <v>221</v>
      </c>
      <c r="C207" s="814"/>
      <c r="D207" s="188"/>
      <c r="E207" s="812" t="s">
        <v>221</v>
      </c>
      <c r="F207" s="813"/>
      <c r="G207" s="813"/>
      <c r="H207" s="813"/>
      <c r="I207" s="814"/>
    </row>
    <row r="208" spans="1:9" ht="12.75" customHeight="1">
      <c r="A208" s="186"/>
      <c r="B208" s="812"/>
      <c r="C208" s="814"/>
      <c r="D208" s="188"/>
      <c r="E208" s="812"/>
      <c r="F208" s="813"/>
      <c r="G208" s="813"/>
      <c r="H208" s="813"/>
      <c r="I208" s="814"/>
    </row>
    <row r="209" spans="1:14" ht="12.75" customHeight="1">
      <c r="A209" s="186"/>
      <c r="B209" s="812"/>
      <c r="C209" s="814"/>
      <c r="D209" s="188"/>
      <c r="E209" s="812"/>
      <c r="F209" s="813"/>
      <c r="G209" s="813"/>
      <c r="H209" s="813"/>
      <c r="I209" s="814"/>
    </row>
    <row r="210" spans="1:14">
      <c r="A210" s="186"/>
      <c r="D210" s="188"/>
      <c r="E210" s="188"/>
    </row>
    <row r="211" spans="1:14">
      <c r="A211" s="186"/>
      <c r="D211" s="188"/>
      <c r="E211" s="188"/>
    </row>
    <row r="212" spans="1:14" ht="12.75" customHeight="1">
      <c r="A212" s="186"/>
      <c r="B212" s="822" t="s">
        <v>239</v>
      </c>
      <c r="C212" s="822"/>
      <c r="D212" s="822"/>
      <c r="E212" s="255"/>
      <c r="F212" s="197"/>
      <c r="G212" s="197"/>
      <c r="H212" s="197"/>
      <c r="I212" s="197"/>
      <c r="J212" s="197"/>
      <c r="K212" s="197"/>
      <c r="L212" s="197"/>
      <c r="M212" s="197"/>
      <c r="N212" s="197"/>
    </row>
    <row r="213" spans="1:14">
      <c r="A213" s="186"/>
      <c r="B213" s="188"/>
      <c r="C213" s="188"/>
      <c r="D213" s="188"/>
      <c r="E213" s="188"/>
    </row>
    <row r="214" spans="1:14" ht="27">
      <c r="A214" s="186"/>
      <c r="B214" s="190" t="s">
        <v>128</v>
      </c>
      <c r="C214" s="189" t="s">
        <v>207</v>
      </c>
      <c r="D214" s="188"/>
      <c r="E214" s="188"/>
    </row>
    <row r="215" spans="1:14" ht="27">
      <c r="A215" s="186"/>
      <c r="B215" s="191" t="s">
        <v>129</v>
      </c>
      <c r="C215" s="258" t="s">
        <v>208</v>
      </c>
      <c r="D215" s="188"/>
      <c r="E215" s="188"/>
    </row>
    <row r="216" spans="1:14">
      <c r="B216" s="181"/>
    </row>
    <row r="217" spans="1:14">
      <c r="B217" s="51"/>
      <c r="I217" s="58"/>
    </row>
    <row r="218" spans="1:14">
      <c r="B218" s="697" t="s">
        <v>414</v>
      </c>
      <c r="I218" s="58"/>
    </row>
    <row r="219" spans="1:14">
      <c r="B219" s="698" t="s">
        <v>287</v>
      </c>
    </row>
    <row r="220" spans="1:14">
      <c r="B220" s="699" t="s">
        <v>286</v>
      </c>
    </row>
    <row r="221" spans="1:14">
      <c r="B221" s="702" t="s">
        <v>284</v>
      </c>
    </row>
    <row r="222" spans="1:14">
      <c r="B222" s="700"/>
    </row>
    <row r="223" spans="1:14">
      <c r="B223" s="181"/>
    </row>
    <row r="224" spans="1:14">
      <c r="B224" s="697" t="s">
        <v>282</v>
      </c>
    </row>
    <row r="225" spans="2:2">
      <c r="B225" s="701" t="s">
        <v>415</v>
      </c>
    </row>
    <row r="226" spans="2:2">
      <c r="B226" s="699" t="s">
        <v>416</v>
      </c>
    </row>
    <row r="227" spans="2:2">
      <c r="B227" s="699" t="s">
        <v>293</v>
      </c>
    </row>
    <row r="228" spans="2:2">
      <c r="B228" s="699" t="s">
        <v>417</v>
      </c>
    </row>
    <row r="229" spans="2:2">
      <c r="B229" s="699" t="s">
        <v>418</v>
      </c>
    </row>
    <row r="230" spans="2:2">
      <c r="B230" s="699" t="s">
        <v>285</v>
      </c>
    </row>
    <row r="231" spans="2:2">
      <c r="B231" s="699" t="s">
        <v>419</v>
      </c>
    </row>
    <row r="232" spans="2:2">
      <c r="B232" s="699"/>
    </row>
    <row r="233" spans="2:2">
      <c r="B233" s="700"/>
    </row>
    <row r="234" spans="2:2">
      <c r="B234" s="181"/>
    </row>
    <row r="235" spans="2:2">
      <c r="B235" s="697" t="s">
        <v>292</v>
      </c>
    </row>
    <row r="236" spans="2:2">
      <c r="B236" s="701" t="s">
        <v>420</v>
      </c>
    </row>
    <row r="237" spans="2:2">
      <c r="B237" s="699" t="s">
        <v>421</v>
      </c>
    </row>
    <row r="238" spans="2:2">
      <c r="B238" s="699" t="s">
        <v>422</v>
      </c>
    </row>
    <row r="239" spans="2:2">
      <c r="B239" s="699" t="s">
        <v>423</v>
      </c>
    </row>
    <row r="240" spans="2:2">
      <c r="B240" s="699" t="s">
        <v>424</v>
      </c>
    </row>
    <row r="241" spans="2:2">
      <c r="B241" s="700"/>
    </row>
    <row r="242" spans="2:2">
      <c r="B242" s="181"/>
    </row>
    <row r="243" spans="2:2">
      <c r="B243" s="697" t="s">
        <v>425</v>
      </c>
    </row>
    <row r="244" spans="2:2">
      <c r="B244" s="701" t="s">
        <v>426</v>
      </c>
    </row>
    <row r="245" spans="2:2">
      <c r="B245" s="699" t="s">
        <v>427</v>
      </c>
    </row>
    <row r="246" spans="2:2">
      <c r="B246" s="700"/>
    </row>
    <row r="247" spans="2:2">
      <c r="B247" s="181"/>
    </row>
    <row r="248" spans="2:2">
      <c r="B248" s="697" t="s">
        <v>428</v>
      </c>
    </row>
    <row r="249" spans="2:2">
      <c r="B249" s="701" t="s">
        <v>466</v>
      </c>
    </row>
    <row r="250" spans="2:2">
      <c r="B250" s="699" t="s">
        <v>465</v>
      </c>
    </row>
    <row r="251" spans="2:2">
      <c r="B251" s="700" t="s">
        <v>269</v>
      </c>
    </row>
    <row r="252" spans="2:2">
      <c r="B252" s="181"/>
    </row>
    <row r="253" spans="2:2">
      <c r="B253" s="697" t="s">
        <v>283</v>
      </c>
    </row>
    <row r="254" spans="2:2">
      <c r="B254" s="701" t="s">
        <v>429</v>
      </c>
    </row>
    <row r="255" spans="2:2">
      <c r="B255" s="699" t="s">
        <v>470</v>
      </c>
    </row>
    <row r="256" spans="2:2">
      <c r="B256" s="699"/>
    </row>
    <row r="257" spans="2:2">
      <c r="B257" s="700"/>
    </row>
    <row r="258" spans="2:2">
      <c r="B258" s="181"/>
    </row>
    <row r="259" spans="2:2">
      <c r="B259" s="697" t="s">
        <v>288</v>
      </c>
    </row>
    <row r="260" spans="2:2">
      <c r="B260" s="701" t="s">
        <v>289</v>
      </c>
    </row>
    <row r="261" spans="2:2">
      <c r="B261" s="699" t="s">
        <v>294</v>
      </c>
    </row>
    <row r="262" spans="2:2">
      <c r="B262" s="699"/>
    </row>
    <row r="263" spans="2:2">
      <c r="B263" s="700"/>
    </row>
    <row r="264" spans="2:2">
      <c r="B264" s="181"/>
    </row>
    <row r="265" spans="2:2">
      <c r="B265" s="697" t="s">
        <v>430</v>
      </c>
    </row>
    <row r="266" spans="2:2">
      <c r="B266" s="701" t="s">
        <v>287</v>
      </c>
    </row>
    <row r="267" spans="2:2">
      <c r="B267" s="699" t="s">
        <v>286</v>
      </c>
    </row>
    <row r="268" spans="2:2">
      <c r="B268" s="700"/>
    </row>
  </sheetData>
  <sheetProtection algorithmName="SHA-512" hashValue="cQgUbFjHEZeqazqRPrzvt8AUrvvd9rh7kSm07BMypEuUcqgrb+AeETFW0fY60KhJp1Uu1/PlioOSVYVW0WXoSw==" saltValue="GL+p2dt5q2avlu/EA7yvhQ==" spinCount="100000" sheet="1" objects="1" scenarios="1"/>
  <mergeCells count="77">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P39:R3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B23:C30">
    <cfRule type="expression" dxfId="58" priority="111">
      <formula>$D13="Forecast"</formula>
    </cfRule>
  </conditionalFormatting>
  <conditionalFormatting sqref="B14:D30">
    <cfRule type="cellIs" dxfId="57" priority="14" operator="equal">
      <formula>"Forecast"</formula>
    </cfRule>
  </conditionalFormatting>
  <conditionalFormatting sqref="C47">
    <cfRule type="expression" dxfId="56" priority="18">
      <formula>AND(#REF!="Actuals",#REF!="Forecast")</formula>
    </cfRule>
  </conditionalFormatting>
  <conditionalFormatting sqref="C50:J50">
    <cfRule type="expression" dxfId="54" priority="17">
      <formula>AND(#REF!="Actuals",#REF!="Forecast")</formula>
    </cfRule>
  </conditionalFormatting>
  <conditionalFormatting sqref="C105:J105">
    <cfRule type="expression" dxfId="53" priority="20">
      <formula>AND(#REF!="Actuals",#REF!="Forecast")</formula>
    </cfRule>
  </conditionalFormatting>
  <conditionalFormatting sqref="C62:L62">
    <cfRule type="expression" dxfId="52" priority="3">
      <formula>AND(#REF!="Actuals",#REF!="Forecast")</formula>
    </cfRule>
  </conditionalFormatting>
  <conditionalFormatting sqref="C118:L118">
    <cfRule type="expression" dxfId="51" priority="1">
      <formula>AND(#REF!="Actuals",#REF!="Forecast")</formula>
    </cfRule>
  </conditionalFormatting>
  <conditionalFormatting sqref="K71">
    <cfRule type="expression" dxfId="49" priority="5">
      <formula>AND(#REF!="Actuals",#REF!="Forecast")</formula>
    </cfRule>
  </conditionalFormatting>
  <conditionalFormatting sqref="K72:T72">
    <cfRule type="expression" dxfId="48" priority="4">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D38:J38 D42:J42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3"/>
  <sheetViews>
    <sheetView showGridLines="0" zoomScale="80" zoomScaleNormal="80" workbookViewId="0">
      <pane ySplit="3" topLeftCell="A4" activePane="bottomLeft" state="frozen"/>
      <selection pane="bottomLeft"/>
    </sheetView>
  </sheetViews>
  <sheetFormatPr defaultRowHeight="13.5"/>
  <cols>
    <col min="1" max="1" width="8.3828125" customWidth="1"/>
    <col min="2" max="2" width="23.765625" customWidth="1"/>
    <col min="3" max="3" width="25.765625" customWidth="1"/>
    <col min="4" max="4" width="9.765625" customWidth="1"/>
  </cols>
  <sheetData>
    <row r="1" spans="1:13" ht="20">
      <c r="A1" s="764" t="s">
        <v>83</v>
      </c>
      <c r="B1" s="764"/>
      <c r="C1" s="764"/>
      <c r="D1" s="764"/>
      <c r="E1" s="764"/>
      <c r="F1" s="764"/>
      <c r="G1" s="764"/>
      <c r="H1" s="764"/>
      <c r="I1" s="31" t="s">
        <v>84</v>
      </c>
      <c r="J1" s="32"/>
      <c r="K1" s="32"/>
      <c r="L1" s="32"/>
      <c r="M1" s="32"/>
    </row>
    <row r="2" spans="1:13" ht="20">
      <c r="A2" s="764" t="str">
        <f>'RFPR cover'!C5</f>
        <v>NPgN</v>
      </c>
      <c r="B2" s="764"/>
      <c r="C2" s="764"/>
      <c r="D2" s="764"/>
      <c r="E2" s="764"/>
      <c r="F2" s="764"/>
      <c r="G2" s="764"/>
      <c r="H2" s="764"/>
      <c r="I2" s="32"/>
      <c r="J2" s="32"/>
      <c r="K2" s="32"/>
      <c r="L2" s="32"/>
      <c r="M2" s="32"/>
    </row>
    <row r="3" spans="1:13" ht="20">
      <c r="A3" s="764">
        <f>'RFPR cover'!C7</f>
        <v>2023</v>
      </c>
      <c r="B3" s="764"/>
      <c r="C3" s="764"/>
      <c r="D3" s="764"/>
      <c r="E3" s="764"/>
      <c r="F3" s="764"/>
      <c r="G3" s="764"/>
      <c r="H3" s="764"/>
      <c r="I3" s="32"/>
      <c r="J3" s="32"/>
      <c r="K3" s="32"/>
      <c r="L3" s="32"/>
      <c r="M3" s="32"/>
    </row>
    <row r="4" spans="1:13">
      <c r="A4" s="24"/>
      <c r="B4" s="24"/>
      <c r="C4" s="24"/>
      <c r="D4" s="24"/>
      <c r="E4" s="24"/>
      <c r="F4" s="24"/>
      <c r="G4" s="24"/>
      <c r="H4" s="24"/>
      <c r="I4" s="24"/>
      <c r="J4" s="24"/>
      <c r="K4" s="24"/>
      <c r="L4" s="24"/>
      <c r="M4" s="24"/>
    </row>
    <row r="5" spans="1:13">
      <c r="A5" s="24"/>
      <c r="B5" s="24"/>
      <c r="C5" s="24"/>
      <c r="D5" s="24"/>
      <c r="E5" s="24"/>
      <c r="F5" s="24"/>
      <c r="G5" s="24"/>
      <c r="H5" s="24"/>
      <c r="I5" s="24"/>
      <c r="J5" s="24"/>
      <c r="K5" s="24"/>
      <c r="L5" s="24"/>
      <c r="M5" s="24"/>
    </row>
    <row r="6" spans="1:13">
      <c r="A6" s="24"/>
      <c r="B6" s="25" t="s">
        <v>85</v>
      </c>
      <c r="C6" s="24"/>
      <c r="D6" s="24"/>
      <c r="E6" s="24"/>
      <c r="F6" s="24"/>
      <c r="G6" s="24"/>
      <c r="H6" s="24"/>
      <c r="I6" s="24"/>
      <c r="J6" s="24"/>
      <c r="K6" s="24"/>
      <c r="L6" s="24"/>
      <c r="M6" s="24"/>
    </row>
    <row r="7" spans="1:13">
      <c r="A7" s="24"/>
      <c r="B7" s="24"/>
      <c r="C7" s="24"/>
      <c r="D7" s="24"/>
      <c r="E7" s="24"/>
      <c r="F7" s="24"/>
      <c r="G7" s="24"/>
      <c r="H7" s="24"/>
      <c r="I7" s="24"/>
      <c r="J7" s="24"/>
      <c r="K7" s="24"/>
      <c r="L7" s="24"/>
      <c r="M7" s="24"/>
    </row>
    <row r="8" spans="1:13">
      <c r="A8" s="24"/>
      <c r="B8" s="43" t="s">
        <v>86</v>
      </c>
      <c r="C8" s="43" t="s">
        <v>87</v>
      </c>
      <c r="D8" s="852" t="s">
        <v>88</v>
      </c>
      <c r="E8" s="853"/>
      <c r="F8" s="853"/>
      <c r="G8" s="853"/>
      <c r="H8" s="853"/>
      <c r="I8" s="24"/>
      <c r="J8" s="24"/>
      <c r="K8" s="24"/>
      <c r="L8" s="24"/>
      <c r="M8" s="24"/>
    </row>
    <row r="9" spans="1:13">
      <c r="A9" s="24"/>
      <c r="B9" s="26" t="s">
        <v>89</v>
      </c>
      <c r="C9" s="42">
        <v>45138</v>
      </c>
      <c r="D9" s="850"/>
      <c r="E9" s="851"/>
      <c r="F9" s="851"/>
      <c r="G9" s="851"/>
      <c r="H9" s="851"/>
      <c r="I9" s="24"/>
      <c r="J9" s="24"/>
      <c r="K9" s="24"/>
      <c r="L9" s="24"/>
      <c r="M9" s="24"/>
    </row>
    <row r="10" spans="1:13">
      <c r="A10" s="24"/>
      <c r="B10" s="26" t="s">
        <v>90</v>
      </c>
      <c r="C10" s="42"/>
      <c r="D10" s="850"/>
      <c r="E10" s="851"/>
      <c r="F10" s="851"/>
      <c r="G10" s="851"/>
      <c r="H10" s="851"/>
      <c r="I10" s="24"/>
      <c r="J10" s="24"/>
      <c r="K10" s="24"/>
      <c r="L10" s="24"/>
      <c r="M10" s="24"/>
    </row>
    <row r="11" spans="1:13">
      <c r="A11" s="24"/>
      <c r="B11" s="26" t="s">
        <v>91</v>
      </c>
      <c r="C11" s="42"/>
      <c r="D11" s="850"/>
      <c r="E11" s="851"/>
      <c r="F11" s="851"/>
      <c r="G11" s="851"/>
      <c r="H11" s="851"/>
      <c r="I11" s="24"/>
      <c r="J11" s="24"/>
      <c r="K11" s="24"/>
      <c r="L11" s="24"/>
      <c r="M11" s="24"/>
    </row>
    <row r="12" spans="1:13">
      <c r="A12" s="24"/>
      <c r="B12" s="26" t="s">
        <v>92</v>
      </c>
      <c r="C12" s="42"/>
      <c r="D12" s="850"/>
      <c r="E12" s="851"/>
      <c r="F12" s="851"/>
      <c r="G12" s="851"/>
      <c r="H12" s="851"/>
      <c r="I12" s="24"/>
      <c r="J12" s="24"/>
      <c r="K12" s="24"/>
      <c r="L12" s="24"/>
      <c r="M12" s="24"/>
    </row>
    <row r="13" spans="1:13">
      <c r="A13" s="24"/>
      <c r="B13" s="26" t="s">
        <v>93</v>
      </c>
      <c r="C13" s="42"/>
      <c r="D13" s="850"/>
      <c r="E13" s="851"/>
      <c r="F13" s="851"/>
      <c r="G13" s="851"/>
      <c r="H13" s="851"/>
      <c r="I13" s="24"/>
      <c r="J13" s="24"/>
      <c r="K13" s="24"/>
      <c r="L13" s="24"/>
      <c r="M13" s="24"/>
    </row>
    <row r="14" spans="1:13">
      <c r="A14" s="24"/>
      <c r="B14" s="26" t="s">
        <v>94</v>
      </c>
      <c r="C14" s="42"/>
      <c r="D14" s="850"/>
      <c r="E14" s="851"/>
      <c r="F14" s="851"/>
      <c r="G14" s="851"/>
      <c r="H14" s="851"/>
      <c r="I14" s="24"/>
      <c r="J14" s="24"/>
      <c r="K14" s="24"/>
      <c r="L14" s="24"/>
      <c r="M14" s="24"/>
    </row>
    <row r="15" spans="1:13">
      <c r="A15" s="24"/>
      <c r="B15" s="26" t="s">
        <v>95</v>
      </c>
      <c r="C15" s="42"/>
      <c r="D15" s="850"/>
      <c r="E15" s="851"/>
      <c r="F15" s="851"/>
      <c r="G15" s="851"/>
      <c r="H15" s="851"/>
      <c r="I15" s="24"/>
      <c r="J15" s="24"/>
      <c r="K15" s="24"/>
      <c r="L15" s="24"/>
      <c r="M15" s="24"/>
    </row>
    <row r="16" spans="1:13">
      <c r="A16" s="24"/>
      <c r="B16" s="26" t="s">
        <v>96</v>
      </c>
      <c r="C16" s="42"/>
      <c r="D16" s="850"/>
      <c r="E16" s="851"/>
      <c r="F16" s="851"/>
      <c r="G16" s="851"/>
      <c r="H16" s="851"/>
      <c r="I16" s="24"/>
      <c r="J16" s="24"/>
      <c r="K16" s="24"/>
      <c r="L16" s="24"/>
      <c r="M16" s="24"/>
    </row>
    <row r="17" spans="1:13">
      <c r="A17" s="24"/>
      <c r="B17" s="26" t="s">
        <v>97</v>
      </c>
      <c r="C17" s="42"/>
      <c r="D17" s="850"/>
      <c r="E17" s="851"/>
      <c r="F17" s="851"/>
      <c r="G17" s="851"/>
      <c r="H17" s="851"/>
      <c r="I17" s="24"/>
      <c r="J17" s="24"/>
      <c r="K17" s="24"/>
      <c r="L17" s="24"/>
      <c r="M17" s="24"/>
    </row>
    <row r="18" spans="1:13">
      <c r="A18" s="24"/>
      <c r="B18" s="26" t="s">
        <v>98</v>
      </c>
      <c r="C18" s="42"/>
      <c r="D18" s="850"/>
      <c r="E18" s="851"/>
      <c r="F18" s="851"/>
      <c r="G18" s="851"/>
      <c r="H18" s="851"/>
      <c r="I18" s="24"/>
      <c r="J18" s="24"/>
      <c r="K18" s="24"/>
      <c r="L18" s="24"/>
      <c r="M18" s="24"/>
    </row>
    <row r="19" spans="1:13">
      <c r="A19" s="24"/>
      <c r="B19" s="24"/>
      <c r="C19" s="24"/>
      <c r="D19" s="24"/>
      <c r="E19" s="24"/>
      <c r="F19" s="24"/>
      <c r="G19" s="24"/>
      <c r="H19" s="24"/>
      <c r="I19" s="24"/>
      <c r="J19" s="24"/>
      <c r="K19" s="24"/>
      <c r="L19" s="24"/>
      <c r="M19" s="24"/>
    </row>
    <row r="20" spans="1:13">
      <c r="A20" s="24"/>
      <c r="B20" s="181"/>
      <c r="C20" s="24"/>
      <c r="D20" s="24"/>
      <c r="E20" s="24"/>
      <c r="F20" s="24"/>
      <c r="G20" s="24"/>
      <c r="H20" s="24"/>
      <c r="I20" s="24"/>
      <c r="J20" s="24"/>
      <c r="K20" s="24"/>
      <c r="L20" s="24"/>
    </row>
    <row r="21" spans="1:13">
      <c r="A21" s="24"/>
      <c r="B21" s="256" t="s">
        <v>262</v>
      </c>
      <c r="C21" s="24"/>
      <c r="D21" s="24"/>
      <c r="E21" s="24"/>
      <c r="F21" s="24"/>
      <c r="G21" s="24"/>
      <c r="H21" s="24"/>
      <c r="I21" s="24"/>
      <c r="J21" s="24"/>
      <c r="K21" s="24"/>
      <c r="L21" s="24"/>
    </row>
    <row r="22" spans="1:13">
      <c r="A22" s="24"/>
      <c r="B22" s="256" t="s">
        <v>119</v>
      </c>
      <c r="C22" s="24"/>
      <c r="D22" s="24"/>
      <c r="E22" s="24"/>
      <c r="F22" s="24"/>
      <c r="G22" s="24"/>
      <c r="H22" s="24"/>
      <c r="I22" s="24"/>
      <c r="J22" s="24"/>
      <c r="K22" s="24"/>
      <c r="L22" s="24"/>
    </row>
    <row r="23" spans="1:13">
      <c r="A23" s="24"/>
      <c r="B23" s="256" t="s">
        <v>263</v>
      </c>
      <c r="C23" s="24"/>
      <c r="D23" s="24"/>
      <c r="E23" s="24"/>
      <c r="F23" s="24"/>
      <c r="G23" s="24"/>
      <c r="H23" s="24"/>
      <c r="I23" s="24"/>
      <c r="J23" s="24"/>
      <c r="K23" s="24"/>
      <c r="L23" s="24"/>
    </row>
    <row r="24" spans="1:13">
      <c r="B24" s="256" t="s">
        <v>99</v>
      </c>
    </row>
    <row r="25" spans="1:13">
      <c r="B25" s="256" t="s">
        <v>261</v>
      </c>
    </row>
    <row r="26" spans="1:13">
      <c r="B26" s="256" t="s">
        <v>100</v>
      </c>
    </row>
    <row r="27" spans="1:13">
      <c r="B27" s="256" t="s">
        <v>264</v>
      </c>
    </row>
    <row r="28" spans="1:13">
      <c r="B28" s="256" t="s">
        <v>236</v>
      </c>
    </row>
    <row r="29" spans="1:13">
      <c r="B29" s="256" t="s">
        <v>101</v>
      </c>
    </row>
    <row r="30" spans="1:13">
      <c r="B30" s="256" t="s">
        <v>260</v>
      </c>
    </row>
    <row r="31" spans="1:13">
      <c r="B31" s="256" t="s">
        <v>265</v>
      </c>
    </row>
    <row r="32" spans="1:13">
      <c r="B32" s="256" t="s">
        <v>258</v>
      </c>
    </row>
    <row r="33" spans="2:2">
      <c r="B33" s="256" t="s">
        <v>266</v>
      </c>
    </row>
  </sheetData>
  <sheetProtection algorithmName="SHA-512" hashValue="3zrfGnpPjsWZ5iSEko57aCHddAPAVsbjUgbf/j4zFyKQncW9A3thxnuLFhw0sPJspktj4SF5P0w0NhNHQFhE0Q==" saltValue="588xRuzVt8A+JUq4auUnsQ==" spinCount="100000" sheet="1" objects="1" scenarios="1"/>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8" location="'R8 - Net Debt'!A1" display="R8 - Net Debt" xr:uid="{00000000-0004-0000-0200-000007000000}"/>
    <hyperlink ref="B29" location="'R9 - RAV'!A1" display="R9 - RAV" xr:uid="{00000000-0004-0000-0200-000008000000}"/>
    <hyperlink ref="B31" location="'R11 - Dividends'!A1" display="R11 - Dividends" xr:uid="{00000000-0004-0000-0200-000009000000}"/>
    <hyperlink ref="B32" location="'R12 - Pensions'!A1" display="R12 - Pensions" xr:uid="{00000000-0004-0000-0200-00000A000000}"/>
    <hyperlink ref="B33" location="'R13 - Other Activities '!A1" display="R13 - Other Activities" xr:uid="{00000000-0004-0000-0200-00000B000000}"/>
    <hyperlink ref="B30" location="'R10 - Tax'!A1" display="R10 - Tax" xr:uid="{00000000-0004-0000-0200-00000C000000}"/>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63.3828125" style="181" customWidth="1"/>
    <col min="3" max="3" width="13.3828125" customWidth="1"/>
    <col min="4" max="11" width="9.15234375" customWidth="1"/>
    <col min="12" max="12" width="3.61328125" customWidth="1"/>
    <col min="13" max="14" width="13.765625" customWidth="1"/>
    <col min="15" max="15" width="5.15234375" customWidth="1"/>
  </cols>
  <sheetData>
    <row r="1" spans="1:16" ht="20">
      <c r="A1" s="769" t="s">
        <v>238</v>
      </c>
      <c r="B1" s="777"/>
      <c r="C1" s="778"/>
      <c r="D1" s="778"/>
      <c r="E1" s="778"/>
      <c r="F1" s="778"/>
      <c r="G1" s="231"/>
      <c r="H1" s="231"/>
      <c r="I1" s="232"/>
      <c r="J1" s="232"/>
      <c r="K1" s="233"/>
      <c r="L1" s="233"/>
      <c r="M1" s="233"/>
      <c r="N1" s="233"/>
      <c r="O1" s="320" t="s">
        <v>84</v>
      </c>
    </row>
    <row r="2" spans="1:16" ht="20">
      <c r="A2" s="772" t="str">
        <f>'RFPR cover'!C5</f>
        <v>NPgN</v>
      </c>
      <c r="B2" s="779"/>
      <c r="C2" s="764"/>
      <c r="D2" s="764"/>
      <c r="E2" s="764"/>
      <c r="F2" s="764"/>
      <c r="G2" s="29"/>
      <c r="H2" s="29"/>
      <c r="I2" s="27"/>
      <c r="J2" s="27"/>
      <c r="K2" s="27"/>
      <c r="L2" s="27"/>
      <c r="M2" s="27"/>
      <c r="N2" s="27"/>
      <c r="O2" s="114"/>
    </row>
    <row r="3" spans="1:16" ht="23">
      <c r="A3" s="774">
        <f>'RFPR cover'!C7</f>
        <v>2023</v>
      </c>
      <c r="B3" s="780" t="str">
        <f>IF('RFPR cover'!C5=Data!B98,"Not required to be completed for System Operator",(IF('RFPR cover'!C5=Data!B96,"Not required to be completed for System Operator","")))</f>
        <v/>
      </c>
      <c r="C3" s="781"/>
      <c r="D3" s="781"/>
      <c r="E3" s="781"/>
      <c r="F3" s="781"/>
      <c r="G3" s="235"/>
      <c r="H3" s="235"/>
      <c r="I3" s="230"/>
      <c r="J3" s="230"/>
      <c r="K3" s="230"/>
      <c r="L3" s="230"/>
      <c r="M3" s="230"/>
      <c r="N3" s="230"/>
      <c r="O3" s="236"/>
    </row>
    <row r="4" spans="1:16" ht="12.75" customHeight="1"/>
    <row r="5" spans="1:16">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c r="L5" s="2"/>
      <c r="M5" s="2"/>
    </row>
    <row r="6" spans="1:16" ht="31.5" customHeight="1">
      <c r="C6" s="157"/>
      <c r="D6" s="108">
        <f>'RFPR cover'!$C$13</f>
        <v>2016</v>
      </c>
      <c r="E6" s="109">
        <f>D6+1</f>
        <v>2017</v>
      </c>
      <c r="F6" s="109">
        <f t="shared" ref="F6:K6" si="0">E6+1</f>
        <v>2018</v>
      </c>
      <c r="G6" s="109">
        <f t="shared" si="0"/>
        <v>2019</v>
      </c>
      <c r="H6" s="109">
        <f t="shared" si="0"/>
        <v>2020</v>
      </c>
      <c r="I6" s="109">
        <f t="shared" si="0"/>
        <v>2021</v>
      </c>
      <c r="J6" s="109">
        <f t="shared" si="0"/>
        <v>2022</v>
      </c>
      <c r="K6" s="180">
        <f t="shared" si="0"/>
        <v>2023</v>
      </c>
      <c r="L6" s="45"/>
      <c r="M6" s="92" t="str">
        <f>"Cumulative to "&amp;'RFPR cover'!$C$7</f>
        <v>Cumulative to 2023</v>
      </c>
      <c r="N6" s="179" t="s">
        <v>109</v>
      </c>
    </row>
    <row r="7" spans="1:16">
      <c r="C7" s="157"/>
      <c r="D7" s="157"/>
      <c r="E7" s="157"/>
      <c r="F7" s="157"/>
      <c r="G7" s="157"/>
      <c r="H7" s="157"/>
      <c r="I7" s="157"/>
      <c r="J7" s="157"/>
      <c r="K7" s="157"/>
      <c r="L7" s="157"/>
      <c r="M7" s="157"/>
      <c r="N7" s="157"/>
      <c r="O7" s="157"/>
    </row>
    <row r="8" spans="1:16">
      <c r="B8" s="458" t="s">
        <v>108</v>
      </c>
      <c r="C8" s="197"/>
      <c r="D8" s="197"/>
      <c r="E8" s="197"/>
      <c r="F8" s="197"/>
      <c r="G8" s="197"/>
      <c r="H8" s="197"/>
      <c r="I8" s="197"/>
      <c r="J8" s="197"/>
      <c r="K8" s="197"/>
      <c r="L8" s="459"/>
      <c r="M8" s="197"/>
      <c r="N8" s="197"/>
      <c r="O8" s="197"/>
    </row>
    <row r="9" spans="1:16">
      <c r="B9" s="182"/>
      <c r="L9" s="45"/>
    </row>
    <row r="10" spans="1:16">
      <c r="B10" s="227" t="s">
        <v>214</v>
      </c>
      <c r="C10" s="229" t="s">
        <v>7</v>
      </c>
      <c r="D10" s="436">
        <f t="shared" ref="D10:K19" si="1">D48/D$65</f>
        <v>0.06</v>
      </c>
      <c r="E10" s="438">
        <f t="shared" si="1"/>
        <v>0.06</v>
      </c>
      <c r="F10" s="438">
        <f t="shared" si="1"/>
        <v>0.06</v>
      </c>
      <c r="G10" s="438">
        <f t="shared" si="1"/>
        <v>0.06</v>
      </c>
      <c r="H10" s="438">
        <f t="shared" si="1"/>
        <v>0.06</v>
      </c>
      <c r="I10" s="438">
        <f t="shared" si="1"/>
        <v>0.06</v>
      </c>
      <c r="J10" s="438">
        <f t="shared" si="1"/>
        <v>0.06</v>
      </c>
      <c r="K10" s="437">
        <f t="shared" si="1"/>
        <v>0.06</v>
      </c>
      <c r="L10" s="158"/>
      <c r="M10" s="437">
        <f>AVERAGE(D48:INDEX(D48:K48,0,MATCH('RFPR cover'!$C$7,$D$6:$K$6,0)))/AVERAGE($D$65:INDEX($D$65:$K$65,0,MATCH('RFPR cover'!$C$7,$D$6:$K$6,0)))</f>
        <v>0.06</v>
      </c>
      <c r="N10" s="437">
        <f>AVERAGE(D48:K48)/AVERAGE($D$65:$K$65)</f>
        <v>0.06</v>
      </c>
    </row>
    <row r="11" spans="1:16">
      <c r="B11" s="227" t="str">
        <f t="shared" ref="B11:B18" si="2">B49</f>
        <v>Totex outperformance</v>
      </c>
      <c r="C11" s="229" t="s">
        <v>7</v>
      </c>
      <c r="D11" s="160">
        <f t="shared" si="1"/>
        <v>-5.9424914782657528E-3</v>
      </c>
      <c r="E11" s="161">
        <f t="shared" si="1"/>
        <v>8.2461317603518131E-4</v>
      </c>
      <c r="F11" s="161">
        <f t="shared" si="1"/>
        <v>2.2502273703419611E-3</v>
      </c>
      <c r="G11" s="161">
        <f t="shared" si="1"/>
        <v>-6.7734257773567532E-3</v>
      </c>
      <c r="H11" s="161">
        <f t="shared" si="1"/>
        <v>-2.6332578059692111E-2</v>
      </c>
      <c r="I11" s="161">
        <f t="shared" si="1"/>
        <v>5.8206254047091111E-3</v>
      </c>
      <c r="J11" s="161">
        <f t="shared" si="1"/>
        <v>-2.2352289870666526E-2</v>
      </c>
      <c r="K11" s="162">
        <f t="shared" si="1"/>
        <v>3.0692006178215128E-2</v>
      </c>
      <c r="L11" s="158"/>
      <c r="M11" s="162">
        <f>AVERAGE(D49:INDEX(D49:K49,0,MATCH('RFPR cover'!$C$7,$D$6:$K$6,0)))/AVERAGE($D$65:INDEX($D$65:$K$65,0,MATCH('RFPR cover'!$C$7,$D$6:$K$6,0)))</f>
        <v>-2.6437045415120303E-3</v>
      </c>
      <c r="N11" s="162">
        <f t="shared" ref="N11:N19" si="3">AVERAGE(D49:K49)/AVERAGE($D$65:$K$65)</f>
        <v>-2.6437045415120303E-3</v>
      </c>
      <c r="P11" s="158"/>
    </row>
    <row r="12" spans="1:16">
      <c r="B12" s="227" t="str">
        <f t="shared" si="2"/>
        <v>IQI Reward</v>
      </c>
      <c r="C12" s="229" t="s">
        <v>7</v>
      </c>
      <c r="D12" s="160">
        <f t="shared" si="1"/>
        <v>-1.6791618454840953E-3</v>
      </c>
      <c r="E12" s="161">
        <f t="shared" si="1"/>
        <v>-1.5874834674852647E-3</v>
      </c>
      <c r="F12" s="161">
        <f t="shared" si="1"/>
        <v>-1.4524532158742885E-3</v>
      </c>
      <c r="G12" s="161">
        <f t="shared" si="1"/>
        <v>-1.4226399223111949E-3</v>
      </c>
      <c r="H12" s="161">
        <f t="shared" si="1"/>
        <v>-1.3753845623636143E-3</v>
      </c>
      <c r="I12" s="161">
        <f t="shared" si="1"/>
        <v>-1.2397095184909447E-3</v>
      </c>
      <c r="J12" s="161">
        <f t="shared" si="1"/>
        <v>-1.1313952819982998E-3</v>
      </c>
      <c r="K12" s="162">
        <f t="shared" si="1"/>
        <v>-1.0927845481100652E-3</v>
      </c>
      <c r="L12" s="158"/>
      <c r="M12" s="162">
        <f>AVERAGE(D50:INDEX(D50:K50,0,MATCH('RFPR cover'!$C$7,$D$6:$K$6,0)))/AVERAGE($D$65:INDEX($D$65:$K$65,0,MATCH('RFPR cover'!$C$7,$D$6:$K$6,0)))</f>
        <v>-1.3674650576669912E-3</v>
      </c>
      <c r="N12" s="162">
        <f t="shared" si="3"/>
        <v>-1.3674650576669912E-3</v>
      </c>
    </row>
    <row r="13" spans="1:16">
      <c r="B13" s="227" t="str">
        <f t="shared" si="2"/>
        <v>Broad measure of customer service</v>
      </c>
      <c r="C13" s="229" t="s">
        <v>7</v>
      </c>
      <c r="D13" s="160">
        <f t="shared" si="1"/>
        <v>2.4898590503791419E-3</v>
      </c>
      <c r="E13" s="161">
        <f t="shared" si="1"/>
        <v>4.0631142888823439E-3</v>
      </c>
      <c r="F13" s="161">
        <f t="shared" si="1"/>
        <v>4.5826104371141981E-3</v>
      </c>
      <c r="G13" s="161">
        <f t="shared" si="1"/>
        <v>4.4227052166284954E-3</v>
      </c>
      <c r="H13" s="161">
        <f t="shared" si="1"/>
        <v>5.1074295117525181E-3</v>
      </c>
      <c r="I13" s="161">
        <f t="shared" si="1"/>
        <v>4.8768527229010802E-3</v>
      </c>
      <c r="J13" s="161">
        <f t="shared" si="1"/>
        <v>1.2161422253131506E-3</v>
      </c>
      <c r="K13" s="162">
        <f t="shared" si="1"/>
        <v>2.6009044375849806E-3</v>
      </c>
      <c r="L13" s="158"/>
      <c r="M13" s="162">
        <f>AVERAGE(D51:INDEX(D51:K51,0,MATCH('RFPR cover'!$C$7,$D$6:$K$6,0)))/AVERAGE($D$65:INDEX($D$65:$K$65,0,MATCH('RFPR cover'!$C$7,$D$6:$K$6,0)))</f>
        <v>3.6626859523740444E-3</v>
      </c>
      <c r="N13" s="162">
        <f t="shared" si="3"/>
        <v>3.6626859523740444E-3</v>
      </c>
    </row>
    <row r="14" spans="1:16">
      <c r="B14" s="227" t="str">
        <f t="shared" si="2"/>
        <v>Interruptions-related quality of service</v>
      </c>
      <c r="C14" s="229" t="s">
        <v>7</v>
      </c>
      <c r="D14" s="160">
        <f t="shared" si="1"/>
        <v>1.542144750997031E-2</v>
      </c>
      <c r="E14" s="161">
        <f t="shared" si="1"/>
        <v>1.9374802524429323E-2</v>
      </c>
      <c r="F14" s="161">
        <f t="shared" si="1"/>
        <v>1.766765302923055E-2</v>
      </c>
      <c r="G14" s="161">
        <f t="shared" si="1"/>
        <v>1.1467258319022931E-2</v>
      </c>
      <c r="H14" s="161">
        <f t="shared" si="1"/>
        <v>1.4846991444042074E-2</v>
      </c>
      <c r="I14" s="161">
        <f t="shared" si="1"/>
        <v>1.9335709788680842E-2</v>
      </c>
      <c r="J14" s="161">
        <f t="shared" si="1"/>
        <v>8.1413063885965673E-3</v>
      </c>
      <c r="K14" s="162">
        <f t="shared" si="1"/>
        <v>8.334803004992012E-3</v>
      </c>
      <c r="L14" s="158"/>
      <c r="M14" s="162">
        <f>AVERAGE(D52:INDEX(D52:K52,0,MATCH('RFPR cover'!$C$7,$D$6:$K$6,0)))/AVERAGE($D$65:INDEX($D$65:$K$65,0,MATCH('RFPR cover'!$C$7,$D$6:$K$6,0)))</f>
        <v>1.4257836206700196E-2</v>
      </c>
      <c r="N14" s="162">
        <f t="shared" si="3"/>
        <v>1.4257836206700196E-2</v>
      </c>
    </row>
    <row r="15" spans="1:16">
      <c r="B15" s="227" t="str">
        <f t="shared" si="2"/>
        <v>Incentive on connections engagement</v>
      </c>
      <c r="C15" s="229" t="s">
        <v>7</v>
      </c>
      <c r="D15" s="160">
        <f t="shared" si="1"/>
        <v>0</v>
      </c>
      <c r="E15" s="161">
        <f t="shared" si="1"/>
        <v>0</v>
      </c>
      <c r="F15" s="161">
        <f t="shared" si="1"/>
        <v>0</v>
      </c>
      <c r="G15" s="161">
        <f t="shared" si="1"/>
        <v>0</v>
      </c>
      <c r="H15" s="161">
        <f t="shared" si="1"/>
        <v>0</v>
      </c>
      <c r="I15" s="161">
        <f t="shared" si="1"/>
        <v>0</v>
      </c>
      <c r="J15" s="161">
        <f t="shared" si="1"/>
        <v>0</v>
      </c>
      <c r="K15" s="162">
        <f t="shared" si="1"/>
        <v>0</v>
      </c>
      <c r="L15" s="158"/>
      <c r="M15" s="162">
        <f>AVERAGE(D53:INDEX(D53:K53,0,MATCH('RFPR cover'!$C$7,$D$6:$K$6,0)))/AVERAGE($D$65:INDEX($D$65:$K$65,0,MATCH('RFPR cover'!$C$7,$D$6:$K$6,0)))</f>
        <v>0</v>
      </c>
      <c r="N15" s="162">
        <f t="shared" si="3"/>
        <v>0</v>
      </c>
    </row>
    <row r="16" spans="1:16">
      <c r="B16" s="227" t="str">
        <f t="shared" si="2"/>
        <v>Time to Connect Incentive</v>
      </c>
      <c r="C16" s="229" t="s">
        <v>7</v>
      </c>
      <c r="D16" s="160">
        <f t="shared" si="1"/>
        <v>1.1361360397844249E-3</v>
      </c>
      <c r="E16" s="161">
        <f t="shared" si="1"/>
        <v>8.0943359610816438E-4</v>
      </c>
      <c r="F16" s="161">
        <f t="shared" si="1"/>
        <v>5.7118913430589295E-5</v>
      </c>
      <c r="G16" s="161">
        <f t="shared" si="1"/>
        <v>6.045111946847635E-4</v>
      </c>
      <c r="H16" s="161">
        <f t="shared" si="1"/>
        <v>0</v>
      </c>
      <c r="I16" s="161">
        <f t="shared" si="1"/>
        <v>0</v>
      </c>
      <c r="J16" s="161">
        <f t="shared" si="1"/>
        <v>0</v>
      </c>
      <c r="K16" s="162">
        <f t="shared" si="1"/>
        <v>0</v>
      </c>
      <c r="L16" s="158"/>
      <c r="M16" s="162">
        <f>AVERAGE(D54:INDEX(D54:K54,0,MATCH('RFPR cover'!$C$7,$D$6:$K$6,0)))/AVERAGE($D$65:INDEX($D$65:$K$65,0,MATCH('RFPR cover'!$C$7,$D$6:$K$6,0)))</f>
        <v>3.1620586102471394E-4</v>
      </c>
      <c r="N16" s="162">
        <f t="shared" si="3"/>
        <v>3.1620586102471394E-4</v>
      </c>
    </row>
    <row r="17" spans="2:16">
      <c r="B17" s="227" t="str">
        <f t="shared" si="2"/>
        <v>Losses discretionary reward scheme</v>
      </c>
      <c r="C17" s="229" t="s">
        <v>7</v>
      </c>
      <c r="D17" s="160">
        <f t="shared" si="1"/>
        <v>0</v>
      </c>
      <c r="E17" s="161">
        <f t="shared" si="1"/>
        <v>3.5412719829732185E-4</v>
      </c>
      <c r="F17" s="161">
        <f t="shared" si="1"/>
        <v>0</v>
      </c>
      <c r="G17" s="161">
        <f t="shared" si="1"/>
        <v>0</v>
      </c>
      <c r="H17" s="161">
        <f t="shared" si="1"/>
        <v>0</v>
      </c>
      <c r="I17" s="161">
        <f t="shared" si="1"/>
        <v>0</v>
      </c>
      <c r="J17" s="161">
        <f t="shared" si="1"/>
        <v>0</v>
      </c>
      <c r="K17" s="162">
        <f t="shared" si="1"/>
        <v>0</v>
      </c>
      <c r="L17" s="158"/>
      <c r="M17" s="162">
        <f>AVERAGE(D55:INDEX(D55:K55,0,MATCH('RFPR cover'!$C$7,$D$6:$K$6,0)))/AVERAGE($D$65:INDEX($D$65:$K$65,0,MATCH('RFPR cover'!$C$7,$D$6:$K$6,0)))</f>
        <v>4.3095250137654283E-5</v>
      </c>
      <c r="N17" s="162">
        <f t="shared" si="3"/>
        <v>4.3095250137654283E-5</v>
      </c>
    </row>
    <row r="18" spans="2:16">
      <c r="B18" s="227" t="str">
        <f t="shared" si="2"/>
        <v xml:space="preserve">Network Innovation </v>
      </c>
      <c r="C18" s="229" t="s">
        <v>7</v>
      </c>
      <c r="D18" s="160">
        <f t="shared" si="1"/>
        <v>-1.5206702378065722E-4</v>
      </c>
      <c r="E18" s="161">
        <f t="shared" si="1"/>
        <v>-1.4222347235049143E-4</v>
      </c>
      <c r="F18" s="161">
        <f t="shared" si="1"/>
        <v>-3.9014372569349468E-4</v>
      </c>
      <c r="G18" s="161">
        <f t="shared" si="1"/>
        <v>-3.8985848878534172E-4</v>
      </c>
      <c r="H18" s="161">
        <f t="shared" si="1"/>
        <v>-3.6341270564732239E-4</v>
      </c>
      <c r="I18" s="161">
        <f t="shared" si="1"/>
        <v>-3.6988522065068726E-4</v>
      </c>
      <c r="J18" s="161">
        <f t="shared" si="1"/>
        <v>-1.3563507756754201E-4</v>
      </c>
      <c r="K18" s="162">
        <f t="shared" si="1"/>
        <v>-2.3989788420440868E-4</v>
      </c>
      <c r="L18" s="158"/>
      <c r="M18" s="162">
        <f>AVERAGE(D56:INDEX(D56:K56,0,MATCH('RFPR cover'!$C$7,$D$6:$K$6,0)))/AVERAGE($D$65:INDEX($D$65:$K$65,0,MATCH('RFPR cover'!$C$7,$D$6:$K$6,0)))</f>
        <v>-2.7333839003382737E-4</v>
      </c>
      <c r="N18" s="162">
        <f t="shared" si="3"/>
        <v>-2.7333839003382737E-4</v>
      </c>
    </row>
    <row r="19" spans="2:16">
      <c r="B19" s="227" t="str">
        <f>B57</f>
        <v>Penalties and fines</v>
      </c>
      <c r="C19" s="229" t="s">
        <v>7</v>
      </c>
      <c r="D19" s="170">
        <f t="shared" si="1"/>
        <v>-7.5884077889876514E-4</v>
      </c>
      <c r="E19" s="171">
        <f t="shared" si="1"/>
        <v>-5.5937724143131624E-4</v>
      </c>
      <c r="F19" s="171">
        <f t="shared" si="1"/>
        <v>-6.069222135579932E-4</v>
      </c>
      <c r="G19" s="171">
        <f t="shared" si="1"/>
        <v>-5.7237809330976379E-4</v>
      </c>
      <c r="H19" s="171">
        <f t="shared" si="1"/>
        <v>-4.3149218589746751E-4</v>
      </c>
      <c r="I19" s="171">
        <f t="shared" si="1"/>
        <v>-4.1365204100618405E-4</v>
      </c>
      <c r="J19" s="171">
        <f t="shared" si="1"/>
        <v>-3.4415591186166258E-2</v>
      </c>
      <c r="K19" s="172">
        <f t="shared" si="1"/>
        <v>7.8499422412772941E-4</v>
      </c>
      <c r="L19" s="158"/>
      <c r="M19" s="172">
        <f>AVERAGE(D57:INDEX(D57:K57,0,MATCH('RFPR cover'!$C$7,$D$6:$K$6,0)))/AVERAGE($D$65:INDEX($D$65:$K$65,0,MATCH('RFPR cover'!$C$7,$D$6:$K$6,0)))</f>
        <v>-4.745334417513244E-3</v>
      </c>
      <c r="N19" s="172">
        <f t="shared" si="3"/>
        <v>-4.745334417513244E-3</v>
      </c>
    </row>
    <row r="20" spans="2:16">
      <c r="B20" s="228" t="str">
        <f>B58</f>
        <v>RoRE - Operational performance</v>
      </c>
      <c r="C20" s="229" t="s">
        <v>7</v>
      </c>
      <c r="D20" s="173">
        <f t="shared" ref="D20:K20" si="4">SUM(D10:D19)</f>
        <v>7.0514881473704591E-2</v>
      </c>
      <c r="E20" s="174">
        <f t="shared" si="4"/>
        <v>8.3137006602485256E-2</v>
      </c>
      <c r="F20" s="174">
        <f t="shared" si="4"/>
        <v>8.2108090594991523E-2</v>
      </c>
      <c r="G20" s="174">
        <f t="shared" si="4"/>
        <v>6.7336172448573137E-2</v>
      </c>
      <c r="H20" s="174">
        <f t="shared" si="4"/>
        <v>5.145155344219407E-2</v>
      </c>
      <c r="I20" s="174">
        <f t="shared" si="4"/>
        <v>8.8009941136143202E-2</v>
      </c>
      <c r="J20" s="174">
        <f t="shared" si="4"/>
        <v>1.1322537197511091E-2</v>
      </c>
      <c r="K20" s="175">
        <f t="shared" si="4"/>
        <v>0.10108002541260537</v>
      </c>
      <c r="L20" s="159"/>
      <c r="M20" s="175">
        <f>SUM(M10:M19)</f>
        <v>6.9249980863510502E-2</v>
      </c>
      <c r="N20" s="175">
        <f>SUM(N10:N19)</f>
        <v>6.9249980863510502E-2</v>
      </c>
    </row>
    <row r="21" spans="2:16">
      <c r="B21" s="227" t="str">
        <f>B59</f>
        <v>Debt performance - at notional gearing</v>
      </c>
      <c r="C21" s="229" t="s">
        <v>7</v>
      </c>
      <c r="D21" s="160">
        <f>(D59)/D$65</f>
        <v>-2.5557519763863328E-2</v>
      </c>
      <c r="E21" s="161">
        <f t="shared" ref="E21:K21" si="5">(E59)/E$65</f>
        <v>-8.1906889884354964E-3</v>
      </c>
      <c r="F21" s="161">
        <f t="shared" si="5"/>
        <v>2.0345954784866931E-2</v>
      </c>
      <c r="G21" s="161">
        <f t="shared" si="5"/>
        <v>9.4274796593466093E-3</v>
      </c>
      <c r="H21" s="161">
        <f t="shared" si="5"/>
        <v>-4.608567243229342E-4</v>
      </c>
      <c r="I21" s="161">
        <f t="shared" si="5"/>
        <v>-2.1291061954163377E-2</v>
      </c>
      <c r="J21" s="161">
        <f t="shared" si="5"/>
        <v>7.2218930268400233E-2</v>
      </c>
      <c r="K21" s="162">
        <f t="shared" si="5"/>
        <v>0.19548526417906001</v>
      </c>
      <c r="L21" s="158"/>
      <c r="M21" s="162">
        <f>AVERAGE(D59:INDEX(D59:K59,0,MATCH('RFPR cover'!$C$7,$D$6:$K$6,0)))/AVERAGE($D$65:INDEX($D$65:$K$65,0,MATCH('RFPR cover'!$C$7,$D$6:$K$6,0)))</f>
        <v>3.1501049971244699E-2</v>
      </c>
      <c r="N21" s="162">
        <f>AVERAGE(D59:K59)/AVERAGE($D$65:$K$65)</f>
        <v>3.1501049971244699E-2</v>
      </c>
    </row>
    <row r="22" spans="2:16">
      <c r="B22" s="227" t="str">
        <f>B61</f>
        <v>Tax performance - at notional gearing</v>
      </c>
      <c r="C22" s="229" t="s">
        <v>7</v>
      </c>
      <c r="D22" s="160">
        <f>(D61)/D$65</f>
        <v>2.3530874898571598E-3</v>
      </c>
      <c r="E22" s="161">
        <f t="shared" ref="E22:K22" si="6">(E61)/E$65</f>
        <v>4.2502418340629195E-3</v>
      </c>
      <c r="F22" s="161">
        <f t="shared" si="6"/>
        <v>5.907147657681377E-3</v>
      </c>
      <c r="G22" s="161">
        <f t="shared" si="6"/>
        <v>4.4671381864379795E-3</v>
      </c>
      <c r="H22" s="161">
        <f t="shared" si="6"/>
        <v>2.5860472183500223E-3</v>
      </c>
      <c r="I22" s="161">
        <f t="shared" si="6"/>
        <v>1.6380111677035806E-3</v>
      </c>
      <c r="J22" s="161">
        <f t="shared" si="6"/>
        <v>5.7494046886369032E-3</v>
      </c>
      <c r="K22" s="162">
        <f t="shared" si="6"/>
        <v>1.910675945532486E-3</v>
      </c>
      <c r="L22" s="158"/>
      <c r="M22" s="162">
        <f>AVERAGE(D61:INDEX(D61:K61,0,MATCH('RFPR cover'!$C$7,$D$6:$K$6,0)))/AVERAGE($D$65:INDEX($D$65:$K$65,0,MATCH('RFPR cover'!$C$7,$D$6:$K$6,0)))</f>
        <v>3.6036262535716042E-3</v>
      </c>
      <c r="N22" s="162">
        <f>AVERAGE(D61:K61)/AVERAGE($D$65:$K$65)</f>
        <v>3.6036262535716042E-3</v>
      </c>
    </row>
    <row r="23" spans="2:16">
      <c r="B23" s="228" t="str">
        <f>B63</f>
        <v>RoRE - including financing and tax</v>
      </c>
      <c r="C23" s="229" t="s">
        <v>7</v>
      </c>
      <c r="D23" s="176">
        <f>SUM(D20:D22)</f>
        <v>4.7310449199698422E-2</v>
      </c>
      <c r="E23" s="177">
        <f t="shared" ref="E23:K23" si="7">SUM(E20:E22)</f>
        <v>7.9196559448112672E-2</v>
      </c>
      <c r="F23" s="177">
        <f t="shared" si="7"/>
        <v>0.10836119303753984</v>
      </c>
      <c r="G23" s="177">
        <f t="shared" si="7"/>
        <v>8.123079029435773E-2</v>
      </c>
      <c r="H23" s="177">
        <f t="shared" si="7"/>
        <v>5.3576743936221152E-2</v>
      </c>
      <c r="I23" s="177">
        <f t="shared" si="7"/>
        <v>6.8356890349683411E-2</v>
      </c>
      <c r="J23" s="177">
        <f t="shared" si="7"/>
        <v>8.9290872154548215E-2</v>
      </c>
      <c r="K23" s="178">
        <f t="shared" si="7"/>
        <v>0.29847596553719785</v>
      </c>
      <c r="L23" s="159"/>
      <c r="M23" s="178">
        <f>SUM(M20:M22)</f>
        <v>0.10435465708832681</v>
      </c>
      <c r="N23" s="178">
        <f>SUM(N20:N22)</f>
        <v>0.10435465708832681</v>
      </c>
    </row>
    <row r="27" spans="2:16">
      <c r="B27" s="458" t="s">
        <v>215</v>
      </c>
      <c r="C27" s="197"/>
      <c r="D27" s="197"/>
      <c r="E27" s="197"/>
      <c r="F27" s="197"/>
      <c r="G27" s="197"/>
      <c r="H27" s="197"/>
      <c r="I27" s="197"/>
      <c r="J27" s="197"/>
      <c r="K27" s="197"/>
      <c r="L27" s="459"/>
      <c r="M27" s="197"/>
      <c r="N27" s="197"/>
      <c r="O27" s="197"/>
    </row>
    <row r="28" spans="2:16">
      <c r="B28" s="182"/>
      <c r="L28" s="45"/>
    </row>
    <row r="29" spans="2:16">
      <c r="B29" s="227" t="s">
        <v>214</v>
      </c>
      <c r="C29" s="229" t="s">
        <v>7</v>
      </c>
      <c r="D29" s="160">
        <f t="shared" ref="D29:K38" si="8">D48/D$66</f>
        <v>4.3715169853370706E-2</v>
      </c>
      <c r="E29" s="161">
        <f t="shared" si="8"/>
        <v>4.2755393929655876E-2</v>
      </c>
      <c r="F29" s="161">
        <f t="shared" si="8"/>
        <v>4.1633748871142247E-2</v>
      </c>
      <c r="G29" s="161">
        <f t="shared" si="8"/>
        <v>4.1887470667200929E-2</v>
      </c>
      <c r="H29" s="161">
        <f t="shared" si="8"/>
        <v>4.324954777160217E-2</v>
      </c>
      <c r="I29" s="161">
        <f t="shared" si="8"/>
        <v>4.5512312836403536E-2</v>
      </c>
      <c r="J29" s="161">
        <f t="shared" si="8"/>
        <v>4.4059215011061324E-2</v>
      </c>
      <c r="K29" s="162">
        <f t="shared" si="8"/>
        <v>3.9509698720741546E-2</v>
      </c>
      <c r="L29" s="158"/>
      <c r="M29" s="437">
        <f>AVERAGE(D48:INDEX(D48:K48,0,MATCH('RFPR cover'!$C$7,$D$6:$K$6,0)))/AVERAGE($D$66:INDEX($D$66:$K$66,0,MATCH('RFPR cover'!$C$7,$D$6:$K$6,0)))</f>
        <v>4.2714440401619723E-2</v>
      </c>
      <c r="N29" s="437">
        <f>AVERAGE(D48:K48)/AVERAGE($D$66:$K$66)</f>
        <v>4.2714440401619723E-2</v>
      </c>
      <c r="P29" s="288"/>
    </row>
    <row r="30" spans="2:16">
      <c r="B30" s="227" t="str">
        <f t="shared" ref="B30:B37" si="9">B49</f>
        <v>Totex outperformance</v>
      </c>
      <c r="C30" s="229" t="s">
        <v>7</v>
      </c>
      <c r="D30" s="160">
        <f t="shared" si="8"/>
        <v>-4.3296170720765895E-3</v>
      </c>
      <c r="E30" s="161">
        <f t="shared" si="8"/>
        <v>5.8761101968281412E-4</v>
      </c>
      <c r="F30" s="161">
        <f t="shared" si="8"/>
        <v>1.5614233539964668E-3</v>
      </c>
      <c r="G30" s="161">
        <f t="shared" si="8"/>
        <v>-4.7286945594248939E-3</v>
      </c>
      <c r="H30" s="161">
        <f t="shared" si="8"/>
        <v>-1.8981201545701622E-2</v>
      </c>
      <c r="I30" s="161">
        <f t="shared" si="8"/>
        <v>4.4151687387106505E-3</v>
      </c>
      <c r="J30" s="161">
        <f t="shared" si="8"/>
        <v>-1.6413739090021078E-2</v>
      </c>
      <c r="K30" s="162">
        <f t="shared" si="8"/>
        <v>2.0210531953940299E-2</v>
      </c>
      <c r="L30" s="158"/>
      <c r="M30" s="162">
        <f>AVERAGE(D49:INDEX(D49:K49,0,MATCH('RFPR cover'!$C$7,$D$6:$K$6,0)))/AVERAGE($D$66:INDEX($D$66:$K$66,0,MATCH('RFPR cover'!$C$7,$D$6:$K$6,0)))</f>
        <v>-1.8820726679651173E-3</v>
      </c>
      <c r="N30" s="162">
        <f t="shared" ref="N30:N38" si="10">AVERAGE(D49:K49)/AVERAGE($D$66:$K$66)</f>
        <v>-1.8820726679651173E-3</v>
      </c>
    </row>
    <row r="31" spans="2:16">
      <c r="B31" s="227" t="str">
        <f t="shared" si="9"/>
        <v>IQI Reward</v>
      </c>
      <c r="C31" s="229" t="s">
        <v>7</v>
      </c>
      <c r="D31" s="160">
        <f t="shared" si="8"/>
        <v>-1.2234140881106107E-3</v>
      </c>
      <c r="E31" s="161">
        <f t="shared" si="8"/>
        <v>-1.1312246834858091E-3</v>
      </c>
      <c r="F31" s="161">
        <f t="shared" si="8"/>
        <v>-1.0078512072798848E-3</v>
      </c>
      <c r="G31" s="161">
        <f t="shared" si="8"/>
        <v>-9.9317980026331965E-4</v>
      </c>
      <c r="H31" s="161">
        <f t="shared" si="8"/>
        <v>-9.9141267223782151E-4</v>
      </c>
      <c r="I31" s="161">
        <f t="shared" si="8"/>
        <v>-9.4036745719711795E-4</v>
      </c>
      <c r="J31" s="161">
        <f t="shared" si="8"/>
        <v>-8.3080646653439078E-4</v>
      </c>
      <c r="K31" s="162">
        <f t="shared" si="8"/>
        <v>-7.195931377085062E-4</v>
      </c>
      <c r="L31" s="158"/>
      <c r="M31" s="162">
        <f>AVERAGE(D50:INDEX(D50:K50,0,MATCH('RFPR cover'!$C$7,$D$6:$K$6,0)))/AVERAGE($D$66:INDEX($D$66:$K$66,0,MATCH('RFPR cover'!$C$7,$D$6:$K$6,0)))</f>
        <v>-9.7350841178356969E-4</v>
      </c>
      <c r="N31" s="162">
        <f t="shared" si="10"/>
        <v>-9.7350841178356969E-4</v>
      </c>
    </row>
    <row r="32" spans="2:16">
      <c r="B32" s="227" t="str">
        <f t="shared" si="9"/>
        <v>Broad measure of customer service</v>
      </c>
      <c r="C32" s="229" t="s">
        <v>7</v>
      </c>
      <c r="D32" s="160">
        <f t="shared" si="8"/>
        <v>1.8140768549712745E-3</v>
      </c>
      <c r="E32" s="161">
        <f t="shared" si="8"/>
        <v>2.895334200039637E-3</v>
      </c>
      <c r="F32" s="161">
        <f t="shared" si="8"/>
        <v>3.1798542018847986E-3</v>
      </c>
      <c r="G32" s="161">
        <f t="shared" si="8"/>
        <v>3.0875989171867107E-3</v>
      </c>
      <c r="H32" s="161">
        <f t="shared" si="8"/>
        <v>3.6815669443105215E-3</v>
      </c>
      <c r="I32" s="161">
        <f t="shared" si="8"/>
        <v>3.6992807796956731E-3</v>
      </c>
      <c r="J32" s="161">
        <f t="shared" si="8"/>
        <v>8.9303786315171152E-4</v>
      </c>
      <c r="K32" s="162">
        <f t="shared" si="8"/>
        <v>1.7126825121737054E-3</v>
      </c>
      <c r="L32" s="158"/>
      <c r="M32" s="162">
        <f>AVERAGE(D51:INDEX(D51:K51,0,MATCH('RFPR cover'!$C$7,$D$6:$K$6,0)))/AVERAGE($D$66:INDEX($D$66:$K$66,0,MATCH('RFPR cover'!$C$7,$D$6:$K$6,0)))</f>
        <v>2.6074930137088485E-3</v>
      </c>
      <c r="N32" s="162">
        <f t="shared" si="10"/>
        <v>2.6074930137088485E-3</v>
      </c>
    </row>
    <row r="33" spans="2:15">
      <c r="B33" s="227" t="str">
        <f t="shared" si="9"/>
        <v>Interruptions-related quality of service</v>
      </c>
      <c r="C33" s="229" t="s">
        <v>7</v>
      </c>
      <c r="D33" s="160">
        <f t="shared" si="8"/>
        <v>1.1235853288053215E-2</v>
      </c>
      <c r="E33" s="161">
        <f t="shared" si="8"/>
        <v>1.380628857068778E-2</v>
      </c>
      <c r="F33" s="161">
        <f t="shared" si="8"/>
        <v>1.2259510489357672E-2</v>
      </c>
      <c r="G33" s="161">
        <f t="shared" si="8"/>
        <v>8.0055741078548133E-3</v>
      </c>
      <c r="H33" s="161">
        <f t="shared" si="8"/>
        <v>1.0702094428727774E-2</v>
      </c>
      <c r="I33" s="161">
        <f t="shared" si="8"/>
        <v>1.4666881213605877E-2</v>
      </c>
      <c r="J33" s="161">
        <f t="shared" si="8"/>
        <v>5.9783261441017218E-3</v>
      </c>
      <c r="K33" s="162">
        <f t="shared" si="8"/>
        <v>5.4884259270660957E-3</v>
      </c>
      <c r="L33" s="158"/>
      <c r="M33" s="162">
        <f>AVERAGE(D52:INDEX(D52:K52,0,MATCH('RFPR cover'!$C$7,$D$6:$K$6,0)))/AVERAGE($D$66:INDEX($D$66:$K$66,0,MATCH('RFPR cover'!$C$7,$D$6:$K$6,0)))</f>
        <v>1.0150258248452523E-2</v>
      </c>
      <c r="N33" s="162">
        <f t="shared" si="10"/>
        <v>1.0150258248452523E-2</v>
      </c>
    </row>
    <row r="34" spans="2:15">
      <c r="B34" s="227" t="str">
        <f t="shared" si="9"/>
        <v>Incentive on connections engagement</v>
      </c>
      <c r="C34" s="229" t="s">
        <v>7</v>
      </c>
      <c r="D34" s="160">
        <f t="shared" si="8"/>
        <v>0</v>
      </c>
      <c r="E34" s="161">
        <f t="shared" si="8"/>
        <v>0</v>
      </c>
      <c r="F34" s="161">
        <f t="shared" si="8"/>
        <v>0</v>
      </c>
      <c r="G34" s="161">
        <f t="shared" si="8"/>
        <v>0</v>
      </c>
      <c r="H34" s="161">
        <f t="shared" si="8"/>
        <v>0</v>
      </c>
      <c r="I34" s="161">
        <f t="shared" si="8"/>
        <v>0</v>
      </c>
      <c r="J34" s="161">
        <f t="shared" si="8"/>
        <v>0</v>
      </c>
      <c r="K34" s="162">
        <f t="shared" si="8"/>
        <v>0</v>
      </c>
      <c r="L34" s="158"/>
      <c r="M34" s="162">
        <f>AVERAGE(D53:INDEX(D53:K53,0,MATCH('RFPR cover'!$C$7,$D$6:$K$6,0)))/AVERAGE($D$66:INDEX($D$66:$K$66,0,MATCH('RFPR cover'!$C$7,$D$6:$K$6,0)))</f>
        <v>0</v>
      </c>
      <c r="N34" s="162">
        <f t="shared" si="10"/>
        <v>0</v>
      </c>
    </row>
    <row r="35" spans="2:15">
      <c r="B35" s="227" t="str">
        <f t="shared" si="9"/>
        <v>Time to Connect Incentive</v>
      </c>
      <c r="C35" s="229" t="s">
        <v>7</v>
      </c>
      <c r="D35" s="160">
        <f t="shared" si="8"/>
        <v>8.2777299926186797E-4</v>
      </c>
      <c r="E35" s="161">
        <f t="shared" si="8"/>
        <v>5.7679420435837565E-4</v>
      </c>
      <c r="F35" s="161">
        <f t="shared" si="8"/>
        <v>3.9634574959361148E-5</v>
      </c>
      <c r="G35" s="161">
        <f t="shared" si="8"/>
        <v>4.2202408225587698E-4</v>
      </c>
      <c r="H35" s="161">
        <f t="shared" si="8"/>
        <v>0</v>
      </c>
      <c r="I35" s="161">
        <f t="shared" si="8"/>
        <v>0</v>
      </c>
      <c r="J35" s="161">
        <f t="shared" si="8"/>
        <v>0</v>
      </c>
      <c r="K35" s="162">
        <f t="shared" si="8"/>
        <v>0</v>
      </c>
      <c r="L35" s="158"/>
      <c r="M35" s="162">
        <f>AVERAGE(D54:INDEX(D54:K54,0,MATCH('RFPR cover'!$C$7,$D$6:$K$6,0)))/AVERAGE($D$66:INDEX($D$66:$K$66,0,MATCH('RFPR cover'!$C$7,$D$6:$K$6,0)))</f>
        <v>2.2510927342304991E-4</v>
      </c>
      <c r="N35" s="162">
        <f t="shared" si="10"/>
        <v>2.2510927342304991E-4</v>
      </c>
    </row>
    <row r="36" spans="2:15">
      <c r="B36" s="227" t="str">
        <f t="shared" si="9"/>
        <v>Losses discretionary reward scheme</v>
      </c>
      <c r="C36" s="229" t="s">
        <v>7</v>
      </c>
      <c r="D36" s="160">
        <f t="shared" si="8"/>
        <v>0</v>
      </c>
      <c r="E36" s="161">
        <f t="shared" si="8"/>
        <v>2.5234746440678927E-4</v>
      </c>
      <c r="F36" s="161">
        <f t="shared" si="8"/>
        <v>0</v>
      </c>
      <c r="G36" s="161">
        <f t="shared" si="8"/>
        <v>0</v>
      </c>
      <c r="H36" s="161">
        <f t="shared" si="8"/>
        <v>0</v>
      </c>
      <c r="I36" s="161">
        <f t="shared" si="8"/>
        <v>0</v>
      </c>
      <c r="J36" s="161">
        <f t="shared" si="8"/>
        <v>0</v>
      </c>
      <c r="K36" s="162">
        <f t="shared" si="8"/>
        <v>0</v>
      </c>
      <c r="L36" s="158"/>
      <c r="M36" s="162">
        <f>AVERAGE(D55:INDEX(D55:K55,0,MATCH('RFPR cover'!$C$7,$D$6:$K$6,0)))/AVERAGE($D$66:INDEX($D$66:$K$66,0,MATCH('RFPR cover'!$C$7,$D$6:$K$6,0)))</f>
        <v>3.0679824893295471E-5</v>
      </c>
      <c r="N36" s="162">
        <f t="shared" si="10"/>
        <v>3.0679824893295471E-5</v>
      </c>
    </row>
    <row r="37" spans="2:15">
      <c r="B37" s="227" t="str">
        <f t="shared" si="9"/>
        <v xml:space="preserve">Network Innovation </v>
      </c>
      <c r="C37" s="229" t="s">
        <v>7</v>
      </c>
      <c r="D37" s="160">
        <f t="shared" si="8"/>
        <v>-1.1079392956113321E-4</v>
      </c>
      <c r="E37" s="161">
        <f t="shared" si="8"/>
        <v>-1.0134700977314637E-4</v>
      </c>
      <c r="F37" s="161">
        <f t="shared" si="8"/>
        <v>-2.7071909831957941E-4</v>
      </c>
      <c r="G37" s="161">
        <f t="shared" si="8"/>
        <v>-2.7216976688925474E-4</v>
      </c>
      <c r="H37" s="161">
        <f t="shared" si="8"/>
        <v>-2.6195725289501786E-4</v>
      </c>
      <c r="I37" s="161">
        <f t="shared" si="8"/>
        <v>-2.8057219793027046E-4</v>
      </c>
      <c r="J37" s="161">
        <f t="shared" si="8"/>
        <v>-9.9599584093171907E-5</v>
      </c>
      <c r="K37" s="162">
        <f t="shared" si="8"/>
        <v>-1.5797155214432551E-4</v>
      </c>
      <c r="L37" s="158"/>
      <c r="M37" s="162">
        <f>AVERAGE(D56:INDEX(D56:K56,0,MATCH('RFPR cover'!$C$7,$D$6:$K$6,0)))/AVERAGE($D$66:INDEX($D$66:$K$66,0,MATCH('RFPR cover'!$C$7,$D$6:$K$6,0)))</f>
        <v>-1.9459160617624346E-4</v>
      </c>
      <c r="N37" s="162">
        <f t="shared" si="10"/>
        <v>-1.9459160617624346E-4</v>
      </c>
    </row>
    <row r="38" spans="2:15">
      <c r="B38" s="227" t="str">
        <f>B57</f>
        <v>Penalties and fines</v>
      </c>
      <c r="C38" s="229" t="s">
        <v>7</v>
      </c>
      <c r="D38" s="170">
        <f t="shared" si="8"/>
        <v>-5.5288089235372743E-4</v>
      </c>
      <c r="E38" s="171">
        <f t="shared" si="8"/>
        <v>-3.986065718780025E-4</v>
      </c>
      <c r="F38" s="171">
        <f t="shared" si="8"/>
        <v>-4.2114078372652093E-4</v>
      </c>
      <c r="G38" s="171">
        <f t="shared" si="8"/>
        <v>-3.9959117656768542E-4</v>
      </c>
      <c r="H38" s="171">
        <f t="shared" si="8"/>
        <v>-3.1103069845075948E-4</v>
      </c>
      <c r="I38" s="171">
        <f t="shared" si="8"/>
        <v>-3.1377101826150457E-4</v>
      </c>
      <c r="J38" s="171">
        <f t="shared" si="8"/>
        <v>-2.5272065530068104E-2</v>
      </c>
      <c r="K38" s="172">
        <f t="shared" si="8"/>
        <v>5.1691475488014759E-4</v>
      </c>
      <c r="L38" s="158"/>
      <c r="M38" s="172">
        <f>AVERAGE(D57:INDEX(D57:K57,0,MATCH('RFPR cover'!$C$7,$D$6:$K$6,0)))/AVERAGE($D$66:INDEX($D$66:$K$66,0,MATCH('RFPR cover'!$C$7,$D$6:$K$6,0)))</f>
        <v>-3.3782384027104054E-3</v>
      </c>
      <c r="N38" s="172">
        <f t="shared" si="10"/>
        <v>-3.3782384027104054E-3</v>
      </c>
    </row>
    <row r="39" spans="2:15">
      <c r="B39" s="228" t="str">
        <f>B58</f>
        <v>RoRE - Operational performance</v>
      </c>
      <c r="C39" s="229" t="s">
        <v>7</v>
      </c>
      <c r="D39" s="173">
        <f t="shared" ref="D39:K39" si="11">SUM(D29:D38)</f>
        <v>5.1376167013555005E-2</v>
      </c>
      <c r="E39" s="174">
        <f t="shared" si="11"/>
        <v>5.9242591123694316E-2</v>
      </c>
      <c r="F39" s="174">
        <f t="shared" si="11"/>
        <v>5.6974460402014565E-2</v>
      </c>
      <c r="G39" s="174">
        <f t="shared" si="11"/>
        <v>4.7009032471353171E-2</v>
      </c>
      <c r="H39" s="174">
        <f t="shared" si="11"/>
        <v>3.708760697535525E-2</v>
      </c>
      <c r="I39" s="174">
        <f t="shared" si="11"/>
        <v>6.6758932895026837E-2</v>
      </c>
      <c r="J39" s="174">
        <f t="shared" si="11"/>
        <v>8.3143683475980154E-3</v>
      </c>
      <c r="K39" s="175">
        <f t="shared" si="11"/>
        <v>6.6560689178948973E-2</v>
      </c>
      <c r="L39" s="159"/>
      <c r="M39" s="175">
        <f>SUM(M29:M38)</f>
        <v>4.9299569673462107E-2</v>
      </c>
      <c r="N39" s="175">
        <f>SUM(N29:N38)</f>
        <v>4.9299569673462107E-2</v>
      </c>
    </row>
    <row r="40" spans="2:15">
      <c r="B40" s="227" t="s">
        <v>456</v>
      </c>
      <c r="C40" s="229" t="s">
        <v>7</v>
      </c>
      <c r="D40" s="160">
        <f>(D59+D60)/D$66</f>
        <v>-1.0997150713871933E-2</v>
      </c>
      <c r="E40" s="161">
        <f t="shared" ref="E40:K40" si="12">(E59+E60)/E$66</f>
        <v>-7.6027828665685372E-4</v>
      </c>
      <c r="F40" s="161">
        <f t="shared" si="12"/>
        <v>1.4668109519714825E-2</v>
      </c>
      <c r="G40" s="161">
        <f t="shared" si="12"/>
        <v>8.4141355791807846E-3</v>
      </c>
      <c r="H40" s="161">
        <f t="shared" si="12"/>
        <v>2.4819128978522385E-3</v>
      </c>
      <c r="I40" s="161">
        <f t="shared" si="12"/>
        <v>-1.1351446411499834E-2</v>
      </c>
      <c r="J40" s="161">
        <f t="shared" si="12"/>
        <v>4.4584874272930744E-2</v>
      </c>
      <c r="K40" s="162">
        <f t="shared" si="12"/>
        <v>9.4764137662374584E-2</v>
      </c>
      <c r="L40" s="158"/>
      <c r="M40" s="162">
        <f>(AVERAGE(D59:INDEX(D59:K59,0,MATCH('RFPR cover'!$C$7,$D$6:$K$6,0)))+AVERAGE(D60:INDEX(D60:K60,0,MATCH('RFPR cover'!$C$7,$D$6:$K$6,0))))/AVERAGE($D$66:INDEX($D$66:$K$66,0,MATCH('RFPR cover'!$C$7,$D$6:$K$6,0)))</f>
        <v>1.9343638729803353E-2</v>
      </c>
      <c r="N40" s="162">
        <f>(AVERAGE(D59:K59)+AVERAGE(D60:K60))/AVERAGE($D$66:$K$66)</f>
        <v>1.9343638729803353E-2</v>
      </c>
    </row>
    <row r="41" spans="2:15">
      <c r="B41" s="227" t="s">
        <v>457</v>
      </c>
      <c r="C41" s="229" t="s">
        <v>7</v>
      </c>
      <c r="D41" s="160">
        <f>(D61+D62)/D$66</f>
        <v>1.7144269883157912E-3</v>
      </c>
      <c r="E41" s="161">
        <f t="shared" ref="E41:K41" si="13">(E61+E62)/E$66</f>
        <v>3.0286793985277198E-3</v>
      </c>
      <c r="F41" s="161">
        <f t="shared" si="13"/>
        <v>4.0989450354110436E-3</v>
      </c>
      <c r="G41" s="161">
        <f t="shared" si="13"/>
        <v>3.1186186625125666E-3</v>
      </c>
      <c r="H41" s="161">
        <f t="shared" si="13"/>
        <v>1.8640895451608034E-3</v>
      </c>
      <c r="I41" s="161">
        <f t="shared" si="13"/>
        <v>1.242494611567467E-3</v>
      </c>
      <c r="J41" s="161">
        <f t="shared" si="13"/>
        <v>4.2219042893709572E-3</v>
      </c>
      <c r="K41" s="162">
        <f t="shared" si="13"/>
        <v>1.2581705160159419E-3</v>
      </c>
      <c r="L41" s="158"/>
      <c r="M41" s="162">
        <f>(AVERAGE(D61:INDEX(D61:K61,0,MATCH('RFPR cover'!$C$7,$D$6:$K$6,0)))+AVERAGE(D62:INDEX(D62:K62,0,MATCH('RFPR cover'!$C$7,$D$6:$K$6,0))))/AVERAGE($D$66:INDEX($D$66:$K$66,0,MATCH('RFPR cover'!$C$7,$D$6:$K$6,0)))</f>
        <v>2.5654479806316078E-3</v>
      </c>
      <c r="N41" s="162">
        <f>(AVERAGE(D61:K61)+AVERAGE(D62:K62))/AVERAGE($D$66:$K$66)</f>
        <v>2.5654479806316078E-3</v>
      </c>
    </row>
    <row r="42" spans="2:15">
      <c r="B42" s="228" t="str">
        <f>B63</f>
        <v>RoRE - including financing and tax</v>
      </c>
      <c r="C42" s="229" t="s">
        <v>7</v>
      </c>
      <c r="D42" s="176">
        <f>SUM(D39:D41)</f>
        <v>4.2093443287998862E-2</v>
      </c>
      <c r="E42" s="177">
        <f t="shared" ref="E42:K42" si="14">SUM(E39:E41)</f>
        <v>6.1510992235565179E-2</v>
      </c>
      <c r="F42" s="177">
        <f t="shared" si="14"/>
        <v>7.5741514957140432E-2</v>
      </c>
      <c r="G42" s="177">
        <f t="shared" si="14"/>
        <v>5.8541786713046523E-2</v>
      </c>
      <c r="H42" s="177">
        <f t="shared" si="14"/>
        <v>4.1433609418368295E-2</v>
      </c>
      <c r="I42" s="177">
        <f t="shared" si="14"/>
        <v>5.6649981095094469E-2</v>
      </c>
      <c r="J42" s="177">
        <f t="shared" si="14"/>
        <v>5.7121146909899716E-2</v>
      </c>
      <c r="K42" s="178">
        <f t="shared" si="14"/>
        <v>0.1625829973573395</v>
      </c>
      <c r="L42" s="159"/>
      <c r="M42" s="178">
        <f>SUM(M39:M41)</f>
        <v>7.1208656383897062E-2</v>
      </c>
      <c r="N42" s="178">
        <f>SUM(N39:N41)</f>
        <v>7.1208656383897062E-2</v>
      </c>
    </row>
    <row r="43" spans="2:15">
      <c r="B43" s="410"/>
      <c r="C43" s="411"/>
      <c r="D43" s="412"/>
      <c r="E43" s="412"/>
      <c r="F43" s="412"/>
      <c r="G43" s="412"/>
      <c r="H43" s="412"/>
      <c r="I43" s="412"/>
      <c r="J43" s="412"/>
      <c r="K43" s="412"/>
      <c r="L43" s="159"/>
      <c r="M43" s="412"/>
      <c r="N43" s="412"/>
    </row>
    <row r="44" spans="2:15">
      <c r="B44" s="410"/>
      <c r="C44" s="411"/>
      <c r="D44" s="412"/>
      <c r="E44" s="412"/>
      <c r="F44" s="412"/>
      <c r="G44" s="412"/>
      <c r="H44" s="412"/>
      <c r="I44" s="412"/>
      <c r="J44" s="412"/>
      <c r="K44" s="412"/>
      <c r="L44" s="159"/>
      <c r="M44" s="412"/>
      <c r="N44" s="412"/>
    </row>
    <row r="45" spans="2:15">
      <c r="B45" s="452" t="s">
        <v>395</v>
      </c>
      <c r="C45" s="453"/>
      <c r="D45" s="454"/>
      <c r="E45" s="454"/>
      <c r="F45" s="454"/>
      <c r="G45" s="454"/>
      <c r="H45" s="454"/>
      <c r="I45" s="454"/>
      <c r="J45" s="454"/>
      <c r="K45" s="454"/>
      <c r="L45" s="455"/>
      <c r="M45" s="454"/>
      <c r="N45" s="454"/>
      <c r="O45" s="197"/>
    </row>
    <row r="46" spans="2:15">
      <c r="B46" s="457" t="str">
        <f>"Input values provided in "&amp;'RFPR cover'!C14&amp;" prices"</f>
        <v>Input values provided in £m 12/13 prices</v>
      </c>
      <c r="C46" s="456"/>
      <c r="D46" s="456"/>
      <c r="E46" s="456"/>
      <c r="F46" s="456"/>
      <c r="G46" s="456"/>
      <c r="H46" s="456"/>
      <c r="I46" s="456"/>
      <c r="J46" s="456"/>
      <c r="K46" s="456"/>
      <c r="L46" s="456"/>
      <c r="M46" s="456"/>
      <c r="N46" s="456"/>
      <c r="O46" s="456"/>
    </row>
    <row r="48" spans="2:15">
      <c r="B48" s="181" t="s">
        <v>227</v>
      </c>
      <c r="C48" s="299" t="str">
        <f>'RFPR cover'!$C$14</f>
        <v>£m 12/13</v>
      </c>
      <c r="D48" s="163">
        <f>'R9 - RAV'!D50</f>
        <v>23.537379191061163</v>
      </c>
      <c r="E48" s="164">
        <f>'R9 - RAV'!E50</f>
        <v>24.016794081033229</v>
      </c>
      <c r="F48" s="164">
        <f>'R9 - RAV'!F50</f>
        <v>24.334496518199327</v>
      </c>
      <c r="G48" s="164">
        <f>'R9 - RAV'!G50</f>
        <v>24.536716822481463</v>
      </c>
      <c r="H48" s="164">
        <f>'R9 - RAV'!H50</f>
        <v>24.788958850761887</v>
      </c>
      <c r="I48" s="164">
        <f>'R9 - RAV'!I50</f>
        <v>25.134841457152266</v>
      </c>
      <c r="J48" s="164">
        <f>'R9 - RAV'!J50</f>
        <v>25.435495418337986</v>
      </c>
      <c r="K48" s="165">
        <f>'R9 - RAV'!K50</f>
        <v>25.568853673258019</v>
      </c>
      <c r="M48" s="86">
        <f>SUM(D48:INDEX(D48:K48,0,MATCH('RFPR cover'!$C$7,$D$6:$K$6,0)))</f>
        <v>197.35353601228533</v>
      </c>
      <c r="N48" s="86">
        <f>SUM(D48:K48)</f>
        <v>197.35353601228533</v>
      </c>
    </row>
    <row r="49" spans="2:14">
      <c r="B49" s="181" t="s">
        <v>102</v>
      </c>
      <c r="C49" s="299" t="str">
        <f>'RFPR cover'!$C$14</f>
        <v>£m 12/13</v>
      </c>
      <c r="D49" s="226">
        <f>'R4 - Totex'!D35+'R4 - Totex'!D63</f>
        <v>-2.3311779210598438</v>
      </c>
      <c r="E49" s="226">
        <f>'R4 - Totex'!E35+'R4 - Totex'!E63</f>
        <v>0.33007608075572925</v>
      </c>
      <c r="F49" s="226">
        <f>'R4 - Totex'!F35+'R4 - Totex'!F63</f>
        <v>0.91263583514572133</v>
      </c>
      <c r="G49" s="226">
        <f>'R4 - Totex'!G35+'R4 - Totex'!G63</f>
        <v>-2.769960503618317</v>
      </c>
      <c r="H49" s="226">
        <f>'R4 - Totex'!H35+'R4 - Totex'!H63</f>
        <v>-10.879286565936384</v>
      </c>
      <c r="I49" s="226">
        <f>'R4 - Totex'!I35+'R4 - Totex'!I63</f>
        <v>2.438341612147271</v>
      </c>
      <c r="J49" s="226">
        <f>'R4 - Totex'!J35+'R4 - Totex'!J63</f>
        <v>-9.4756927765783505</v>
      </c>
      <c r="K49" s="226">
        <f>'R4 - Totex'!K35+'R4 - Totex'!K63</f>
        <v>13.079323581825228</v>
      </c>
      <c r="M49" s="86">
        <f>SUM(D49:INDEX(D49:K49,0,MATCH('RFPR cover'!$C$7,$D$6:$K$6,0)))</f>
        <v>-8.6957406573189466</v>
      </c>
      <c r="N49" s="86">
        <f>SUM(D49:K49)</f>
        <v>-8.6957406573189466</v>
      </c>
    </row>
    <row r="50" spans="2:14">
      <c r="B50" s="181" t="s">
        <v>110</v>
      </c>
      <c r="C50" s="299" t="str">
        <f>'RFPR cover'!$C$14</f>
        <v>£m 12/13</v>
      </c>
      <c r="D50" s="219">
        <f>'R4 - Totex'!D79</f>
        <v>-0.65871781800535345</v>
      </c>
      <c r="E50" s="166">
        <f>'R4 - Totex'!E79</f>
        <v>-0.63543772576063684</v>
      </c>
      <c r="F50" s="166">
        <f>'R4 - Totex'!F79</f>
        <v>-0.58907862874233818</v>
      </c>
      <c r="G50" s="166">
        <f>'R4 - Totex'!G79</f>
        <v>-0.58178188190178026</v>
      </c>
      <c r="H50" s="166">
        <f>'R4 - Totex'!H79</f>
        <v>-0.56823918867341305</v>
      </c>
      <c r="I50" s="166">
        <f>'R4 - Totex'!I79</f>
        <v>-0.51933170333654122</v>
      </c>
      <c r="J50" s="166">
        <f>'R4 - Totex'!J79</f>
        <v>-0.47962665852661612</v>
      </c>
      <c r="K50" s="167">
        <f>'R4 - Totex'!K79</f>
        <v>-0.4656874701170608</v>
      </c>
      <c r="M50" s="86">
        <f>SUM(D50:INDEX(D50:K50,0,MATCH('RFPR cover'!$C$7,$D$6:$K$6,0)))</f>
        <v>-4.4979010750637398</v>
      </c>
      <c r="N50" s="86">
        <f t="shared" ref="N50:N57" si="15">SUM(D50:K50)</f>
        <v>-4.4979010750637398</v>
      </c>
    </row>
    <row r="51" spans="2:14">
      <c r="B51" s="225" t="str">
        <f>'R5 - Output Incentives'!B39</f>
        <v>Broad measure of customer service</v>
      </c>
      <c r="C51" s="299" t="str">
        <f>'RFPR cover'!$C$14</f>
        <v>£m 12/13</v>
      </c>
      <c r="D51" s="219">
        <f>'R5 - Output Incentives'!D39</f>
        <v>0.97674594335115539</v>
      </c>
      <c r="E51" s="166">
        <f>'R5 - Output Incentives'!E39</f>
        <v>1.6263829867298503</v>
      </c>
      <c r="F51" s="166">
        <f>'R5 - Output Incentives'!F39</f>
        <v>1.8585919621036557</v>
      </c>
      <c r="G51" s="166">
        <f>'R5 - Output Incentives'!G39</f>
        <v>1.8086444248287488</v>
      </c>
      <c r="H51" s="166">
        <f>'R5 - Output Incentives'!H39</f>
        <v>2.1101310000000009</v>
      </c>
      <c r="I51" s="166">
        <f>'R5 - Output Incentives'!I39</f>
        <v>2.0429819999999999</v>
      </c>
      <c r="J51" s="166">
        <f>'R5 - Output Incentives'!J39</f>
        <v>0.51555300000000015</v>
      </c>
      <c r="K51" s="167">
        <f>'R5 - Output Incentives'!K39</f>
        <v>1.1083690830456303</v>
      </c>
      <c r="M51" s="86">
        <f>SUM(D51:INDEX(D51:K51,0,MATCH('RFPR cover'!$C$7,$D$6:$K$6,0)))</f>
        <v>12.047400400059043</v>
      </c>
      <c r="N51" s="86">
        <f t="shared" si="15"/>
        <v>12.047400400059043</v>
      </c>
    </row>
    <row r="52" spans="2:14">
      <c r="B52" s="225" t="str">
        <f>'R5 - Output Incentives'!B40</f>
        <v>Interruptions-related quality of service</v>
      </c>
      <c r="C52" s="299" t="str">
        <f>'RFPR cover'!$C$14</f>
        <v>£m 12/13</v>
      </c>
      <c r="D52" s="219">
        <f>'R5 - Output Incentives'!D40</f>
        <v>6.0496742952869536</v>
      </c>
      <c r="E52" s="166">
        <f>'R5 - Output Incentives'!E40</f>
        <v>7.7553440431650298</v>
      </c>
      <c r="F52" s="166">
        <f>'R5 - Output Incentives'!F40</f>
        <v>7.1655573520760774</v>
      </c>
      <c r="G52" s="166">
        <f>'R5 - Output Incentives'!G40</f>
        <v>4.6894811684018407</v>
      </c>
      <c r="H52" s="166">
        <f>'R5 - Output Incentives'!H40</f>
        <v>6.1340243327328805</v>
      </c>
      <c r="I52" s="166">
        <f>'R5 - Output Incentives'!I40</f>
        <v>8.1000000000000014</v>
      </c>
      <c r="J52" s="166">
        <f>'R5 - Output Incentives'!J40</f>
        <v>3.4513026891072291</v>
      </c>
      <c r="K52" s="167">
        <f>'R5 - Output Incentives'!K40</f>
        <v>3.5518559738345337</v>
      </c>
      <c r="M52" s="86">
        <f>SUM(D52:INDEX(D52:K52,0,MATCH('RFPR cover'!$C$7,$D$6:$K$6,0)))</f>
        <v>46.89723985460455</v>
      </c>
      <c r="N52" s="86">
        <f t="shared" si="15"/>
        <v>46.89723985460455</v>
      </c>
    </row>
    <row r="53" spans="2:14">
      <c r="B53" s="225" t="str">
        <f>'R5 - Output Incentives'!B41</f>
        <v>Incentive on connections engagement</v>
      </c>
      <c r="C53" s="299" t="str">
        <f>'RFPR cover'!$C$14</f>
        <v>£m 12/13</v>
      </c>
      <c r="D53" s="219">
        <f>'R5 - Output Incentives'!D41</f>
        <v>0</v>
      </c>
      <c r="E53" s="166">
        <f>'R5 - Output Incentives'!E41</f>
        <v>0</v>
      </c>
      <c r="F53" s="166">
        <f>'R5 - Output Incentives'!F41</f>
        <v>0</v>
      </c>
      <c r="G53" s="166">
        <f>'R5 - Output Incentives'!G41</f>
        <v>0</v>
      </c>
      <c r="H53" s="166">
        <f>'R5 - Output Incentives'!H41</f>
        <v>0</v>
      </c>
      <c r="I53" s="166">
        <f>'R5 - Output Incentives'!I41</f>
        <v>0</v>
      </c>
      <c r="J53" s="166">
        <f>'R5 - Output Incentives'!J41</f>
        <v>0</v>
      </c>
      <c r="K53" s="167">
        <f>'R5 - Output Incentives'!K41</f>
        <v>0</v>
      </c>
      <c r="M53" s="86">
        <f>SUM(D53:INDEX(D53:K53,0,MATCH('RFPR cover'!$C$7,$D$6:$K$6,0)))</f>
        <v>0</v>
      </c>
      <c r="N53" s="86">
        <f t="shared" si="15"/>
        <v>0</v>
      </c>
    </row>
    <row r="54" spans="2:14">
      <c r="B54" s="225" t="str">
        <f>'R5 - Output Incentives'!B42</f>
        <v>Time to Connect Incentive</v>
      </c>
      <c r="C54" s="299" t="str">
        <f>'RFPR cover'!$C$14</f>
        <v>£m 12/13</v>
      </c>
      <c r="D54" s="219">
        <f>'R5 - Output Incentives'!D42</f>
        <v>0.44569441301727608</v>
      </c>
      <c r="E54" s="166">
        <f>'R5 - Output Incentives'!E42</f>
        <v>0.32400000000000007</v>
      </c>
      <c r="F54" s="166">
        <f>'R5 - Output Incentives'!F42</f>
        <v>2.3166000000000068E-2</v>
      </c>
      <c r="G54" s="166">
        <f>'R5 - Output Incentives'!G42</f>
        <v>0.24721200000000004</v>
      </c>
      <c r="H54" s="166">
        <f>'R5 - Output Incentives'!H42</f>
        <v>0</v>
      </c>
      <c r="I54" s="166">
        <f>'R5 - Output Incentives'!I42</f>
        <v>0</v>
      </c>
      <c r="J54" s="166">
        <f>'R5 - Output Incentives'!J42</f>
        <v>0</v>
      </c>
      <c r="K54" s="167">
        <f>'R5 - Output Incentives'!K42</f>
        <v>0</v>
      </c>
      <c r="M54" s="86">
        <f>SUM(D54:INDEX(D54:K54,0,MATCH('RFPR cover'!$C$7,$D$6:$K$6,0)))</f>
        <v>1.0400724130172763</v>
      </c>
      <c r="N54" s="86">
        <f t="shared" si="15"/>
        <v>1.0400724130172763</v>
      </c>
    </row>
    <row r="55" spans="2:14">
      <c r="B55" s="225" t="str">
        <f>'R5 - Output Incentives'!B43</f>
        <v>Losses discretionary reward scheme</v>
      </c>
      <c r="C55" s="299" t="str">
        <f>'RFPR cover'!$C$14</f>
        <v>£m 12/13</v>
      </c>
      <c r="D55" s="219">
        <f>'R5 - Output Incentives'!D43</f>
        <v>0</v>
      </c>
      <c r="E55" s="166">
        <f>'R5 - Output Incentives'!E43</f>
        <v>0.14174999999999999</v>
      </c>
      <c r="F55" s="166">
        <f>'R5 - Output Incentives'!F43</f>
        <v>0</v>
      </c>
      <c r="G55" s="166">
        <f>'R5 - Output Incentives'!G43</f>
        <v>0</v>
      </c>
      <c r="H55" s="166">
        <f>'R5 - Output Incentives'!H43</f>
        <v>0</v>
      </c>
      <c r="I55" s="166">
        <f>'R5 - Output Incentives'!I43</f>
        <v>0</v>
      </c>
      <c r="J55" s="166">
        <f>'R5 - Output Incentives'!J43</f>
        <v>0</v>
      </c>
      <c r="K55" s="167">
        <f>'R5 - Output Incentives'!K43</f>
        <v>0</v>
      </c>
      <c r="M55" s="86">
        <f>SUM(D55:INDEX(D55:K55,0,MATCH('RFPR cover'!$C$7,$D$6:$K$6,0)))</f>
        <v>0.14174999999999999</v>
      </c>
      <c r="N55" s="86">
        <f t="shared" si="15"/>
        <v>0.14174999999999999</v>
      </c>
    </row>
    <row r="56" spans="2:14">
      <c r="B56" s="181" t="s">
        <v>498</v>
      </c>
      <c r="C56" s="299" t="str">
        <f>'RFPR cover'!$C$14</f>
        <v>£m 12/13</v>
      </c>
      <c r="D56" s="219">
        <f>-'R6 - Innovation'!D28</f>
        <v>-5.9654320019690739E-2</v>
      </c>
      <c r="E56" s="166">
        <f>-'R6 - Innovation'!E28</f>
        <v>-5.6929197482187929E-2</v>
      </c>
      <c r="F56" s="166">
        <f>-'R6 - Innovation'!F28</f>
        <v>-0.15823251890809434</v>
      </c>
      <c r="G56" s="166">
        <f>-'R6 - Innovation'!G28</f>
        <v>-0.15943078900277491</v>
      </c>
      <c r="H56" s="166">
        <f>-'R6 - Innovation'!H28</f>
        <v>-0.15014371010225863</v>
      </c>
      <c r="I56" s="166">
        <f>-'R6 - Innovation'!I28</f>
        <v>-0.1549501063066468</v>
      </c>
      <c r="J56" s="166">
        <f>-'R6 - Innovation'!J28</f>
        <v>-5.749908990058554E-2</v>
      </c>
      <c r="K56" s="167">
        <f>-'R6 - Innovation'!K28</f>
        <v>-0.10223189829577871</v>
      </c>
      <c r="M56" s="86">
        <f>SUM(D56:INDEX(D56:K56,0,MATCH('RFPR cover'!$C$7,$D$6:$K$6,0)))</f>
        <v>-0.89907163001801749</v>
      </c>
      <c r="N56" s="86">
        <f t="shared" si="15"/>
        <v>-0.89907163001801749</v>
      </c>
    </row>
    <row r="57" spans="2:14">
      <c r="B57" s="181" t="s">
        <v>35</v>
      </c>
      <c r="C57" s="299" t="str">
        <f>'RFPR cover'!$C$14</f>
        <v>£m 12/13</v>
      </c>
      <c r="D57" s="220">
        <f>-'R13 - Other Activities '!D8</f>
        <v>-0.2976853859763407</v>
      </c>
      <c r="E57" s="220">
        <f>-'R13 - Other Activities '!E8</f>
        <v>-0.2239074670178722</v>
      </c>
      <c r="F57" s="220">
        <f>-'R13 - Other Activities '!F8</f>
        <v>-0.24615244154408025</v>
      </c>
      <c r="G57" s="220">
        <f>-'R13 - Other Activities '!G8</f>
        <v>-0.2340713198488924</v>
      </c>
      <c r="H57" s="220">
        <f>-'R13 - Other Activities '!H8</f>
        <v>-0.1782707006772937</v>
      </c>
      <c r="I57" s="220">
        <f>-'R13 - Other Activities '!I8</f>
        <v>-0.17328464115196474</v>
      </c>
      <c r="J57" s="220">
        <f>-'R13 - Other Activities '!J8</f>
        <v>-14.589626865585418</v>
      </c>
      <c r="K57" s="220">
        <f>-'R13 - Other Activities '!K8</f>
        <v>0.33452337418457706</v>
      </c>
      <c r="M57" s="86">
        <f>SUM(D57:INDEX(D57:K57,0,MATCH('RFPR cover'!$C$7,$D$6:$K$6,0)))</f>
        <v>-15.608475447617284</v>
      </c>
      <c r="N57" s="86">
        <f t="shared" si="15"/>
        <v>-15.608475447617284</v>
      </c>
    </row>
    <row r="58" spans="2:14">
      <c r="B58" s="224" t="s">
        <v>103</v>
      </c>
      <c r="C58" s="299" t="str">
        <f>'RFPR cover'!$C$14</f>
        <v>£m 12/13</v>
      </c>
      <c r="D58" s="221">
        <f t="shared" ref="D58:K58" si="16">SUM(D48:D57)</f>
        <v>27.662258397655322</v>
      </c>
      <c r="E58" s="133">
        <f t="shared" si="16"/>
        <v>33.278072801423136</v>
      </c>
      <c r="F58" s="133">
        <f t="shared" si="16"/>
        <v>33.300984078330266</v>
      </c>
      <c r="G58" s="133">
        <f t="shared" si="16"/>
        <v>27.536809921340286</v>
      </c>
      <c r="H58" s="133">
        <f t="shared" si="16"/>
        <v>21.257174018105417</v>
      </c>
      <c r="I58" s="133">
        <f t="shared" si="16"/>
        <v>36.868598618504386</v>
      </c>
      <c r="J58" s="133">
        <f t="shared" si="16"/>
        <v>4.7999057168542461</v>
      </c>
      <c r="K58" s="134">
        <f t="shared" si="16"/>
        <v>43.075006317735152</v>
      </c>
      <c r="M58" s="132">
        <f>SUM(M48:M57)</f>
        <v>227.77880986994822</v>
      </c>
      <c r="N58" s="134">
        <f>SUM(N48:N57)</f>
        <v>227.77880986994822</v>
      </c>
    </row>
    <row r="59" spans="2:14">
      <c r="B59" s="181" t="s">
        <v>440</v>
      </c>
      <c r="C59" s="299" t="str">
        <f>'RFPR cover'!$C$14</f>
        <v>£m 12/13</v>
      </c>
      <c r="D59" s="219">
        <f>'R7 - Financing'!D88+'R10 - Tax'!D102</f>
        <v>-10.025950564418185</v>
      </c>
      <c r="E59" s="219">
        <f>'R7 - Financing'!E88+'R10 - Tax'!E102</f>
        <v>-3.2785681802840276</v>
      </c>
      <c r="F59" s="219">
        <f>'R7 - Financing'!F88+'R10 - Tax'!F102</f>
        <v>8.2518094311964223</v>
      </c>
      <c r="G59" s="219">
        <f>'R7 - Financing'!G88+'R10 - Tax'!G102</f>
        <v>3.8553233125181956</v>
      </c>
      <c r="H59" s="219">
        <f>'R7 - Financing'!H88+'R10 - Tax'!H102</f>
        <v>-0.19040263958896886</v>
      </c>
      <c r="I59" s="219">
        <f>'R7 - Financing'!I88+'R10 - Tax'!I102</f>
        <v>-8.919124444538383</v>
      </c>
      <c r="J59" s="219">
        <f>'R7 - Financing'!J88+'R10 - Tax'!J102</f>
        <v>30.615404499319411</v>
      </c>
      <c r="K59" s="219">
        <f>'R7 - Financing'!K88+'R10 - Tax'!K102</f>
        <v>83.305568584542883</v>
      </c>
      <c r="M59" s="86">
        <f>SUM(D59:INDEX(D59:K59,0,MATCH('RFPR cover'!$C$7,$D$6:$K$6,0)))</f>
        <v>103.61405999874735</v>
      </c>
      <c r="N59" s="86">
        <f>SUM(D59:K59)</f>
        <v>103.61405999874735</v>
      </c>
    </row>
    <row r="60" spans="2:14">
      <c r="B60" s="181" t="s">
        <v>435</v>
      </c>
      <c r="C60" s="299" t="str">
        <f>'RFPR cover'!$C$14</f>
        <v>£m 12/13</v>
      </c>
      <c r="D60" s="219">
        <f>'R7 - Financing'!D90+'R10 - Tax'!D103</f>
        <v>4.1047999148412355</v>
      </c>
      <c r="E60" s="219">
        <f>'R7 - Financing'!E90+'R10 - Tax'!E103</f>
        <v>2.8515004964975068</v>
      </c>
      <c r="F60" s="219">
        <f>'R7 - Financing'!F90+'R10 - Tax'!F103</f>
        <v>0.32154919525853742</v>
      </c>
      <c r="G60" s="219">
        <f>'R7 - Financing'!G90+'R10 - Tax'!G103</f>
        <v>1.0734837680674856</v>
      </c>
      <c r="H60" s="219">
        <f>'R7 - Financing'!H90+'R10 - Tax'!H103</f>
        <v>1.6129385935124285</v>
      </c>
      <c r="I60" s="219">
        <f>'R7 - Financing'!I90+'R10 - Tax'!I103</f>
        <v>2.6501218805949729</v>
      </c>
      <c r="J60" s="219">
        <f>'R7 - Financing'!J90+'R10 - Tax'!J103</f>
        <v>-4.8764446696538535</v>
      </c>
      <c r="K60" s="219">
        <f>'R7 - Financing'!K90+'R10 - Tax'!K103</f>
        <v>-21.978591973361617</v>
      </c>
      <c r="M60" s="86">
        <f>SUM(D60:INDEX(D60:K60,0,MATCH('RFPR cover'!$C$7,$D$6:$K$6,0)))</f>
        <v>-14.240642794243303</v>
      </c>
      <c r="N60" s="86">
        <f>SUM(D60:K60)</f>
        <v>-14.240642794243303</v>
      </c>
    </row>
    <row r="61" spans="2:14">
      <c r="B61" s="181" t="s">
        <v>441</v>
      </c>
      <c r="C61" s="299" t="str">
        <f>'RFPR cover'!$C$14</f>
        <v>£m 12/13</v>
      </c>
      <c r="D61" s="219">
        <f>'R10 - Tax'!D95-'R10 - Tax'!D102</f>
        <v>0.92309187530850445</v>
      </c>
      <c r="E61" s="219">
        <f>'R10 - Tax'!E95-'R10 - Tax'!E102</f>
        <v>1.7012863820547022</v>
      </c>
      <c r="F61" s="219">
        <f>'R10 - Tax'!F95-'R10 - Tax'!F102</f>
        <v>2.3957910684722798</v>
      </c>
      <c r="G61" s="219">
        <f>'R10 - Tax'!G95-'R10 - Tax'!G102</f>
        <v>1.8268150781253683</v>
      </c>
      <c r="H61" s="219">
        <f>'R10 - Tax'!H95-'R10 - Tax'!H102</f>
        <v>1.0684236346967657</v>
      </c>
      <c r="I61" s="219">
        <f>'R10 - Tax'!I95-'R10 - Tax'!I102</f>
        <v>0.68618585008790589</v>
      </c>
      <c r="J61" s="219">
        <f>'R10 - Tax'!J95-'R10 - Tax'!J102</f>
        <v>2.437315943599915</v>
      </c>
      <c r="K61" s="219">
        <f>'R10 - Tax'!K95-'R10 - Tax'!K102</f>
        <v>0.81422989447223415</v>
      </c>
      <c r="M61" s="86">
        <f>SUM(D61:INDEX(D61:K61,0,MATCH('RFPR cover'!$C$7,$D$6:$K$6,0)))</f>
        <v>11.853139726817675</v>
      </c>
      <c r="N61" s="86">
        <f>SUM(D61:K61)</f>
        <v>11.853139726817675</v>
      </c>
    </row>
    <row r="62" spans="2:14">
      <c r="B62" s="181" t="s">
        <v>436</v>
      </c>
      <c r="C62" s="299" t="str">
        <f>'RFPR cover'!$C$14</f>
        <v>£m 12/13</v>
      </c>
      <c r="D62" s="219">
        <f>'R10 - Tax'!D97-'R10 - Tax'!D103</f>
        <v>0</v>
      </c>
      <c r="E62" s="219">
        <f>'R10 - Tax'!E97-'R10 - Tax'!E103</f>
        <v>0</v>
      </c>
      <c r="F62" s="219">
        <f>'R10 - Tax'!F97-'R10 - Tax'!F103</f>
        <v>0</v>
      </c>
      <c r="G62" s="219">
        <f>'R10 - Tax'!G97-'R10 - Tax'!G103</f>
        <v>0</v>
      </c>
      <c r="H62" s="219">
        <f>'R10 - Tax'!H97-'R10 - Tax'!H103</f>
        <v>0</v>
      </c>
      <c r="I62" s="219">
        <f>'R10 - Tax'!I97-'R10 - Tax'!I103</f>
        <v>0</v>
      </c>
      <c r="J62" s="219">
        <f>'R10 - Tax'!J97-'R10 - Tax'!J103</f>
        <v>0</v>
      </c>
      <c r="K62" s="219">
        <f>'R10 - Tax'!K97-'R10 - Tax'!K103</f>
        <v>0</v>
      </c>
      <c r="M62" s="86">
        <f>SUM(D62:INDEX(D62:K62,0,MATCH('RFPR cover'!$C$7,$D$6:$K$6,0)))</f>
        <v>0</v>
      </c>
      <c r="N62" s="86">
        <f>SUM(D62:K62)</f>
        <v>0</v>
      </c>
    </row>
    <row r="63" spans="2:14">
      <c r="B63" s="224" t="s">
        <v>104</v>
      </c>
      <c r="C63" s="299" t="str">
        <f>'RFPR cover'!$C$14</f>
        <v>£m 12/13</v>
      </c>
      <c r="D63" s="222">
        <f>SUM(D58:D62)</f>
        <v>22.664199623386875</v>
      </c>
      <c r="E63" s="136">
        <f t="shared" ref="E63:K63" si="17">SUM(E58:E62)</f>
        <v>34.552291499691322</v>
      </c>
      <c r="F63" s="136">
        <f t="shared" si="17"/>
        <v>44.270133773257498</v>
      </c>
      <c r="G63" s="136">
        <f t="shared" si="17"/>
        <v>34.292432080051334</v>
      </c>
      <c r="H63" s="136">
        <f t="shared" si="17"/>
        <v>23.748133606725645</v>
      </c>
      <c r="I63" s="136">
        <f t="shared" si="17"/>
        <v>31.285781904648882</v>
      </c>
      <c r="J63" s="136">
        <f t="shared" si="17"/>
        <v>32.976181490119721</v>
      </c>
      <c r="K63" s="137">
        <f t="shared" si="17"/>
        <v>105.21621282338864</v>
      </c>
      <c r="M63" s="135">
        <f>SUM(M58:M62)</f>
        <v>329.00536680126999</v>
      </c>
      <c r="N63" s="137">
        <f>SUM(N58:N62)</f>
        <v>329.00536680126999</v>
      </c>
    </row>
    <row r="64" spans="2:14">
      <c r="D64" s="370"/>
    </row>
    <row r="65" spans="2:11">
      <c r="B65" s="181" t="s">
        <v>231</v>
      </c>
      <c r="C65" s="299" t="str">
        <f>'RFPR cover'!$C$14</f>
        <v>£m 12/13</v>
      </c>
      <c r="D65" s="218">
        <f>'R9 - RAV'!D46</f>
        <v>392.28965318435274</v>
      </c>
      <c r="E65" s="164">
        <f>'R9 - RAV'!E46</f>
        <v>400.27990135055381</v>
      </c>
      <c r="F65" s="164">
        <f>'R9 - RAV'!F46</f>
        <v>405.5749419699888</v>
      </c>
      <c r="G65" s="164">
        <f>'R9 - RAV'!G46</f>
        <v>408.94528037469104</v>
      </c>
      <c r="H65" s="164">
        <f>'R9 - RAV'!H46</f>
        <v>413.14931417936481</v>
      </c>
      <c r="I65" s="164">
        <f>'R9 - RAV'!I46</f>
        <v>418.91402428587111</v>
      </c>
      <c r="J65" s="164">
        <f>'R9 - RAV'!J46</f>
        <v>423.92492363896645</v>
      </c>
      <c r="K65" s="165">
        <f>'R9 - RAV'!K46</f>
        <v>426.14756122096702</v>
      </c>
    </row>
    <row r="66" spans="2:11">
      <c r="B66" s="181" t="s">
        <v>107</v>
      </c>
      <c r="C66" s="299" t="str">
        <f>'RFPR cover'!$C$14</f>
        <v>£m 12/13</v>
      </c>
      <c r="D66" s="223">
        <f>'R8 - Net Debt'!D62</f>
        <v>538.4258889994062</v>
      </c>
      <c r="E66" s="168">
        <f>'R8 - Net Debt'!E62</f>
        <v>561.72547773848873</v>
      </c>
      <c r="F66" s="168">
        <f>'R8 - Net Debt'!F62</f>
        <v>584.48967911862451</v>
      </c>
      <c r="G66" s="168">
        <f>'R8 - Net Debt'!G62</f>
        <v>585.77699802949439</v>
      </c>
      <c r="H66" s="168">
        <f>'R8 - Net Debt'!H62</f>
        <v>573.16111099405339</v>
      </c>
      <c r="I66" s="168">
        <f>'R8 - Net Debt'!I62</f>
        <v>552.26464863477293</v>
      </c>
      <c r="J66" s="168">
        <f>'R8 - Net Debt'!J62</f>
        <v>577.30251008676066</v>
      </c>
      <c r="K66" s="169">
        <f>'R8 - Net Debt'!K62</f>
        <v>647.1538508552344</v>
      </c>
    </row>
  </sheetData>
  <sheetProtection algorithmName="SHA-512" hashValue="iKyYYDqh7ycailkNbdO+4wNlhh1CVyv3ypQTeLP16mRFsZYhsfj4DiiRSGzAnQ3gcdaDEFxVZiKc23+j8NivpA==" saltValue="CahmIpuuY/G8J8IWXry26w==" spinCount="100000" sheet="1" objects="1" scenarios="1"/>
  <conditionalFormatting sqref="D5:K6">
    <cfRule type="expression" dxfId="47"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64.3828125" style="181" customWidth="1"/>
    <col min="3" max="3" width="13.3828125" style="127" customWidth="1"/>
    <col min="4" max="11" width="11.15234375" customWidth="1"/>
    <col min="12" max="12" width="5" customWidth="1"/>
  </cols>
  <sheetData>
    <row r="1" spans="1:12" ht="20">
      <c r="A1" s="782" t="s">
        <v>119</v>
      </c>
      <c r="B1" s="783"/>
      <c r="C1" s="245"/>
      <c r="D1" s="244"/>
      <c r="E1" s="244"/>
      <c r="F1" s="244"/>
      <c r="G1" s="244"/>
      <c r="H1" s="244"/>
      <c r="I1" s="244"/>
      <c r="J1" s="244"/>
      <c r="K1" s="244"/>
      <c r="L1" s="246"/>
    </row>
    <row r="2" spans="1:12" ht="20">
      <c r="A2" s="772" t="str">
        <f>'RFPR cover'!C5</f>
        <v>NPgN</v>
      </c>
      <c r="B2" s="779"/>
      <c r="C2" s="125"/>
      <c r="D2" s="29"/>
      <c r="E2" s="29"/>
      <c r="F2" s="29"/>
      <c r="G2" s="29"/>
      <c r="H2" s="29"/>
      <c r="I2" s="27"/>
      <c r="J2" s="27"/>
      <c r="K2" s="27"/>
      <c r="L2" s="114"/>
    </row>
    <row r="3" spans="1:12" ht="20">
      <c r="A3" s="774">
        <f>'RFPR cover'!C7</f>
        <v>2023</v>
      </c>
      <c r="B3" s="784"/>
      <c r="C3" s="247"/>
      <c r="D3" s="235"/>
      <c r="E3" s="235"/>
      <c r="F3" s="235"/>
      <c r="G3" s="235"/>
      <c r="H3" s="235"/>
      <c r="I3" s="230"/>
      <c r="J3" s="230"/>
      <c r="K3" s="230"/>
      <c r="L3" s="236"/>
    </row>
    <row r="4" spans="1:12" s="2" customFormat="1" ht="12.75" customHeight="1">
      <c r="B4" s="120"/>
      <c r="C4" s="127"/>
    </row>
    <row r="5" spans="1:12" s="2" customFormat="1">
      <c r="B5" s="120"/>
      <c r="C5" s="127"/>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2" s="2" customFormat="1">
      <c r="B6" s="120"/>
      <c r="C6" s="127"/>
      <c r="D6" s="81">
        <f>'RFPR cover'!$C$13</f>
        <v>2016</v>
      </c>
      <c r="E6" s="82">
        <f>D6+1</f>
        <v>2017</v>
      </c>
      <c r="F6" s="82">
        <f t="shared" ref="F6:K6" si="0">E6+1</f>
        <v>2018</v>
      </c>
      <c r="G6" s="82">
        <f t="shared" si="0"/>
        <v>2019</v>
      </c>
      <c r="H6" s="82">
        <f t="shared" si="0"/>
        <v>2020</v>
      </c>
      <c r="I6" s="82">
        <f t="shared" si="0"/>
        <v>2021</v>
      </c>
      <c r="J6" s="82">
        <f t="shared" si="0"/>
        <v>2022</v>
      </c>
      <c r="K6" s="82">
        <f t="shared" si="0"/>
        <v>2023</v>
      </c>
    </row>
    <row r="7" spans="1:12" s="2" customFormat="1">
      <c r="B7" s="674"/>
      <c r="C7" s="142"/>
      <c r="D7" s="46"/>
      <c r="E7" s="46"/>
      <c r="F7" s="46"/>
      <c r="G7" s="46"/>
      <c r="H7" s="46"/>
      <c r="I7" s="46"/>
      <c r="J7" s="46"/>
      <c r="K7" s="46"/>
    </row>
    <row r="8" spans="1:12" s="2" customFormat="1">
      <c r="B8" s="675" t="s">
        <v>154</v>
      </c>
      <c r="C8" s="140"/>
      <c r="D8" s="72"/>
      <c r="E8" s="72"/>
      <c r="F8" s="72"/>
      <c r="G8" s="72"/>
      <c r="H8" s="72"/>
      <c r="I8" s="72"/>
      <c r="J8" s="72"/>
      <c r="K8" s="72"/>
      <c r="L8" s="72"/>
    </row>
    <row r="9" spans="1:12" s="2" customFormat="1">
      <c r="B9" s="345"/>
      <c r="C9" s="127"/>
    </row>
    <row r="10" spans="1:12" s="2" customFormat="1">
      <c r="B10" s="676" t="s">
        <v>388</v>
      </c>
      <c r="C10" s="141" t="str">
        <f>'RFPR cover'!$C$14</f>
        <v>£m 12/13</v>
      </c>
      <c r="D10" s="518">
        <v>249.1</v>
      </c>
      <c r="E10" s="519">
        <v>246.5</v>
      </c>
      <c r="F10" s="519">
        <v>246.5</v>
      </c>
      <c r="G10" s="519">
        <v>246.5</v>
      </c>
      <c r="H10" s="519">
        <v>246.5</v>
      </c>
      <c r="I10" s="519">
        <v>246.5</v>
      </c>
      <c r="J10" s="519">
        <v>246.5</v>
      </c>
      <c r="K10" s="519">
        <v>246.5</v>
      </c>
    </row>
    <row r="11" spans="1:12" s="2" customFormat="1">
      <c r="B11" s="676" t="s">
        <v>389</v>
      </c>
      <c r="C11" s="141" t="str">
        <f>'RFPR cover'!$C$14</f>
        <v>£m 12/13</v>
      </c>
      <c r="D11" s="520">
        <v>0</v>
      </c>
      <c r="E11" s="521">
        <v>-1</v>
      </c>
      <c r="F11" s="521">
        <v>-3</v>
      </c>
      <c r="G11" s="521">
        <v>-6.1</v>
      </c>
      <c r="H11" s="521">
        <v>-9.6999999999999993</v>
      </c>
      <c r="I11" s="521">
        <v>-10</v>
      </c>
      <c r="J11" s="521">
        <v>-7</v>
      </c>
      <c r="K11" s="521">
        <v>-15.9</v>
      </c>
    </row>
    <row r="12" spans="1:12" s="2" customFormat="1">
      <c r="B12" s="676" t="s">
        <v>146</v>
      </c>
      <c r="C12" s="141" t="str">
        <f>'RFPR cover'!$C$14</f>
        <v>£m 12/13</v>
      </c>
      <c r="D12" s="520">
        <v>0</v>
      </c>
      <c r="E12" s="521">
        <v>0</v>
      </c>
      <c r="F12" s="521">
        <v>-5.4795855896782246</v>
      </c>
      <c r="G12" s="521">
        <v>-0.96465888633505792</v>
      </c>
      <c r="H12" s="521">
        <v>0.60468699664441095</v>
      </c>
      <c r="I12" s="521">
        <v>-0.25761930376451264</v>
      </c>
      <c r="J12" s="521">
        <v>-2.2772051784902816</v>
      </c>
      <c r="K12" s="521">
        <v>-3.2405004788995844</v>
      </c>
    </row>
    <row r="13" spans="1:12" s="2" customFormat="1">
      <c r="B13" s="676" t="s">
        <v>377</v>
      </c>
      <c r="C13" s="142" t="s">
        <v>126</v>
      </c>
      <c r="D13" s="706">
        <v>1.0820000000000001</v>
      </c>
      <c r="E13" s="707">
        <v>1.087</v>
      </c>
      <c r="F13" s="707">
        <v>1.121</v>
      </c>
      <c r="G13" s="707">
        <v>1.159</v>
      </c>
      <c r="H13" s="707">
        <v>1.198</v>
      </c>
      <c r="I13" s="707">
        <v>1.2170000000000001</v>
      </c>
      <c r="J13" s="707">
        <v>1.238</v>
      </c>
      <c r="K13" s="707">
        <v>1.321</v>
      </c>
    </row>
    <row r="14" spans="1:12" s="2" customFormat="1">
      <c r="B14" s="676" t="s">
        <v>195</v>
      </c>
      <c r="C14" s="142" t="s">
        <v>127</v>
      </c>
      <c r="D14" s="547">
        <f>SUM(D10:D12)*D13</f>
        <v>269.52620000000002</v>
      </c>
      <c r="E14" s="548">
        <f t="shared" ref="E14:K14" si="1">SUM(E10:E12)*E13</f>
        <v>266.85849999999999</v>
      </c>
      <c r="F14" s="548">
        <f t="shared" si="1"/>
        <v>266.8208845539707</v>
      </c>
      <c r="G14" s="548">
        <f t="shared" si="1"/>
        <v>277.50556035073765</v>
      </c>
      <c r="H14" s="548">
        <f t="shared" si="1"/>
        <v>284.41081502198</v>
      </c>
      <c r="I14" s="548">
        <f t="shared" si="1"/>
        <v>287.50697730731861</v>
      </c>
      <c r="J14" s="548">
        <f t="shared" si="1"/>
        <v>293.68181998902901</v>
      </c>
      <c r="K14" s="549">
        <f t="shared" si="1"/>
        <v>300.34189886737363</v>
      </c>
    </row>
    <row r="15" spans="1:12" s="2" customFormat="1">
      <c r="B15" s="181" t="s">
        <v>130</v>
      </c>
      <c r="C15" s="142" t="s">
        <v>127</v>
      </c>
      <c r="D15" s="522">
        <f>'R5 - Output Incentives'!D102</f>
        <v>1.9596124291141461</v>
      </c>
      <c r="E15" s="523">
        <f>'R5 - Output Incentives'!E102</f>
        <v>3.9592707266661158</v>
      </c>
      <c r="F15" s="524">
        <f>'R5 - Output Incentives'!F102</f>
        <v>11.064316872233315</v>
      </c>
      <c r="G15" s="524">
        <f>'R5 - Output Incentives'!G102</f>
        <v>14.52509034387756</v>
      </c>
      <c r="H15" s="524">
        <f>'R5 - Output Incentives'!H102</f>
        <v>13.968154562137352</v>
      </c>
      <c r="I15" s="524">
        <f>'R5 - Output Incentives'!I102</f>
        <v>10.472069331857675</v>
      </c>
      <c r="J15" s="524">
        <f>'R5 - Output Incentives'!J102</f>
        <v>13.095860305502168</v>
      </c>
      <c r="K15" s="525">
        <f>'R5 - Output Incentives'!K102</f>
        <v>17.102708534152679</v>
      </c>
    </row>
    <row r="16" spans="1:12" s="2" customFormat="1">
      <c r="B16" s="676" t="s">
        <v>390</v>
      </c>
      <c r="C16" s="142" t="s">
        <v>127</v>
      </c>
      <c r="D16" s="520">
        <v>0</v>
      </c>
      <c r="E16" s="521">
        <v>0</v>
      </c>
      <c r="F16" s="521">
        <v>1.1513394371207399</v>
      </c>
      <c r="G16" s="521">
        <v>3.202278469360154</v>
      </c>
      <c r="H16" s="521">
        <v>3.9582991930193998</v>
      </c>
      <c r="I16" s="521">
        <v>7.2988740751936341</v>
      </c>
      <c r="J16" s="521">
        <v>8.0893534990906257</v>
      </c>
      <c r="K16" s="521">
        <v>61.869877610102158</v>
      </c>
    </row>
    <row r="17" spans="2:12" s="2" customFormat="1">
      <c r="B17" s="676" t="s">
        <v>133</v>
      </c>
      <c r="C17" s="142" t="s">
        <v>127</v>
      </c>
      <c r="D17" s="522">
        <f>'R6 - Innovation'!D12</f>
        <v>0.56927227077149622</v>
      </c>
      <c r="E17" s="523">
        <f>'R6 - Innovation'!E12</f>
        <v>0.55490768199774976</v>
      </c>
      <c r="F17" s="524">
        <f>'R6 - Innovation'!F12</f>
        <v>1.6000591305686231</v>
      </c>
      <c r="G17" s="524">
        <f>'R6 - Innovation'!G12</f>
        <v>1.6614372605995029</v>
      </c>
      <c r="H17" s="524">
        <f>'R6 - Innovation'!H12</f>
        <v>1.6051603707933619</v>
      </c>
      <c r="I17" s="524">
        <f>'R6 - Innovation'!I12</f>
        <v>1.6766358283321408</v>
      </c>
      <c r="J17" s="524">
        <f>'R6 - Innovation'!J12</f>
        <v>0.65810449100879764</v>
      </c>
      <c r="K17" s="525">
        <f>'R6 - Innovation'!K12</f>
        <v>1.3207325048073422</v>
      </c>
    </row>
    <row r="18" spans="2:12" s="2" customFormat="1">
      <c r="B18" s="676" t="s">
        <v>132</v>
      </c>
      <c r="C18" s="142" t="s">
        <v>127</v>
      </c>
      <c r="D18" s="522">
        <f>'R6 - Innovation'!D17</f>
        <v>1.1010599400000001</v>
      </c>
      <c r="E18" s="523">
        <f>'R6 - Innovation'!E17</f>
        <v>5.8397959999999992E-2</v>
      </c>
      <c r="F18" s="524">
        <f>'R6 - Innovation'!F17</f>
        <v>0.16904193000000001</v>
      </c>
      <c r="G18" s="524">
        <f>'R6 - Innovation'!G17</f>
        <v>0.45848116</v>
      </c>
      <c r="H18" s="524">
        <f>'R6 - Innovation'!H17</f>
        <v>6.2660850000000004E-2</v>
      </c>
      <c r="I18" s="524">
        <f>'R6 - Innovation'!I17</f>
        <v>-0.16883793999999999</v>
      </c>
      <c r="J18" s="524">
        <f>'R6 - Innovation'!J17</f>
        <v>3.7337910000000002E-2</v>
      </c>
      <c r="K18" s="525">
        <f>'R6 - Innovation'!K17</f>
        <v>-0.17509968000000001</v>
      </c>
    </row>
    <row r="19" spans="2:12" s="2" customFormat="1">
      <c r="B19" s="447" t="s">
        <v>546</v>
      </c>
      <c r="C19" s="142" t="s">
        <v>127</v>
      </c>
      <c r="D19" s="520">
        <v>-8.4029838676980972</v>
      </c>
      <c r="E19" s="521">
        <v>-2.7806922322100096</v>
      </c>
      <c r="F19" s="521">
        <v>0</v>
      </c>
      <c r="G19" s="521">
        <v>0</v>
      </c>
      <c r="H19" s="521">
        <v>0</v>
      </c>
      <c r="I19" s="521">
        <v>0</v>
      </c>
      <c r="J19" s="521">
        <v>0</v>
      </c>
      <c r="K19" s="521">
        <v>0</v>
      </c>
    </row>
    <row r="20" spans="2:12" s="2" customFormat="1">
      <c r="B20" s="447" t="s">
        <v>242</v>
      </c>
      <c r="C20" s="142" t="s">
        <v>127</v>
      </c>
      <c r="D20" s="520"/>
      <c r="E20" s="521"/>
      <c r="F20" s="521"/>
      <c r="G20" s="521"/>
      <c r="H20" s="521"/>
      <c r="I20" s="521"/>
      <c r="J20" s="521"/>
      <c r="K20" s="521"/>
    </row>
    <row r="21" spans="2:12" s="2" customFormat="1">
      <c r="B21" s="447" t="s">
        <v>242</v>
      </c>
      <c r="C21" s="142" t="s">
        <v>127</v>
      </c>
      <c r="D21" s="520"/>
      <c r="E21" s="521"/>
      <c r="F21" s="521"/>
      <c r="G21" s="521"/>
      <c r="H21" s="521"/>
      <c r="I21" s="521"/>
      <c r="J21" s="521"/>
      <c r="K21" s="521"/>
    </row>
    <row r="22" spans="2:12" s="2" customFormat="1">
      <c r="B22" s="447" t="s">
        <v>242</v>
      </c>
      <c r="C22" s="142" t="s">
        <v>127</v>
      </c>
      <c r="D22" s="520"/>
      <c r="E22" s="521"/>
      <c r="F22" s="521"/>
      <c r="G22" s="521"/>
      <c r="H22" s="521"/>
      <c r="I22" s="521"/>
      <c r="J22" s="521"/>
      <c r="K22" s="521"/>
    </row>
    <row r="23" spans="2:12" s="2" customFormat="1">
      <c r="B23" s="447" t="s">
        <v>242</v>
      </c>
      <c r="C23" s="142" t="s">
        <v>127</v>
      </c>
      <c r="D23" s="520"/>
      <c r="E23" s="521"/>
      <c r="F23" s="521"/>
      <c r="G23" s="521"/>
      <c r="H23" s="521"/>
      <c r="I23" s="521"/>
      <c r="J23" s="521"/>
      <c r="K23" s="521"/>
    </row>
    <row r="24" spans="2:12" s="2" customFormat="1">
      <c r="B24" s="447" t="s">
        <v>242</v>
      </c>
      <c r="C24" s="142" t="s">
        <v>127</v>
      </c>
      <c r="D24" s="520"/>
      <c r="E24" s="521"/>
      <c r="F24" s="521"/>
      <c r="G24" s="521"/>
      <c r="H24" s="521"/>
      <c r="I24" s="521"/>
      <c r="J24" s="521"/>
      <c r="K24" s="521"/>
    </row>
    <row r="25" spans="2:12" s="2" customFormat="1">
      <c r="B25" s="676" t="s">
        <v>134</v>
      </c>
      <c r="C25" s="142" t="s">
        <v>127</v>
      </c>
      <c r="D25" s="520">
        <v>-16.115796</v>
      </c>
      <c r="E25" s="521">
        <v>-20.193423291208532</v>
      </c>
      <c r="F25" s="521">
        <v>-1.4591257453882307</v>
      </c>
      <c r="G25" s="521">
        <v>1.8731332033922627</v>
      </c>
      <c r="H25" s="521">
        <v>-2.4865806922473004</v>
      </c>
      <c r="I25" s="521">
        <v>-15.158797563608093</v>
      </c>
      <c r="J25" s="521">
        <v>-11.29850688580329</v>
      </c>
      <c r="K25" s="521">
        <v>-20.236305317204124</v>
      </c>
    </row>
    <row r="26" spans="2:12" s="2" customFormat="1">
      <c r="B26" s="674" t="s">
        <v>147</v>
      </c>
      <c r="C26" s="142" t="s">
        <v>127</v>
      </c>
      <c r="D26" s="526">
        <f>SUM(D14:D24,-D25)</f>
        <v>280.86895677218757</v>
      </c>
      <c r="E26" s="527">
        <f t="shared" ref="E26:K26" si="2">SUM(E14:E24,-E25)</f>
        <v>288.84380742766234</v>
      </c>
      <c r="F26" s="527">
        <f t="shared" si="2"/>
        <v>282.26476766928158</v>
      </c>
      <c r="G26" s="527">
        <f t="shared" si="2"/>
        <v>295.47971438118259</v>
      </c>
      <c r="H26" s="527">
        <f t="shared" si="2"/>
        <v>306.49167069017739</v>
      </c>
      <c r="I26" s="527">
        <f t="shared" si="2"/>
        <v>321.94451616631017</v>
      </c>
      <c r="J26" s="527">
        <f t="shared" si="2"/>
        <v>326.86098308043393</v>
      </c>
      <c r="K26" s="528">
        <f t="shared" si="2"/>
        <v>400.6964231536399</v>
      </c>
    </row>
    <row r="27" spans="2:12" s="2" customFormat="1">
      <c r="B27" s="120"/>
      <c r="C27" s="127"/>
      <c r="D27" s="48"/>
      <c r="E27" s="48"/>
      <c r="F27" s="48"/>
      <c r="G27" s="52"/>
      <c r="H27" s="52"/>
      <c r="I27" s="52"/>
      <c r="J27" s="52"/>
      <c r="K27" s="52"/>
    </row>
    <row r="28" spans="2:12" s="2" customFormat="1">
      <c r="B28" s="120" t="s">
        <v>149</v>
      </c>
      <c r="C28" s="127"/>
      <c r="D28" s="526">
        <f>IF(ISBLANK(D33),0,D33-D26)</f>
        <v>-1.4047299821875754</v>
      </c>
      <c r="E28" s="527">
        <f t="shared" ref="E28:K28" si="3">IF(ISBLANK(E33),0,E33-E26)</f>
        <v>1.8059106123376978</v>
      </c>
      <c r="F28" s="527">
        <f t="shared" si="3"/>
        <v>-2.3895233592815543</v>
      </c>
      <c r="G28" s="527">
        <f t="shared" si="3"/>
        <v>-14.515787407182643</v>
      </c>
      <c r="H28" s="527">
        <f t="shared" si="3"/>
        <v>-10.879489930177385</v>
      </c>
      <c r="I28" s="527">
        <f t="shared" si="3"/>
        <v>-19.879552906310153</v>
      </c>
      <c r="J28" s="527">
        <f t="shared" si="3"/>
        <v>1.3668134295659797</v>
      </c>
      <c r="K28" s="528">
        <f t="shared" si="3"/>
        <v>-12.706771033639882</v>
      </c>
    </row>
    <row r="29" spans="2:12" s="2" customFormat="1">
      <c r="B29" s="120"/>
      <c r="C29" s="127"/>
      <c r="K29" s="805"/>
    </row>
    <row r="30" spans="2:12" s="2" customFormat="1">
      <c r="B30" s="120"/>
      <c r="C30" s="127"/>
    </row>
    <row r="31" spans="2:12" s="2" customFormat="1">
      <c r="B31" s="675" t="s">
        <v>192</v>
      </c>
      <c r="C31" s="140"/>
      <c r="D31" s="72"/>
      <c r="E31" s="72"/>
      <c r="F31" s="72"/>
      <c r="G31" s="72"/>
      <c r="H31" s="72"/>
      <c r="I31" s="72"/>
      <c r="J31" s="72"/>
      <c r="K31" s="72"/>
      <c r="L31" s="73"/>
    </row>
    <row r="32" spans="2:12" s="2" customFormat="1">
      <c r="B32" s="120"/>
      <c r="C32" s="127"/>
    </row>
    <row r="33" spans="2:11" s="2" customFormat="1">
      <c r="B33" s="345" t="s">
        <v>148</v>
      </c>
      <c r="C33" s="127"/>
      <c r="D33" s="555">
        <v>279.46422679</v>
      </c>
      <c r="E33" s="556">
        <v>290.64971804000004</v>
      </c>
      <c r="F33" s="556">
        <v>279.87524431000003</v>
      </c>
      <c r="G33" s="556">
        <v>280.96392697399995</v>
      </c>
      <c r="H33" s="556">
        <v>295.61218076</v>
      </c>
      <c r="I33" s="556">
        <v>302.06496326000001</v>
      </c>
      <c r="J33" s="556">
        <v>328.22779650999991</v>
      </c>
      <c r="K33" s="557">
        <v>387.98965212000002</v>
      </c>
    </row>
    <row r="34" spans="2:11" s="2" customFormat="1">
      <c r="B34" s="120"/>
      <c r="C34" s="127"/>
    </row>
    <row r="35" spans="2:11" s="2" customFormat="1">
      <c r="B35" s="345" t="s">
        <v>135</v>
      </c>
      <c r="C35" s="127"/>
    </row>
    <row r="36" spans="2:11" s="2" customFormat="1">
      <c r="B36" s="759" t="s">
        <v>136</v>
      </c>
      <c r="C36" s="142" t="s">
        <v>127</v>
      </c>
      <c r="D36" s="518">
        <v>0</v>
      </c>
      <c r="E36" s="519">
        <v>0</v>
      </c>
      <c r="F36" s="519">
        <v>0</v>
      </c>
      <c r="G36" s="519">
        <v>0</v>
      </c>
      <c r="H36" s="519">
        <v>0</v>
      </c>
      <c r="I36" s="519">
        <v>0</v>
      </c>
      <c r="J36" s="519">
        <v>0</v>
      </c>
      <c r="K36" s="529">
        <v>0</v>
      </c>
    </row>
    <row r="37" spans="2:11" s="2" customFormat="1">
      <c r="B37" s="759" t="s">
        <v>137</v>
      </c>
      <c r="C37" s="142" t="s">
        <v>127</v>
      </c>
      <c r="D37" s="520">
        <v>2.3168244700000025</v>
      </c>
      <c r="E37" s="521">
        <v>2.1070000000000002</v>
      </c>
      <c r="F37" s="521">
        <v>1.8438923500000002</v>
      </c>
      <c r="G37" s="521">
        <v>1.5943465153999998</v>
      </c>
      <c r="H37" s="521">
        <v>1.4361644090499999</v>
      </c>
      <c r="I37" s="521">
        <v>1.3221327899999997</v>
      </c>
      <c r="J37" s="521">
        <v>1.18786017</v>
      </c>
      <c r="K37" s="530">
        <v>1.0937968299999998</v>
      </c>
    </row>
    <row r="38" spans="2:11" s="2" customFormat="1">
      <c r="B38" s="759" t="s">
        <v>138</v>
      </c>
      <c r="C38" s="142" t="s">
        <v>127</v>
      </c>
      <c r="D38" s="520">
        <v>45.511143404498902</v>
      </c>
      <c r="E38" s="521">
        <v>50.451831623452406</v>
      </c>
      <c r="F38" s="521">
        <v>44.77257784999999</v>
      </c>
      <c r="G38" s="521">
        <v>37.960919024051321</v>
      </c>
      <c r="H38" s="521">
        <v>32.361902940046747</v>
      </c>
      <c r="I38" s="521">
        <v>31.218838897820227</v>
      </c>
      <c r="J38" s="521">
        <v>35.697368258906963</v>
      </c>
      <c r="K38" s="530">
        <v>39.543833343776051</v>
      </c>
    </row>
    <row r="39" spans="2:11" s="2" customFormat="1">
      <c r="B39" s="759" t="s">
        <v>139</v>
      </c>
      <c r="C39" s="142" t="s">
        <v>127</v>
      </c>
      <c r="D39" s="520">
        <v>0</v>
      </c>
      <c r="E39" s="521">
        <v>0</v>
      </c>
      <c r="F39" s="521">
        <v>0</v>
      </c>
      <c r="G39" s="521">
        <v>0</v>
      </c>
      <c r="H39" s="521">
        <v>0</v>
      </c>
      <c r="I39" s="521">
        <v>0</v>
      </c>
      <c r="J39" s="521">
        <v>0</v>
      </c>
      <c r="K39" s="530">
        <v>0</v>
      </c>
    </row>
    <row r="40" spans="2:11" s="2" customFormat="1">
      <c r="B40" s="759" t="s">
        <v>140</v>
      </c>
      <c r="C40" s="142" t="s">
        <v>127</v>
      </c>
      <c r="D40" s="520">
        <v>0</v>
      </c>
      <c r="E40" s="521">
        <v>0</v>
      </c>
      <c r="F40" s="521">
        <v>0</v>
      </c>
      <c r="G40" s="521">
        <v>0</v>
      </c>
      <c r="H40" s="521">
        <v>0</v>
      </c>
      <c r="I40" s="521">
        <v>0</v>
      </c>
      <c r="J40" s="521">
        <v>0</v>
      </c>
      <c r="K40" s="530">
        <v>0</v>
      </c>
    </row>
    <row r="41" spans="2:11" s="2" customFormat="1">
      <c r="B41" s="759" t="s">
        <v>141</v>
      </c>
      <c r="C41" s="142" t="s">
        <v>127</v>
      </c>
      <c r="D41" s="520">
        <v>18.977874475000004</v>
      </c>
      <c r="E41" s="521">
        <v>19.84345055</v>
      </c>
      <c r="F41" s="521">
        <v>20.889272679999998</v>
      </c>
      <c r="G41" s="521">
        <v>23.458914789999998</v>
      </c>
      <c r="H41" s="521">
        <v>25.117024109999999</v>
      </c>
      <c r="I41" s="521">
        <v>24.477969110000011</v>
      </c>
      <c r="J41" s="521">
        <v>27.89494096</v>
      </c>
      <c r="K41" s="530">
        <v>29.106794090000012</v>
      </c>
    </row>
    <row r="42" spans="2:11" s="2" customFormat="1">
      <c r="B42" s="759" t="s">
        <v>142</v>
      </c>
      <c r="C42" s="142" t="s">
        <v>127</v>
      </c>
      <c r="D42" s="520">
        <v>0</v>
      </c>
      <c r="E42" s="521">
        <v>3.7139999999999999E-2</v>
      </c>
      <c r="F42" s="521">
        <v>4.6425000000000001E-2</v>
      </c>
      <c r="G42" s="521">
        <v>6.1899999999999997E-2</v>
      </c>
      <c r="H42" s="521">
        <v>6.1899999999999997E-2</v>
      </c>
      <c r="I42" s="521">
        <v>0</v>
      </c>
      <c r="J42" s="521">
        <v>0</v>
      </c>
      <c r="K42" s="530">
        <v>0</v>
      </c>
    </row>
    <row r="43" spans="2:11" s="2" customFormat="1">
      <c r="B43" s="760" t="s">
        <v>143</v>
      </c>
      <c r="C43" s="142" t="s">
        <v>127</v>
      </c>
      <c r="D43" s="531">
        <v>3.3792199999999994E-2</v>
      </c>
      <c r="E43" s="532">
        <v>2.7268000000000001E-2</v>
      </c>
      <c r="F43" s="532">
        <v>1.7864060000000001E-2</v>
      </c>
      <c r="G43" s="532">
        <v>1.3002639999999999E-2</v>
      </c>
      <c r="H43" s="532">
        <v>1.1870440000000001E-2</v>
      </c>
      <c r="I43" s="532">
        <v>1.064416E-2</v>
      </c>
      <c r="J43" s="532">
        <v>8.1035000000000013E-3</v>
      </c>
      <c r="K43" s="533">
        <v>3.2502709999999997E-2</v>
      </c>
    </row>
    <row r="44" spans="2:11" s="2" customFormat="1">
      <c r="B44" s="447" t="s">
        <v>527</v>
      </c>
      <c r="C44" s="142" t="s">
        <v>127</v>
      </c>
      <c r="D44" s="531"/>
      <c r="E44" s="532"/>
      <c r="F44" s="532"/>
      <c r="G44" s="532"/>
      <c r="H44" s="532"/>
      <c r="I44" s="532"/>
      <c r="J44" s="532"/>
      <c r="K44" s="533"/>
    </row>
    <row r="45" spans="2:11" s="2" customFormat="1">
      <c r="B45" s="345" t="s">
        <v>175</v>
      </c>
      <c r="C45" s="142" t="s">
        <v>127</v>
      </c>
      <c r="D45" s="534">
        <f>SUM(D36:D44)</f>
        <v>66.839634549498896</v>
      </c>
      <c r="E45" s="535">
        <f t="shared" ref="E45:K45" si="4">SUM(E36:E44)</f>
        <v>72.466690173452406</v>
      </c>
      <c r="F45" s="535">
        <f t="shared" si="4"/>
        <v>67.570031939999978</v>
      </c>
      <c r="G45" s="535">
        <f t="shared" si="4"/>
        <v>63.089082969451326</v>
      </c>
      <c r="H45" s="535">
        <f t="shared" si="4"/>
        <v>58.988861899096747</v>
      </c>
      <c r="I45" s="535">
        <f t="shared" si="4"/>
        <v>57.029584957820234</v>
      </c>
      <c r="J45" s="535">
        <f t="shared" si="4"/>
        <v>64.78827288890696</v>
      </c>
      <c r="K45" s="536">
        <f t="shared" si="4"/>
        <v>69.776926973776071</v>
      </c>
    </row>
    <row r="46" spans="2:11" s="2" customFormat="1">
      <c r="B46" s="120"/>
      <c r="C46" s="127"/>
    </row>
    <row r="47" spans="2:11" s="2" customFormat="1">
      <c r="B47" s="345" t="s">
        <v>144</v>
      </c>
      <c r="C47" s="127"/>
    </row>
    <row r="48" spans="2:11" s="2" customFormat="1">
      <c r="B48" s="447" t="s">
        <v>547</v>
      </c>
      <c r="C48" s="142" t="s">
        <v>127</v>
      </c>
      <c r="D48" s="518">
        <v>21.732993130965603</v>
      </c>
      <c r="E48" s="519">
        <v>19.782646</v>
      </c>
      <c r="F48" s="519">
        <v>21.630258999999999</v>
      </c>
      <c r="G48" s="519">
        <v>22.506152</v>
      </c>
      <c r="H48" s="519">
        <v>25.886516000000004</v>
      </c>
      <c r="I48" s="519">
        <v>26.946038999999999</v>
      </c>
      <c r="J48" s="519">
        <v>28.305726000000003</v>
      </c>
      <c r="K48" s="529">
        <v>29.552843380000002</v>
      </c>
    </row>
    <row r="49" spans="2:11" s="2" customFormat="1">
      <c r="B49" s="447" t="s">
        <v>548</v>
      </c>
      <c r="C49" s="142" t="s">
        <v>127</v>
      </c>
      <c r="D49" s="520">
        <v>-35.827531999999998</v>
      </c>
      <c r="E49" s="521">
        <v>-41.716847999999999</v>
      </c>
      <c r="F49" s="521">
        <v>-36.706575743272971</v>
      </c>
      <c r="G49" s="521">
        <v>-25.307225500451317</v>
      </c>
      <c r="H49" s="521">
        <v>-26.666459024616746</v>
      </c>
      <c r="I49" s="521">
        <v>-24.968077367820097</v>
      </c>
      <c r="J49" s="521">
        <v>-27.459555878906958</v>
      </c>
      <c r="K49" s="530">
        <v>-31.004351493775964</v>
      </c>
    </row>
    <row r="50" spans="2:11" s="2" customFormat="1">
      <c r="B50" s="447" t="s">
        <v>549</v>
      </c>
      <c r="C50" s="142" t="s">
        <v>127</v>
      </c>
      <c r="D50" s="520">
        <v>-4.7714429999999997</v>
      </c>
      <c r="E50" s="521">
        <v>-4.7693700000000003</v>
      </c>
      <c r="F50" s="521">
        <v>-4.5185376099999948</v>
      </c>
      <c r="G50" s="521">
        <v>-8.4041871099999987</v>
      </c>
      <c r="H50" s="521">
        <v>-1.2214166999999998</v>
      </c>
      <c r="I50" s="521">
        <v>-1.5862076800001266</v>
      </c>
      <c r="J50" s="521">
        <v>-2.1561950399999952</v>
      </c>
      <c r="K50" s="530">
        <v>-1.9138623600000788</v>
      </c>
    </row>
    <row r="51" spans="2:11" s="2" customFormat="1">
      <c r="B51" s="447" t="s">
        <v>550</v>
      </c>
      <c r="C51" s="142" t="s">
        <v>127</v>
      </c>
      <c r="D51" s="520"/>
      <c r="E51" s="521"/>
      <c r="F51" s="521"/>
      <c r="G51" s="521">
        <v>0.66856568000000005</v>
      </c>
      <c r="H51" s="521">
        <v>0.118022</v>
      </c>
      <c r="I51" s="521">
        <v>0</v>
      </c>
      <c r="J51" s="521">
        <v>0.23487749999999999</v>
      </c>
      <c r="K51" s="530">
        <v>0</v>
      </c>
    </row>
    <row r="52" spans="2:11" s="2" customFormat="1">
      <c r="B52" s="447" t="s">
        <v>551</v>
      </c>
      <c r="C52" s="142" t="s">
        <v>127</v>
      </c>
      <c r="D52" s="520"/>
      <c r="E52" s="521"/>
      <c r="F52" s="521"/>
      <c r="G52" s="521">
        <v>0.43108280999999998</v>
      </c>
      <c r="H52" s="521">
        <v>0.43046445</v>
      </c>
      <c r="I52" s="521">
        <v>0.112</v>
      </c>
      <c r="J52" s="521">
        <v>9.7699999999999979E-6</v>
      </c>
      <c r="K52" s="530">
        <v>0</v>
      </c>
    </row>
    <row r="53" spans="2:11" s="2" customFormat="1">
      <c r="B53" s="447" t="s">
        <v>242</v>
      </c>
      <c r="C53" s="142" t="s">
        <v>127</v>
      </c>
      <c r="D53" s="520"/>
      <c r="E53" s="521"/>
      <c r="F53" s="521"/>
      <c r="G53" s="521"/>
      <c r="H53" s="521"/>
      <c r="I53" s="521"/>
      <c r="J53" s="521"/>
      <c r="K53" s="530"/>
    </row>
    <row r="54" spans="2:11" s="2" customFormat="1">
      <c r="B54" s="447" t="s">
        <v>242</v>
      </c>
      <c r="C54" s="142" t="s">
        <v>127</v>
      </c>
      <c r="D54" s="520"/>
      <c r="E54" s="521"/>
      <c r="F54" s="521"/>
      <c r="G54" s="521"/>
      <c r="H54" s="521"/>
      <c r="I54" s="521"/>
      <c r="J54" s="521"/>
      <c r="K54" s="530"/>
    </row>
    <row r="55" spans="2:11" s="2" customFormat="1">
      <c r="B55" s="447" t="s">
        <v>242</v>
      </c>
      <c r="C55" s="142" t="s">
        <v>127</v>
      </c>
      <c r="D55" s="520"/>
      <c r="E55" s="521"/>
      <c r="F55" s="521"/>
      <c r="G55" s="521"/>
      <c r="H55" s="521"/>
      <c r="I55" s="521"/>
      <c r="J55" s="521"/>
      <c r="K55" s="530"/>
    </row>
    <row r="56" spans="2:11" s="2" customFormat="1">
      <c r="B56" s="447" t="s">
        <v>242</v>
      </c>
      <c r="C56" s="142" t="s">
        <v>127</v>
      </c>
      <c r="D56" s="520"/>
      <c r="E56" s="521"/>
      <c r="F56" s="521"/>
      <c r="G56" s="521"/>
      <c r="H56" s="521"/>
      <c r="I56" s="521"/>
      <c r="J56" s="521"/>
      <c r="K56" s="530"/>
    </row>
    <row r="57" spans="2:11" s="2" customFormat="1">
      <c r="B57" s="447" t="s">
        <v>242</v>
      </c>
      <c r="C57" s="142" t="s">
        <v>127</v>
      </c>
      <c r="D57" s="520"/>
      <c r="E57" s="521"/>
      <c r="F57" s="521"/>
      <c r="G57" s="521"/>
      <c r="H57" s="521"/>
      <c r="I57" s="521"/>
      <c r="J57" s="521"/>
      <c r="K57" s="530"/>
    </row>
    <row r="58" spans="2:11" s="2" customFormat="1">
      <c r="B58" s="447" t="s">
        <v>242</v>
      </c>
      <c r="C58" s="142" t="s">
        <v>127</v>
      </c>
      <c r="D58" s="520"/>
      <c r="E58" s="521"/>
      <c r="F58" s="521"/>
      <c r="G58" s="521"/>
      <c r="H58" s="521"/>
      <c r="I58" s="521"/>
      <c r="J58" s="521"/>
      <c r="K58" s="530"/>
    </row>
    <row r="59" spans="2:11" s="2" customFormat="1">
      <c r="B59" s="447" t="s">
        <v>242</v>
      </c>
      <c r="C59" s="142" t="s">
        <v>127</v>
      </c>
      <c r="D59" s="520"/>
      <c r="E59" s="521"/>
      <c r="F59" s="521"/>
      <c r="G59" s="521"/>
      <c r="H59" s="521"/>
      <c r="I59" s="521"/>
      <c r="J59" s="521"/>
      <c r="K59" s="530"/>
    </row>
    <row r="60" spans="2:11" s="2" customFormat="1">
      <c r="B60" s="447" t="s">
        <v>242</v>
      </c>
      <c r="C60" s="142" t="s">
        <v>127</v>
      </c>
      <c r="D60" s="520"/>
      <c r="E60" s="521"/>
      <c r="F60" s="521"/>
      <c r="G60" s="521"/>
      <c r="H60" s="521"/>
      <c r="I60" s="521"/>
      <c r="J60" s="521"/>
      <c r="K60" s="530"/>
    </row>
    <row r="61" spans="2:11" s="2" customFormat="1">
      <c r="B61" s="447" t="s">
        <v>242</v>
      </c>
      <c r="C61" s="142" t="s">
        <v>127</v>
      </c>
      <c r="D61" s="520"/>
      <c r="E61" s="521"/>
      <c r="F61" s="521"/>
      <c r="G61" s="521"/>
      <c r="H61" s="521"/>
      <c r="I61" s="521"/>
      <c r="J61" s="521"/>
      <c r="K61" s="530"/>
    </row>
    <row r="62" spans="2:11" s="2" customFormat="1">
      <c r="B62" s="447" t="s">
        <v>242</v>
      </c>
      <c r="C62" s="142" t="s">
        <v>127</v>
      </c>
      <c r="D62" s="520"/>
      <c r="E62" s="521"/>
      <c r="F62" s="521"/>
      <c r="G62" s="521"/>
      <c r="H62" s="521"/>
      <c r="I62" s="521"/>
      <c r="J62" s="521"/>
      <c r="K62" s="530"/>
    </row>
    <row r="63" spans="2:11" s="2" customFormat="1">
      <c r="B63" s="447" t="s">
        <v>153</v>
      </c>
      <c r="C63" s="142" t="s">
        <v>127</v>
      </c>
      <c r="D63" s="537"/>
      <c r="E63" s="538"/>
      <c r="F63" s="539"/>
      <c r="G63" s="538"/>
      <c r="H63" s="538"/>
      <c r="I63" s="538"/>
      <c r="J63" s="538"/>
      <c r="K63" s="540"/>
    </row>
    <row r="64" spans="2:11" s="2" customFormat="1">
      <c r="B64" s="345" t="s">
        <v>176</v>
      </c>
      <c r="C64" s="142" t="s">
        <v>127</v>
      </c>
      <c r="D64" s="526">
        <f t="shared" ref="D64:K64" si="5">SUM(D48:D63)</f>
        <v>-18.865981869034393</v>
      </c>
      <c r="E64" s="527">
        <f t="shared" si="5"/>
        <v>-26.703572000000001</v>
      </c>
      <c r="F64" s="527">
        <f t="shared" si="5"/>
        <v>-19.594854353272968</v>
      </c>
      <c r="G64" s="527">
        <f t="shared" si="5"/>
        <v>-10.105612120451315</v>
      </c>
      <c r="H64" s="527">
        <f t="shared" si="5"/>
        <v>-1.4528732746167417</v>
      </c>
      <c r="I64" s="527">
        <f t="shared" si="5"/>
        <v>0.50375395217977526</v>
      </c>
      <c r="J64" s="527">
        <f t="shared" si="5"/>
        <v>-1.0751376489069495</v>
      </c>
      <c r="K64" s="528">
        <f t="shared" si="5"/>
        <v>-3.3653704737760401</v>
      </c>
    </row>
    <row r="65" spans="1:12" s="2" customFormat="1">
      <c r="B65" s="120"/>
      <c r="C65" s="127"/>
      <c r="D65" s="49"/>
      <c r="E65" s="49"/>
      <c r="F65" s="49"/>
      <c r="G65" s="49"/>
      <c r="H65" s="49"/>
      <c r="I65" s="49"/>
      <c r="J65" s="49"/>
      <c r="K65" s="49"/>
    </row>
    <row r="66" spans="1:12" s="2" customFormat="1">
      <c r="B66" s="345" t="s">
        <v>145</v>
      </c>
      <c r="C66" s="142" t="s">
        <v>127</v>
      </c>
      <c r="D66" s="541">
        <f t="shared" ref="D66:K66" si="6">D33+D45+D64</f>
        <v>327.43787947046451</v>
      </c>
      <c r="E66" s="542">
        <f t="shared" si="6"/>
        <v>336.41283621345247</v>
      </c>
      <c r="F66" s="542">
        <f t="shared" si="6"/>
        <v>327.85042189672703</v>
      </c>
      <c r="G66" s="542">
        <f t="shared" si="6"/>
        <v>333.94739782299996</v>
      </c>
      <c r="H66" s="542">
        <f t="shared" si="6"/>
        <v>353.14816938447996</v>
      </c>
      <c r="I66" s="542">
        <f t="shared" si="6"/>
        <v>359.59830217000001</v>
      </c>
      <c r="J66" s="542">
        <f t="shared" si="6"/>
        <v>391.94093174999995</v>
      </c>
      <c r="K66" s="543">
        <f t="shared" si="6"/>
        <v>454.40120862000003</v>
      </c>
    </row>
    <row r="67" spans="1:12" s="2" customFormat="1">
      <c r="B67" s="345" t="s">
        <v>193</v>
      </c>
      <c r="C67" s="142" t="s">
        <v>127</v>
      </c>
      <c r="D67" s="544">
        <v>327.47090072596558</v>
      </c>
      <c r="E67" s="545">
        <v>336.41012845000006</v>
      </c>
      <c r="F67" s="545">
        <v>327.87034797999996</v>
      </c>
      <c r="G67" s="545">
        <v>333.96365112000018</v>
      </c>
      <c r="H67" s="545">
        <v>353.16615315000013</v>
      </c>
      <c r="I67" s="545">
        <v>359.6377425099999</v>
      </c>
      <c r="J67" s="545">
        <v>391.94108475695725</v>
      </c>
      <c r="K67" s="546">
        <v>454.40083648913696</v>
      </c>
    </row>
    <row r="68" spans="1:12" s="2" customFormat="1">
      <c r="B68" s="120" t="s">
        <v>121</v>
      </c>
      <c r="C68" s="127"/>
      <c r="D68" s="106" t="str">
        <f>IF(ABS(D66-D67)&lt;'RFPR cover'!$F$14,"OK","Error")</f>
        <v>OK</v>
      </c>
      <c r="E68" s="106" t="str">
        <f>IF(ABS(E66-E67)&lt;'RFPR cover'!$F$14,"OK","Error")</f>
        <v>OK</v>
      </c>
      <c r="F68" s="106" t="str">
        <f>IF(ABS(F66-F67)&lt;'RFPR cover'!$F$14,"OK","Error")</f>
        <v>OK</v>
      </c>
      <c r="G68" s="106" t="str">
        <f>IF(ABS(G66-G67)&lt;'RFPR cover'!$F$14,"OK","Error")</f>
        <v>OK</v>
      </c>
      <c r="H68" s="106" t="str">
        <f>IF(ABS(H66-H67)&lt;'RFPR cover'!$F$14,"OK","Error")</f>
        <v>OK</v>
      </c>
      <c r="I68" s="106" t="str">
        <f>IF(ABS(I66-I67)&lt;'RFPR cover'!$F$14,"OK","Error")</f>
        <v>OK</v>
      </c>
      <c r="J68" s="106" t="str">
        <f>IF(ABS(J66-J67)&lt;'RFPR cover'!$F$14,"OK","Error")</f>
        <v>OK</v>
      </c>
      <c r="K68" s="106" t="str">
        <f>IF(ABS(K66-K67)&lt;'RFPR cover'!$F$14,"OK","Error")</f>
        <v>OK</v>
      </c>
    </row>
    <row r="69" spans="1:12" s="2" customFormat="1">
      <c r="B69" s="120"/>
      <c r="C69" s="127"/>
      <c r="D69" s="44"/>
      <c r="E69" s="44"/>
      <c r="F69" s="44"/>
      <c r="G69" s="44"/>
      <c r="H69" s="44"/>
      <c r="I69" s="44"/>
      <c r="J69" s="44"/>
      <c r="K69" s="44"/>
    </row>
    <row r="70" spans="1:12" s="2" customFormat="1">
      <c r="B70" s="120"/>
      <c r="C70" s="127"/>
      <c r="K70" s="805"/>
    </row>
    <row r="71" spans="1:12" s="2" customFormat="1">
      <c r="A71" s="72"/>
      <c r="B71" s="677"/>
      <c r="C71" s="140"/>
      <c r="D71" s="72"/>
      <c r="E71" s="72"/>
      <c r="F71" s="72"/>
      <c r="G71" s="72"/>
      <c r="H71" s="72"/>
      <c r="I71" s="72"/>
      <c r="J71" s="72"/>
      <c r="K71" s="72"/>
      <c r="L71" s="72"/>
    </row>
  </sheetData>
  <sheetProtection algorithmName="SHA-512" hashValue="gtCs8AX7aGcy5Q7ln3ACeAkABIeQUgEFfDgUH4Ul0Sm/kWjssDHYu0eyxL5UpHfw0oEou/ke5pDBITLDynngcw==" saltValue="n9F4vPx8CWhHJ6QGez8jyw==" spinCount="100000" sheet="1" objects="1" scenarios="1"/>
  <conditionalFormatting sqref="D5:K6">
    <cfRule type="expression" dxfId="46" priority="7">
      <formula>AND(D$5="Actuals",E$5="Forecast")</formula>
    </cfRule>
  </conditionalFormatting>
  <conditionalFormatting sqref="D28:K28">
    <cfRule type="expression" dxfId="45" priority="5">
      <formula>D$5="Forecast"</formula>
    </cfRule>
  </conditionalFormatting>
  <conditionalFormatting sqref="D33:K33 D36:K45 D48:K64">
    <cfRule type="expression" dxfId="44" priority="6">
      <formula>D$5="Forecast"</formula>
    </cfRule>
  </conditionalFormatting>
  <conditionalFormatting sqref="D66:K68">
    <cfRule type="expression" dxfId="43" priority="2">
      <formula>D$5="Forecast"</formula>
    </cfRule>
  </conditionalFormatting>
  <conditionalFormatting sqref="G10:K26">
    <cfRule type="expression" dxfId="42" priority="1">
      <formula>G$5="Forecast"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O86"/>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74.4609375" customWidth="1"/>
    <col min="3" max="3" width="13.3828125" style="127" customWidth="1"/>
    <col min="4" max="11" width="11.15234375" customWidth="1"/>
    <col min="12" max="12" width="5" customWidth="1"/>
  </cols>
  <sheetData>
    <row r="1" spans="1:12" ht="20">
      <c r="A1" s="785" t="s">
        <v>307</v>
      </c>
      <c r="B1" s="786"/>
      <c r="C1" s="138"/>
      <c r="D1" s="112"/>
      <c r="E1" s="112"/>
      <c r="F1" s="112"/>
      <c r="G1" s="112"/>
      <c r="H1" s="112"/>
      <c r="I1" s="112"/>
      <c r="J1" s="112"/>
      <c r="K1" s="112"/>
      <c r="L1" s="113"/>
    </row>
    <row r="2" spans="1:12" ht="20">
      <c r="A2" s="772" t="str">
        <f>'RFPR cover'!C5</f>
        <v>NPgN</v>
      </c>
      <c r="B2" s="764"/>
      <c r="C2" s="125"/>
      <c r="D2" s="29"/>
      <c r="E2" s="29"/>
      <c r="F2" s="29"/>
      <c r="G2" s="29"/>
      <c r="H2" s="29"/>
      <c r="I2" s="27"/>
      <c r="J2" s="27"/>
      <c r="K2" s="27"/>
      <c r="L2" s="114"/>
    </row>
    <row r="3" spans="1:12" ht="20">
      <c r="A3" s="787">
        <f>'RFPR cover'!C7</f>
        <v>2023</v>
      </c>
      <c r="B3" s="788"/>
      <c r="C3" s="139"/>
      <c r="D3" s="115"/>
      <c r="E3" s="115"/>
      <c r="F3" s="115"/>
      <c r="G3" s="115"/>
      <c r="H3" s="115"/>
      <c r="I3" s="28"/>
      <c r="J3" s="28"/>
      <c r="K3" s="28"/>
      <c r="L3" s="116"/>
    </row>
    <row r="4" spans="1:12" s="2" customFormat="1" ht="12.75" customHeight="1">
      <c r="C4" s="127"/>
    </row>
    <row r="5" spans="1:12" s="2" customFormat="1">
      <c r="B5" s="3"/>
      <c r="C5" s="127"/>
      <c r="D5" s="342" t="str">
        <f>IF(D6&lt;='RFPR cover'!$C$7,"Actuals","N/A")</f>
        <v>Actuals</v>
      </c>
      <c r="E5" s="343" t="str">
        <f>IF(E6&lt;='RFPR cover'!$C$7,"Actuals","N/A")</f>
        <v>Actuals</v>
      </c>
      <c r="F5" s="343" t="str">
        <f>IF(F6&lt;='RFPR cover'!$C$7,"Actuals","N/A")</f>
        <v>Actuals</v>
      </c>
      <c r="G5" s="343" t="str">
        <f>IF(G6&lt;='RFPR cover'!$C$7,"Actuals","N/A")</f>
        <v>Actuals</v>
      </c>
      <c r="H5" s="343" t="str">
        <f>IF(H6&lt;='RFPR cover'!$C$7,"Actuals","N/A")</f>
        <v>Actuals</v>
      </c>
      <c r="I5" s="343" t="str">
        <f>IF(I6&lt;='RFPR cover'!$C$7,"Actuals","N/A")</f>
        <v>Actuals</v>
      </c>
      <c r="J5" s="343" t="str">
        <f>IF(J6&lt;='RFPR cover'!$C$7,"Actuals","N/A")</f>
        <v>Actuals</v>
      </c>
      <c r="K5" s="344" t="str">
        <f>IF(K6&lt;='RFPR cover'!$C$7,"Actuals","N/A")</f>
        <v>Actuals</v>
      </c>
    </row>
    <row r="6" spans="1:12" s="2" customFormat="1">
      <c r="C6" s="127"/>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2" s="2" customFormat="1">
      <c r="C7" s="127"/>
    </row>
    <row r="8" spans="1:12" s="2" customFormat="1">
      <c r="B8" s="12" t="s">
        <v>313</v>
      </c>
      <c r="C8" s="128"/>
      <c r="D8" s="12"/>
      <c r="E8" s="12"/>
      <c r="F8" s="12"/>
      <c r="G8" s="12"/>
      <c r="H8" s="12"/>
      <c r="I8" s="12"/>
      <c r="J8" s="12"/>
      <c r="K8" s="12"/>
    </row>
    <row r="9" spans="1:12" s="2" customFormat="1">
      <c r="B9" s="120" t="s">
        <v>159</v>
      </c>
      <c r="C9" s="142" t="s">
        <v>127</v>
      </c>
      <c r="D9" s="518">
        <v>191.27405101500011</v>
      </c>
      <c r="E9" s="519">
        <v>194.62158696999967</v>
      </c>
      <c r="F9" s="519">
        <v>176.03914428470034</v>
      </c>
      <c r="G9" s="519">
        <v>175.36485471366498</v>
      </c>
      <c r="H9" s="519">
        <v>199.02936262095946</v>
      </c>
      <c r="I9" s="519">
        <v>191.84400668511816</v>
      </c>
      <c r="J9" s="519">
        <v>187.98951098626858</v>
      </c>
      <c r="K9" s="529">
        <v>164.19581345120073</v>
      </c>
    </row>
    <row r="10" spans="1:12" s="2" customFormat="1">
      <c r="B10" s="120" t="s">
        <v>160</v>
      </c>
      <c r="C10" s="142" t="s">
        <v>127</v>
      </c>
      <c r="D10" s="520">
        <v>9.7938124900000005</v>
      </c>
      <c r="E10" s="521">
        <v>12.583694140000015</v>
      </c>
      <c r="F10" s="521">
        <v>12.436130649999992</v>
      </c>
      <c r="G10" s="521">
        <v>8.1567574499999953</v>
      </c>
      <c r="H10" s="521">
        <v>8.2700518400000025</v>
      </c>
      <c r="I10" s="521">
        <v>9.5459047380880637</v>
      </c>
      <c r="J10" s="521">
        <v>8.7599222034497064</v>
      </c>
      <c r="K10" s="530">
        <v>11.609761913357298</v>
      </c>
    </row>
    <row r="11" spans="1:12" s="2" customFormat="1" ht="29.25" customHeight="1">
      <c r="B11" s="121" t="s">
        <v>454</v>
      </c>
      <c r="C11" s="142" t="s">
        <v>127</v>
      </c>
      <c r="D11" s="520">
        <v>-0.52163421999999993</v>
      </c>
      <c r="E11" s="521">
        <v>-0.6402519499999999</v>
      </c>
      <c r="F11" s="521">
        <v>-0.44336783999999996</v>
      </c>
      <c r="G11" s="521">
        <v>-0.24634199999999998</v>
      </c>
      <c r="H11" s="521">
        <v>-0.29599999999999999</v>
      </c>
      <c r="I11" s="521">
        <v>-0.08</v>
      </c>
      <c r="J11" s="521">
        <v>-0.33200000000000002</v>
      </c>
      <c r="K11" s="530">
        <v>-0.189</v>
      </c>
    </row>
    <row r="12" spans="1:12" s="2" customFormat="1">
      <c r="B12" s="120" t="s">
        <v>161</v>
      </c>
      <c r="C12" s="142" t="s">
        <v>127</v>
      </c>
      <c r="D12" s="520">
        <v>-48.558015190000006</v>
      </c>
      <c r="E12" s="521">
        <v>-53.922890849999995</v>
      </c>
      <c r="F12" s="521">
        <v>-45.495361059999709</v>
      </c>
      <c r="G12" s="521">
        <v>-33.990749630000003</v>
      </c>
      <c r="H12" s="521">
        <v>-37.031740979999967</v>
      </c>
      <c r="I12" s="521">
        <v>-31.838301629033822</v>
      </c>
      <c r="J12" s="521">
        <v>-34.400343829033773</v>
      </c>
      <c r="K12" s="530">
        <v>-36.483757999033628</v>
      </c>
    </row>
    <row r="13" spans="1:12" s="2" customFormat="1">
      <c r="B13" s="120" t="s">
        <v>162</v>
      </c>
      <c r="C13" s="142" t="s">
        <v>127</v>
      </c>
      <c r="D13" s="520">
        <v>-3.0849989999999998</v>
      </c>
      <c r="E13" s="521">
        <v>-2.5736575299999997</v>
      </c>
      <c r="F13" s="521">
        <v>-2.9381939399999997</v>
      </c>
      <c r="G13" s="521">
        <v>-1.9636763400000001</v>
      </c>
      <c r="H13" s="521">
        <v>-1.4917790800000001</v>
      </c>
      <c r="I13" s="521">
        <v>-0.81642082000000005</v>
      </c>
      <c r="J13" s="521">
        <v>-0.71061130999999989</v>
      </c>
      <c r="K13" s="530">
        <v>-0.50281743000000001</v>
      </c>
    </row>
    <row r="14" spans="1:12" s="2" customFormat="1">
      <c r="B14" s="120" t="s">
        <v>163</v>
      </c>
      <c r="C14" s="142" t="s">
        <v>127</v>
      </c>
      <c r="D14" s="550">
        <v>0</v>
      </c>
      <c r="E14" s="539">
        <v>0</v>
      </c>
      <c r="F14" s="539">
        <v>0</v>
      </c>
      <c r="G14" s="539">
        <v>0</v>
      </c>
      <c r="H14" s="539">
        <v>0</v>
      </c>
      <c r="I14" s="521">
        <v>0</v>
      </c>
      <c r="J14" s="539">
        <v>0</v>
      </c>
      <c r="K14" s="551">
        <v>0</v>
      </c>
    </row>
    <row r="15" spans="1:12" s="2" customFormat="1">
      <c r="A15" s="3">
        <v>1</v>
      </c>
      <c r="B15" s="447" t="s">
        <v>242</v>
      </c>
      <c r="C15" s="142" t="s">
        <v>127</v>
      </c>
      <c r="D15" s="518"/>
      <c r="E15" s="519"/>
      <c r="F15" s="519"/>
      <c r="G15" s="519"/>
      <c r="H15" s="519"/>
      <c r="I15" s="519"/>
      <c r="J15" s="519"/>
      <c r="K15" s="529"/>
    </row>
    <row r="16" spans="1:12" s="2" customFormat="1">
      <c r="A16" s="3">
        <v>2</v>
      </c>
      <c r="B16" s="447" t="s">
        <v>242</v>
      </c>
      <c r="C16" s="142" t="s">
        <v>127</v>
      </c>
      <c r="D16" s="520"/>
      <c r="E16" s="521"/>
      <c r="F16" s="521"/>
      <c r="G16" s="521"/>
      <c r="H16" s="521"/>
      <c r="I16" s="521"/>
      <c r="J16" s="521"/>
      <c r="K16" s="530"/>
    </row>
    <row r="17" spans="1:11" s="2" customFormat="1">
      <c r="A17" s="3">
        <v>3</v>
      </c>
      <c r="B17" s="447" t="s">
        <v>242</v>
      </c>
      <c r="C17" s="142" t="s">
        <v>127</v>
      </c>
      <c r="D17" s="520"/>
      <c r="E17" s="521"/>
      <c r="F17" s="521"/>
      <c r="G17" s="521"/>
      <c r="H17" s="521"/>
      <c r="I17" s="521"/>
      <c r="J17" s="521"/>
      <c r="K17" s="530"/>
    </row>
    <row r="18" spans="1:11" s="2" customFormat="1">
      <c r="B18" s="12" t="s">
        <v>164</v>
      </c>
      <c r="C18" s="142" t="s">
        <v>127</v>
      </c>
      <c r="D18" s="552">
        <f>SUM(D9:D17)</f>
        <v>148.90321509500009</v>
      </c>
      <c r="E18" s="553">
        <f t="shared" ref="E18:K18" si="1">SUM(E9:E17)</f>
        <v>150.0684807799997</v>
      </c>
      <c r="F18" s="553">
        <f t="shared" si="1"/>
        <v>139.59835209470063</v>
      </c>
      <c r="G18" s="553">
        <f t="shared" si="1"/>
        <v>147.32084419366495</v>
      </c>
      <c r="H18" s="553">
        <f t="shared" si="1"/>
        <v>168.47989440095952</v>
      </c>
      <c r="I18" s="553">
        <f t="shared" si="1"/>
        <v>168.6551889741724</v>
      </c>
      <c r="J18" s="553">
        <f t="shared" si="1"/>
        <v>161.30647805068455</v>
      </c>
      <c r="K18" s="554">
        <f t="shared" si="1"/>
        <v>138.62999993552441</v>
      </c>
    </row>
    <row r="19" spans="1:11" s="2" customFormat="1">
      <c r="B19" s="120" t="s">
        <v>165</v>
      </c>
      <c r="C19" s="142" t="s">
        <v>127</v>
      </c>
      <c r="D19" s="555">
        <v>108.76746105999999</v>
      </c>
      <c r="E19" s="556">
        <v>104.17893821</v>
      </c>
      <c r="F19" s="556">
        <v>115.26537174605068</v>
      </c>
      <c r="G19" s="556">
        <v>126.53541545605069</v>
      </c>
      <c r="H19" s="556">
        <v>126.51481617</v>
      </c>
      <c r="I19" s="556">
        <v>126.70789709</v>
      </c>
      <c r="J19" s="556">
        <v>138.53084260999998</v>
      </c>
      <c r="K19" s="557">
        <v>172.33239926815995</v>
      </c>
    </row>
    <row r="20" spans="1:11" s="2" customFormat="1">
      <c r="A20" s="3">
        <v>1</v>
      </c>
      <c r="B20" s="447" t="s">
        <v>242</v>
      </c>
      <c r="C20" s="142" t="s">
        <v>127</v>
      </c>
      <c r="D20" s="518"/>
      <c r="E20" s="519"/>
      <c r="F20" s="519"/>
      <c r="G20" s="519"/>
      <c r="H20" s="519"/>
      <c r="I20" s="519"/>
      <c r="J20" s="519"/>
      <c r="K20" s="529"/>
    </row>
    <row r="21" spans="1:11" s="2" customFormat="1">
      <c r="A21" s="3">
        <v>2</v>
      </c>
      <c r="B21" s="447" t="s">
        <v>242</v>
      </c>
      <c r="C21" s="142" t="s">
        <v>127</v>
      </c>
      <c r="D21" s="520"/>
      <c r="E21" s="521"/>
      <c r="F21" s="521"/>
      <c r="G21" s="521"/>
      <c r="H21" s="521"/>
      <c r="I21" s="521"/>
      <c r="J21" s="521"/>
      <c r="K21" s="530"/>
    </row>
    <row r="22" spans="1:11" s="2" customFormat="1">
      <c r="A22" s="3">
        <v>3</v>
      </c>
      <c r="B22" s="447" t="s">
        <v>242</v>
      </c>
      <c r="C22" s="142" t="s">
        <v>127</v>
      </c>
      <c r="D22" s="520"/>
      <c r="E22" s="521"/>
      <c r="F22" s="521"/>
      <c r="G22" s="521"/>
      <c r="H22" s="521"/>
      <c r="I22" s="521"/>
      <c r="J22" s="521"/>
      <c r="K22" s="530"/>
    </row>
    <row r="23" spans="1:11" s="2" customFormat="1">
      <c r="B23" s="12" t="s">
        <v>166</v>
      </c>
      <c r="C23" s="142" t="s">
        <v>127</v>
      </c>
      <c r="D23" s="534">
        <f>SUM(D18:D22)</f>
        <v>257.67067615500008</v>
      </c>
      <c r="E23" s="535">
        <f t="shared" ref="E23:K23" si="2">SUM(E18:E22)</f>
        <v>254.24741898999969</v>
      </c>
      <c r="F23" s="535">
        <f t="shared" si="2"/>
        <v>254.86372384075131</v>
      </c>
      <c r="G23" s="535">
        <f t="shared" si="2"/>
        <v>273.85625964971564</v>
      </c>
      <c r="H23" s="535">
        <f t="shared" si="2"/>
        <v>294.99471057095951</v>
      </c>
      <c r="I23" s="535">
        <f t="shared" si="2"/>
        <v>295.36308606417242</v>
      </c>
      <c r="J23" s="535">
        <f t="shared" si="2"/>
        <v>299.83732066068455</v>
      </c>
      <c r="K23" s="536">
        <f t="shared" si="2"/>
        <v>310.96239920368436</v>
      </c>
    </row>
    <row r="24" spans="1:11" s="2" customFormat="1">
      <c r="C24" s="127"/>
      <c r="D24" s="47"/>
      <c r="E24" s="47"/>
      <c r="F24" s="47"/>
      <c r="G24" s="47"/>
      <c r="H24" s="47"/>
      <c r="I24" s="47"/>
      <c r="J24" s="47"/>
      <c r="K24" s="47"/>
    </row>
    <row r="25" spans="1:11" s="2" customFormat="1">
      <c r="B25" s="12" t="s">
        <v>447</v>
      </c>
      <c r="C25" s="142" t="s">
        <v>127</v>
      </c>
    </row>
    <row r="26" spans="1:11" s="2" customFormat="1" ht="18.75" customHeight="1">
      <c r="A26" s="3">
        <v>1</v>
      </c>
      <c r="B26" s="796" t="s">
        <v>552</v>
      </c>
      <c r="C26" s="142" t="s">
        <v>127</v>
      </c>
      <c r="D26" s="518">
        <v>1.4275</v>
      </c>
      <c r="E26" s="519">
        <v>1.6654</v>
      </c>
      <c r="F26" s="519">
        <v>3.3176000000000001</v>
      </c>
      <c r="G26" s="519">
        <v>1.1677</v>
      </c>
      <c r="H26" s="519">
        <v>4.4560000000000004</v>
      </c>
      <c r="I26" s="519">
        <v>3.4178000000000002</v>
      </c>
      <c r="J26" s="519">
        <v>1.7</v>
      </c>
      <c r="K26" s="529">
        <v>1.9</v>
      </c>
    </row>
    <row r="27" spans="1:11" s="2" customFormat="1" ht="60" customHeight="1">
      <c r="A27" s="3">
        <v>2</v>
      </c>
      <c r="B27" s="796" t="s">
        <v>553</v>
      </c>
      <c r="C27" s="142" t="s">
        <v>127</v>
      </c>
      <c r="D27" s="520">
        <v>2.1268630000000011E-2</v>
      </c>
      <c r="E27" s="521">
        <v>0.14078675151515158</v>
      </c>
      <c r="F27" s="521">
        <v>3.6578143712121092E-2</v>
      </c>
      <c r="G27" s="521">
        <v>-0.1498552199999999</v>
      </c>
      <c r="H27" s="521">
        <v>-5.667595000000003E-2</v>
      </c>
      <c r="I27" s="521">
        <v>-0.26266337000000001</v>
      </c>
      <c r="J27" s="521">
        <v>-0.5</v>
      </c>
      <c r="K27" s="530">
        <v>-0.1</v>
      </c>
    </row>
    <row r="28" spans="1:11" s="2" customFormat="1" ht="21.75" customHeight="1">
      <c r="A28" s="3">
        <v>3</v>
      </c>
      <c r="B28" s="796" t="s">
        <v>554</v>
      </c>
      <c r="C28" s="142" t="s">
        <v>127</v>
      </c>
      <c r="D28" s="520">
        <v>-4.4279608400000008</v>
      </c>
      <c r="E28" s="521">
        <v>-5.6587162250000018</v>
      </c>
      <c r="F28" s="521">
        <v>-5.5482619550000001</v>
      </c>
      <c r="G28" s="521">
        <v>-3.5873997700000007</v>
      </c>
      <c r="H28" s="521">
        <v>-3.1254733800000012</v>
      </c>
      <c r="I28" s="521">
        <v>-3.9502202200000003</v>
      </c>
      <c r="J28" s="521">
        <v>-3.7</v>
      </c>
      <c r="K28" s="530">
        <v>-5.0999999999999996</v>
      </c>
    </row>
    <row r="29" spans="1:11" s="2" customFormat="1" ht="30" customHeight="1">
      <c r="A29" s="3">
        <v>4</v>
      </c>
      <c r="B29" s="796" t="s">
        <v>555</v>
      </c>
      <c r="C29" s="142" t="s">
        <v>127</v>
      </c>
      <c r="D29" s="520">
        <v>-0.72271016999999993</v>
      </c>
      <c r="E29" s="521">
        <v>4.3931635000000017E-2</v>
      </c>
      <c r="F29" s="521">
        <v>-0.46542402499999996</v>
      </c>
      <c r="G29" s="521">
        <v>-0.61866771000000009</v>
      </c>
      <c r="H29" s="521">
        <v>-0.83428144500000012</v>
      </c>
      <c r="I29" s="521">
        <v>-0.49023184999999997</v>
      </c>
      <c r="J29" s="521">
        <v>-0.5</v>
      </c>
      <c r="K29" s="530">
        <v>-0.5</v>
      </c>
    </row>
    <row r="30" spans="1:11" s="2" customFormat="1" ht="32.25" customHeight="1">
      <c r="A30" s="3">
        <v>5</v>
      </c>
      <c r="B30" s="796" t="s">
        <v>556</v>
      </c>
      <c r="C30" s="142" t="s">
        <v>127</v>
      </c>
      <c r="D30" s="520">
        <v>0.31268882568832501</v>
      </c>
      <c r="E30" s="521">
        <v>-0.3416056268677003</v>
      </c>
      <c r="F30" s="521">
        <v>-0.55312807999999991</v>
      </c>
      <c r="G30" s="521">
        <v>-0.35541862499999999</v>
      </c>
      <c r="H30" s="521">
        <v>-0.17661592321611205</v>
      </c>
      <c r="I30" s="521">
        <v>-1.312067875994341E-2</v>
      </c>
      <c r="J30" s="521">
        <v>-0.3</v>
      </c>
      <c r="K30" s="530">
        <v>-0.3</v>
      </c>
    </row>
    <row r="31" spans="1:11" s="2" customFormat="1" ht="35.25" customHeight="1">
      <c r="A31" s="3">
        <v>6</v>
      </c>
      <c r="B31" s="796" t="s">
        <v>557</v>
      </c>
      <c r="C31" s="142" t="s">
        <v>127</v>
      </c>
      <c r="D31" s="520">
        <v>-1.1010599400000001</v>
      </c>
      <c r="E31" s="521">
        <v>-5.8397959999999992E-2</v>
      </c>
      <c r="F31" s="521">
        <v>-0.16904193000000001</v>
      </c>
      <c r="G31" s="521">
        <v>-0.45848116</v>
      </c>
      <c r="H31" s="521">
        <v>-7.485812E-2</v>
      </c>
      <c r="I31" s="521">
        <v>0.16883797999999997</v>
      </c>
      <c r="J31" s="521">
        <v>0</v>
      </c>
      <c r="K31" s="530">
        <v>0.2</v>
      </c>
    </row>
    <row r="32" spans="1:11" s="2" customFormat="1" ht="33" customHeight="1">
      <c r="A32" s="3">
        <v>7</v>
      </c>
      <c r="B32" s="796" t="s">
        <v>558</v>
      </c>
      <c r="C32" s="142" t="s">
        <v>127</v>
      </c>
      <c r="D32" s="520">
        <v>-1.8149602476909696</v>
      </c>
      <c r="E32" s="521">
        <v>-2.0148146643589939</v>
      </c>
      <c r="F32" s="521">
        <v>-2.0384652446381217</v>
      </c>
      <c r="G32" s="521">
        <v>-2.3321805973129353</v>
      </c>
      <c r="H32" s="521">
        <v>-1.9091537686140894</v>
      </c>
      <c r="I32" s="521">
        <v>-2.2470486271022523</v>
      </c>
      <c r="J32" s="521">
        <v>-2.6</v>
      </c>
      <c r="K32" s="530">
        <v>-2.7</v>
      </c>
    </row>
    <row r="33" spans="1:11" s="2" customFormat="1" ht="20.25" customHeight="1">
      <c r="A33" s="3">
        <v>8</v>
      </c>
      <c r="B33" s="796" t="s">
        <v>559</v>
      </c>
      <c r="C33" s="142" t="s">
        <v>127</v>
      </c>
      <c r="D33" s="520">
        <v>-1.1508200000000001E-2</v>
      </c>
      <c r="E33" s="521"/>
      <c r="F33" s="521"/>
      <c r="G33" s="521"/>
      <c r="H33" s="521"/>
      <c r="I33" s="521"/>
      <c r="J33" s="521"/>
      <c r="K33" s="530"/>
    </row>
    <row r="34" spans="1:11" s="2" customFormat="1" ht="15.75" customHeight="1">
      <c r="A34" s="3">
        <v>9</v>
      </c>
      <c r="B34" s="796" t="s">
        <v>594</v>
      </c>
      <c r="C34" s="142" t="s">
        <v>127</v>
      </c>
      <c r="D34" s="520"/>
      <c r="E34" s="521">
        <v>0.2</v>
      </c>
      <c r="F34" s="521"/>
      <c r="G34" s="521"/>
      <c r="H34" s="521">
        <v>-0.43735992410792995</v>
      </c>
      <c r="I34" s="521">
        <v>-0.36487431850000007</v>
      </c>
      <c r="J34" s="521">
        <v>-0.8</v>
      </c>
      <c r="K34" s="530">
        <v>-0.2</v>
      </c>
    </row>
    <row r="35" spans="1:11" s="2" customFormat="1" ht="21" customHeight="1">
      <c r="A35" s="3">
        <v>10</v>
      </c>
      <c r="B35" s="796" t="s">
        <v>560</v>
      </c>
      <c r="C35" s="142" t="s">
        <v>127</v>
      </c>
      <c r="D35" s="520"/>
      <c r="E35" s="521"/>
      <c r="F35" s="521">
        <v>0.24902756216421171</v>
      </c>
      <c r="G35" s="521">
        <v>0.27226761902651103</v>
      </c>
      <c r="H35" s="521">
        <v>0.31422270312014516</v>
      </c>
      <c r="I35" s="521">
        <v>0.30972343390879631</v>
      </c>
      <c r="J35" s="521">
        <v>0.3</v>
      </c>
      <c r="K35" s="530">
        <v>1.5</v>
      </c>
    </row>
    <row r="36" spans="1:11" s="2" customFormat="1" ht="21" customHeight="1">
      <c r="A36" s="3">
        <v>11</v>
      </c>
      <c r="B36" s="796" t="s">
        <v>561</v>
      </c>
      <c r="C36" s="142" t="s">
        <v>127</v>
      </c>
      <c r="D36" s="520"/>
      <c r="E36" s="521"/>
      <c r="F36" s="521">
        <v>-4.3021586734765985E-2</v>
      </c>
      <c r="G36" s="521">
        <v>-0.23560924296075805</v>
      </c>
      <c r="H36" s="521">
        <v>-0.43135553644034613</v>
      </c>
      <c r="I36" s="521">
        <v>-0.72931632436813421</v>
      </c>
      <c r="J36" s="521">
        <v>-0.7</v>
      </c>
      <c r="K36" s="530">
        <v>-0.6</v>
      </c>
    </row>
    <row r="37" spans="1:11" s="2" customFormat="1" ht="22.5" customHeight="1">
      <c r="A37" s="3">
        <v>12</v>
      </c>
      <c r="B37" s="796" t="s">
        <v>562</v>
      </c>
      <c r="C37" s="142" t="s">
        <v>127</v>
      </c>
      <c r="D37" s="520">
        <v>0.90504313500000055</v>
      </c>
      <c r="E37" s="521"/>
      <c r="F37" s="521"/>
      <c r="G37" s="521"/>
      <c r="H37" s="521"/>
      <c r="I37" s="521"/>
      <c r="J37" s="521"/>
      <c r="K37" s="530"/>
    </row>
    <row r="38" spans="1:11" s="2" customFormat="1" ht="19.5" customHeight="1">
      <c r="A38" s="3">
        <v>13</v>
      </c>
      <c r="B38" s="796" t="s">
        <v>563</v>
      </c>
      <c r="C38" s="142" t="s">
        <v>127</v>
      </c>
      <c r="D38" s="520"/>
      <c r="E38" s="521"/>
      <c r="F38" s="521"/>
      <c r="G38" s="521">
        <v>-0.43108280999999993</v>
      </c>
      <c r="H38" s="521">
        <v>-0.43274375000000004</v>
      </c>
      <c r="I38" s="521"/>
      <c r="J38" s="521"/>
      <c r="K38" s="530"/>
    </row>
    <row r="39" spans="1:11" s="2" customFormat="1" ht="20.25" customHeight="1">
      <c r="A39" s="3">
        <v>14</v>
      </c>
      <c r="B39" s="796" t="s">
        <v>564</v>
      </c>
      <c r="C39" s="142" t="s">
        <v>127</v>
      </c>
      <c r="D39" s="520"/>
      <c r="E39" s="521"/>
      <c r="F39" s="521"/>
      <c r="G39" s="521">
        <v>-1.0999085</v>
      </c>
      <c r="H39" s="521">
        <v>-1.1295134500000001</v>
      </c>
      <c r="I39" s="521">
        <v>-1.3622043799999999</v>
      </c>
      <c r="J39" s="521">
        <v>-2.7</v>
      </c>
      <c r="K39" s="530">
        <v>-3.6</v>
      </c>
    </row>
    <row r="40" spans="1:11" s="2" customFormat="1" ht="23.25" customHeight="1">
      <c r="A40" s="3">
        <v>15</v>
      </c>
      <c r="B40" s="796" t="s">
        <v>595</v>
      </c>
      <c r="C40" s="142" t="s">
        <v>127</v>
      </c>
      <c r="D40" s="520"/>
      <c r="E40" s="521"/>
      <c r="F40" s="521"/>
      <c r="G40" s="521"/>
      <c r="H40" s="521">
        <v>5.8379036600000074</v>
      </c>
      <c r="I40" s="521">
        <v>5.3695145499999981</v>
      </c>
      <c r="J40" s="521">
        <v>4.4000000000000004</v>
      </c>
      <c r="K40" s="530">
        <v>5.6</v>
      </c>
    </row>
    <row r="41" spans="1:11" s="2" customFormat="1">
      <c r="A41" s="3">
        <v>16</v>
      </c>
      <c r="B41" s="447" t="s">
        <v>605</v>
      </c>
      <c r="C41" s="142" t="s">
        <v>127</v>
      </c>
      <c r="D41" s="520"/>
      <c r="E41" s="521"/>
      <c r="F41" s="521"/>
      <c r="G41" s="521"/>
      <c r="H41" s="521"/>
      <c r="I41" s="521"/>
      <c r="J41" s="521">
        <v>-7.0747999999999998</v>
      </c>
      <c r="K41" s="530"/>
    </row>
    <row r="42" spans="1:11" s="2" customFormat="1">
      <c r="A42" s="3">
        <v>17</v>
      </c>
      <c r="B42" s="796" t="s">
        <v>565</v>
      </c>
      <c r="C42" s="142" t="s">
        <v>127</v>
      </c>
      <c r="D42" s="520">
        <v>-1.4219488744402042E-2</v>
      </c>
      <c r="E42" s="521">
        <v>0.10748073085542842</v>
      </c>
      <c r="F42" s="521">
        <v>-7.650894711713363E-2</v>
      </c>
      <c r="G42" s="521">
        <v>0.50615801123296933</v>
      </c>
      <c r="H42" s="521">
        <v>-0.37105260894895764</v>
      </c>
      <c r="I42" s="521">
        <v>-8.6210254973138944E-2</v>
      </c>
      <c r="J42" s="521">
        <v>-3.177736568062528E-2</v>
      </c>
      <c r="K42" s="530">
        <v>-0.19105682554322811</v>
      </c>
    </row>
    <row r="43" spans="1:11" s="2" customFormat="1">
      <c r="A43" s="3">
        <v>18</v>
      </c>
      <c r="B43" s="447" t="s">
        <v>242</v>
      </c>
      <c r="C43" s="142" t="s">
        <v>127</v>
      </c>
      <c r="D43" s="520"/>
      <c r="E43" s="521"/>
      <c r="F43" s="521"/>
      <c r="G43" s="521"/>
      <c r="H43" s="521"/>
      <c r="I43" s="521"/>
      <c r="J43" s="521"/>
      <c r="K43" s="530"/>
    </row>
    <row r="44" spans="1:11" s="2" customFormat="1">
      <c r="A44" s="3">
        <v>19</v>
      </c>
      <c r="B44" s="447" t="s">
        <v>242</v>
      </c>
      <c r="C44" s="142" t="s">
        <v>127</v>
      </c>
      <c r="D44" s="520"/>
      <c r="E44" s="521"/>
      <c r="F44" s="521"/>
      <c r="G44" s="521"/>
      <c r="H44" s="521"/>
      <c r="I44" s="521"/>
      <c r="J44" s="521"/>
      <c r="K44" s="530"/>
    </row>
    <row r="45" spans="1:11" s="2" customFormat="1">
      <c r="A45" s="3">
        <v>20</v>
      </c>
      <c r="B45" s="447" t="s">
        <v>242</v>
      </c>
      <c r="C45" s="142" t="s">
        <v>127</v>
      </c>
      <c r="D45" s="520"/>
      <c r="E45" s="521"/>
      <c r="F45" s="521"/>
      <c r="G45" s="521"/>
      <c r="H45" s="521"/>
      <c r="I45" s="521"/>
      <c r="J45" s="521"/>
      <c r="K45" s="530"/>
    </row>
    <row r="46" spans="1:11" s="2" customFormat="1">
      <c r="B46" s="12" t="s">
        <v>400</v>
      </c>
      <c r="C46" s="142" t="s">
        <v>127</v>
      </c>
      <c r="D46" s="534">
        <f>SUM(D26:D45)</f>
        <v>-5.4259182957470466</v>
      </c>
      <c r="E46" s="535">
        <f t="shared" ref="E46:K46" si="3">SUM(E26:E45)</f>
        <v>-5.9159353588561157</v>
      </c>
      <c r="F46" s="535">
        <f t="shared" si="3"/>
        <v>-5.2906460626136882</v>
      </c>
      <c r="G46" s="535">
        <f t="shared" si="3"/>
        <v>-7.3224780050142133</v>
      </c>
      <c r="H46" s="535">
        <f t="shared" si="3"/>
        <v>1.6290425067927163</v>
      </c>
      <c r="I46" s="535">
        <f t="shared" si="3"/>
        <v>-0.24001405979467449</v>
      </c>
      <c r="J46" s="535">
        <f t="shared" si="3"/>
        <v>-12.506577365680625</v>
      </c>
      <c r="K46" s="536">
        <f t="shared" si="3"/>
        <v>-4.0910568255432285</v>
      </c>
    </row>
    <row r="47" spans="1:11" s="2" customFormat="1">
      <c r="C47" s="127"/>
      <c r="D47" s="47"/>
      <c r="E47" s="47"/>
      <c r="F47" s="47"/>
      <c r="G47" s="47"/>
      <c r="H47" s="47"/>
      <c r="I47" s="47"/>
      <c r="J47" s="47"/>
      <c r="K47" s="47"/>
    </row>
    <row r="48" spans="1:11" s="2" customFormat="1">
      <c r="B48" s="12" t="s">
        <v>446</v>
      </c>
      <c r="C48" s="142" t="s">
        <v>127</v>
      </c>
      <c r="D48" s="534">
        <f>D46+D23</f>
        <v>252.24475785925304</v>
      </c>
      <c r="E48" s="535">
        <f t="shared" ref="E48:K48" si="4">E46+E23</f>
        <v>248.33148363114358</v>
      </c>
      <c r="F48" s="535">
        <f t="shared" si="4"/>
        <v>249.57307777813762</v>
      </c>
      <c r="G48" s="535">
        <f t="shared" si="4"/>
        <v>266.53378164470143</v>
      </c>
      <c r="H48" s="535">
        <f t="shared" si="4"/>
        <v>296.62375307775221</v>
      </c>
      <c r="I48" s="535">
        <f t="shared" si="4"/>
        <v>295.12307200437772</v>
      </c>
      <c r="J48" s="535">
        <f t="shared" si="4"/>
        <v>287.33074329500391</v>
      </c>
      <c r="K48" s="536">
        <f t="shared" si="4"/>
        <v>306.87134237814115</v>
      </c>
    </row>
    <row r="49" spans="1:15" s="2" customFormat="1">
      <c r="B49" s="2" t="s">
        <v>401</v>
      </c>
      <c r="C49" s="142" t="s">
        <v>127</v>
      </c>
      <c r="D49" s="518">
        <v>252.24475785925304</v>
      </c>
      <c r="E49" s="519">
        <v>248.33148363114358</v>
      </c>
      <c r="F49" s="519">
        <v>249.57307777813762</v>
      </c>
      <c r="G49" s="519">
        <v>266.53378164470143</v>
      </c>
      <c r="H49" s="519">
        <v>296.62375307775221</v>
      </c>
      <c r="I49" s="519">
        <v>295.12307200437772</v>
      </c>
      <c r="J49" s="529">
        <v>287.33074329500391</v>
      </c>
      <c r="K49" s="529">
        <v>306.87134237814115</v>
      </c>
      <c r="N49" s="805"/>
      <c r="O49" s="805"/>
    </row>
    <row r="50" spans="1:15" s="2" customFormat="1">
      <c r="C50" s="127" t="s">
        <v>404</v>
      </c>
      <c r="D50" s="558" t="str">
        <f>IF(D$5="Actuals",IF(ABS(D48-D49)&lt;1,"OK","ERROR"),"N/A")</f>
        <v>OK</v>
      </c>
      <c r="E50" s="559" t="str">
        <f t="shared" ref="E50:K50" si="5">IF(E$5="Actuals",IF(ABS(E48-E49)&lt;1,"OK","ERROR"),"N/A")</f>
        <v>OK</v>
      </c>
      <c r="F50" s="559" t="str">
        <f t="shared" si="5"/>
        <v>OK</v>
      </c>
      <c r="G50" s="559" t="str">
        <f t="shared" si="5"/>
        <v>OK</v>
      </c>
      <c r="H50" s="559" t="str">
        <f t="shared" si="5"/>
        <v>OK</v>
      </c>
      <c r="I50" s="559" t="str">
        <f t="shared" si="5"/>
        <v>OK</v>
      </c>
      <c r="J50" s="559" t="str">
        <f t="shared" si="5"/>
        <v>OK</v>
      </c>
      <c r="K50" s="560" t="str">
        <f t="shared" si="5"/>
        <v>OK</v>
      </c>
    </row>
    <row r="51" spans="1:15" s="2" customFormat="1">
      <c r="B51" s="2" t="s">
        <v>84</v>
      </c>
      <c r="C51" s="127"/>
      <c r="J51" s="805"/>
      <c r="K51" s="805"/>
    </row>
    <row r="52" spans="1:15" s="2" customFormat="1">
      <c r="B52" s="12" t="s">
        <v>402</v>
      </c>
      <c r="C52" s="142"/>
    </row>
    <row r="53" spans="1:15" s="2" customFormat="1">
      <c r="A53" s="3">
        <v>1</v>
      </c>
      <c r="B53" s="447" t="s">
        <v>566</v>
      </c>
      <c r="C53" s="142" t="s">
        <v>127</v>
      </c>
      <c r="D53" s="518">
        <v>19.006947597821</v>
      </c>
      <c r="E53" s="519">
        <v>16.741522813094797</v>
      </c>
      <c r="F53" s="519">
        <v>20.642089674883564</v>
      </c>
      <c r="G53" s="519">
        <v>22.161306391566995</v>
      </c>
      <c r="H53" s="519">
        <v>22.406165835227487</v>
      </c>
      <c r="I53" s="519">
        <v>21.239731993097969</v>
      </c>
      <c r="J53" s="519">
        <v>25.522349184627245</v>
      </c>
      <c r="K53" s="529">
        <v>28.218410447732051</v>
      </c>
    </row>
    <row r="54" spans="1:15" s="2" customFormat="1">
      <c r="A54" s="3">
        <v>2</v>
      </c>
      <c r="B54" s="447" t="s">
        <v>567</v>
      </c>
      <c r="C54" s="142" t="s">
        <v>127</v>
      </c>
      <c r="D54" s="520">
        <v>0.63252474530166236</v>
      </c>
      <c r="E54" s="521">
        <v>0.61656409110861099</v>
      </c>
      <c r="F54" s="521">
        <v>1.7778434784095811</v>
      </c>
      <c r="G54" s="521">
        <v>1.8460414006661141</v>
      </c>
      <c r="H54" s="521">
        <v>1.7835115231037357</v>
      </c>
      <c r="I54" s="521">
        <v>1.8629286981468225</v>
      </c>
      <c r="J54" s="521">
        <v>0.73122721223199738</v>
      </c>
      <c r="K54" s="530">
        <v>1.4674805608970469</v>
      </c>
    </row>
    <row r="55" spans="1:15" s="2" customFormat="1">
      <c r="A55" s="3">
        <v>3</v>
      </c>
      <c r="B55" s="447" t="s">
        <v>568</v>
      </c>
      <c r="C55" s="142" t="s">
        <v>127</v>
      </c>
      <c r="D55" s="520">
        <v>-2.5917121000000005</v>
      </c>
      <c r="E55" s="521">
        <v>0</v>
      </c>
      <c r="F55" s="521">
        <v>0</v>
      </c>
      <c r="G55" s="521">
        <v>0</v>
      </c>
      <c r="H55" s="521">
        <v>0</v>
      </c>
      <c r="I55" s="521">
        <v>0</v>
      </c>
      <c r="J55" s="521">
        <v>0</v>
      </c>
      <c r="K55" s="530">
        <v>0</v>
      </c>
    </row>
    <row r="56" spans="1:15" s="2" customFormat="1">
      <c r="A56" s="3">
        <v>4</v>
      </c>
      <c r="B56" s="447" t="s">
        <v>569</v>
      </c>
      <c r="C56" s="142" t="s">
        <v>127</v>
      </c>
      <c r="D56" s="520">
        <v>24.021264283147723</v>
      </c>
      <c r="E56" s="521">
        <v>26.288514858690988</v>
      </c>
      <c r="F56" s="521">
        <v>30.205757651645719</v>
      </c>
      <c r="G56" s="521">
        <v>34.051895553153919</v>
      </c>
      <c r="H56" s="521">
        <v>34.588122505000001</v>
      </c>
      <c r="I56" s="521">
        <v>36.363753207650554</v>
      </c>
      <c r="J56" s="521">
        <v>35.830074105000001</v>
      </c>
      <c r="K56" s="530">
        <v>91.191754490000008</v>
      </c>
    </row>
    <row r="57" spans="1:15" s="2" customFormat="1">
      <c r="A57" s="3">
        <v>5</v>
      </c>
      <c r="B57" s="447" t="s">
        <v>570</v>
      </c>
      <c r="C57" s="142" t="s">
        <v>127</v>
      </c>
      <c r="D57" s="520">
        <v>19.4227844185301</v>
      </c>
      <c r="E57" s="521">
        <v>12.893799784204861</v>
      </c>
      <c r="F57" s="521">
        <v>16.828445419872814</v>
      </c>
      <c r="G57" s="521">
        <v>18.041793995324227</v>
      </c>
      <c r="H57" s="521">
        <v>17.984921717756809</v>
      </c>
      <c r="I57" s="521">
        <v>18.107376651526472</v>
      </c>
      <c r="J57" s="521">
        <v>14.481310930000003</v>
      </c>
      <c r="K57" s="530">
        <v>-0.35580956266667674</v>
      </c>
    </row>
    <row r="58" spans="1:15" s="2" customFormat="1">
      <c r="A58" s="3">
        <v>6</v>
      </c>
      <c r="B58" s="447" t="s">
        <v>571</v>
      </c>
      <c r="C58" s="142" t="s">
        <v>127</v>
      </c>
      <c r="D58" s="520">
        <v>2.5791272006289847</v>
      </c>
      <c r="E58" s="521">
        <v>2.4687102374416532</v>
      </c>
      <c r="F58" s="521">
        <v>2.8591658362039669</v>
      </c>
      <c r="G58" s="521">
        <v>2.8724878821410673</v>
      </c>
      <c r="H58" s="521">
        <v>3.748249633192323</v>
      </c>
      <c r="I58" s="521">
        <v>3.478053002762481</v>
      </c>
      <c r="J58" s="521">
        <v>4.0345528728067874</v>
      </c>
      <c r="K58" s="530">
        <v>3.5264626868114881</v>
      </c>
    </row>
    <row r="59" spans="1:15" s="2" customFormat="1">
      <c r="A59" s="3">
        <v>7</v>
      </c>
      <c r="B59" s="447" t="s">
        <v>572</v>
      </c>
      <c r="C59" s="142" t="s">
        <v>127</v>
      </c>
      <c r="D59" s="520">
        <v>0.52736559000000005</v>
      </c>
      <c r="E59" s="521">
        <v>0.6402519499999999</v>
      </c>
      <c r="F59" s="521">
        <v>0.44336783999999996</v>
      </c>
      <c r="G59" s="521">
        <v>0.47686622000000001</v>
      </c>
      <c r="H59" s="521">
        <v>0.65141705999999999</v>
      </c>
      <c r="I59" s="521">
        <v>0.35866337000000004</v>
      </c>
      <c r="J59" s="521">
        <v>0.89748868999999931</v>
      </c>
      <c r="K59" s="530">
        <v>0.30213559999999962</v>
      </c>
    </row>
    <row r="60" spans="1:15" s="2" customFormat="1" ht="17.25" customHeight="1">
      <c r="A60" s="3">
        <v>8</v>
      </c>
      <c r="B60" s="447" t="s">
        <v>573</v>
      </c>
      <c r="C60" s="142" t="s">
        <v>127</v>
      </c>
      <c r="D60" s="520">
        <v>8.825479E-2</v>
      </c>
      <c r="E60" s="521">
        <v>6.8206119999999995E-2</v>
      </c>
      <c r="F60" s="521">
        <v>8.5180740000000005E-2</v>
      </c>
      <c r="G60" s="521">
        <v>8.267701999999999E-2</v>
      </c>
      <c r="H60" s="521">
        <v>6.6465569999999988E-2</v>
      </c>
      <c r="I60" s="521">
        <v>0.31705170999999999</v>
      </c>
      <c r="J60" s="521">
        <v>0.50414840999999999</v>
      </c>
      <c r="K60" s="530">
        <v>0.36484411999999999</v>
      </c>
    </row>
    <row r="61" spans="1:15" s="2" customFormat="1">
      <c r="A61" s="3">
        <v>9</v>
      </c>
      <c r="B61" s="447" t="s">
        <v>242</v>
      </c>
      <c r="C61" s="142" t="s">
        <v>127</v>
      </c>
      <c r="D61" s="520"/>
      <c r="E61" s="521"/>
      <c r="F61" s="521"/>
      <c r="G61" s="521"/>
      <c r="H61" s="521"/>
      <c r="I61" s="521"/>
      <c r="J61" s="521"/>
      <c r="K61" s="530"/>
    </row>
    <row r="62" spans="1:15" s="2" customFormat="1">
      <c r="A62" s="3">
        <v>10</v>
      </c>
      <c r="B62" s="447" t="s">
        <v>242</v>
      </c>
      <c r="C62" s="142" t="s">
        <v>127</v>
      </c>
      <c r="D62" s="520"/>
      <c r="E62" s="521"/>
      <c r="F62" s="521"/>
      <c r="G62" s="521"/>
      <c r="H62" s="521"/>
      <c r="I62" s="521"/>
      <c r="J62" s="521"/>
      <c r="K62" s="530"/>
    </row>
    <row r="63" spans="1:15" s="2" customFormat="1">
      <c r="A63" s="3">
        <v>11</v>
      </c>
      <c r="B63" s="447" t="s">
        <v>242</v>
      </c>
      <c r="C63" s="142" t="s">
        <v>127</v>
      </c>
      <c r="D63" s="520"/>
      <c r="E63" s="521"/>
      <c r="F63" s="521"/>
      <c r="G63" s="521"/>
      <c r="H63" s="521"/>
      <c r="I63" s="521"/>
      <c r="J63" s="521"/>
      <c r="K63" s="530"/>
    </row>
    <row r="64" spans="1:15" s="2" customFormat="1">
      <c r="A64" s="3">
        <v>12</v>
      </c>
      <c r="B64" s="447" t="s">
        <v>242</v>
      </c>
      <c r="C64" s="142" t="s">
        <v>127</v>
      </c>
      <c r="D64" s="520"/>
      <c r="E64" s="521"/>
      <c r="F64" s="521"/>
      <c r="G64" s="521"/>
      <c r="H64" s="521"/>
      <c r="I64" s="521"/>
      <c r="J64" s="521"/>
      <c r="K64" s="530"/>
    </row>
    <row r="65" spans="1:11" s="2" customFormat="1">
      <c r="A65" s="3">
        <v>13</v>
      </c>
      <c r="B65" s="447" t="s">
        <v>242</v>
      </c>
      <c r="C65" s="142" t="s">
        <v>127</v>
      </c>
      <c r="D65" s="520"/>
      <c r="E65" s="521"/>
      <c r="F65" s="521"/>
      <c r="G65" s="521"/>
      <c r="H65" s="521"/>
      <c r="I65" s="521"/>
      <c r="J65" s="521"/>
      <c r="K65" s="530"/>
    </row>
    <row r="66" spans="1:11" s="2" customFormat="1">
      <c r="A66" s="3">
        <v>14</v>
      </c>
      <c r="B66" s="447" t="s">
        <v>242</v>
      </c>
      <c r="C66" s="142" t="s">
        <v>127</v>
      </c>
      <c r="D66" s="520"/>
      <c r="E66" s="521"/>
      <c r="F66" s="521"/>
      <c r="G66" s="521"/>
      <c r="H66" s="521"/>
      <c r="I66" s="521"/>
      <c r="J66" s="521"/>
      <c r="K66" s="530"/>
    </row>
    <row r="67" spans="1:11" s="2" customFormat="1">
      <c r="A67" s="3">
        <v>15</v>
      </c>
      <c r="B67" s="447" t="s">
        <v>242</v>
      </c>
      <c r="C67" s="142" t="s">
        <v>127</v>
      </c>
      <c r="D67" s="520"/>
      <c r="E67" s="521"/>
      <c r="F67" s="521"/>
      <c r="G67" s="521"/>
      <c r="H67" s="521"/>
      <c r="I67" s="521"/>
      <c r="J67" s="521"/>
      <c r="K67" s="530"/>
    </row>
    <row r="68" spans="1:11" s="2" customFormat="1">
      <c r="A68" s="3">
        <v>16</v>
      </c>
      <c r="B68" s="447" t="s">
        <v>242</v>
      </c>
      <c r="C68" s="142" t="s">
        <v>127</v>
      </c>
      <c r="D68" s="520"/>
      <c r="E68" s="521"/>
      <c r="F68" s="521"/>
      <c r="G68" s="521"/>
      <c r="H68" s="521"/>
      <c r="I68" s="521"/>
      <c r="J68" s="521"/>
      <c r="K68" s="530"/>
    </row>
    <row r="69" spans="1:11" s="2" customFormat="1">
      <c r="A69" s="3">
        <v>17</v>
      </c>
      <c r="B69" s="447" t="s">
        <v>242</v>
      </c>
      <c r="C69" s="142" t="s">
        <v>127</v>
      </c>
      <c r="D69" s="520"/>
      <c r="E69" s="521"/>
      <c r="F69" s="521"/>
      <c r="G69" s="521"/>
      <c r="H69" s="521"/>
      <c r="I69" s="521"/>
      <c r="J69" s="521"/>
      <c r="K69" s="530"/>
    </row>
    <row r="70" spans="1:11" s="2" customFormat="1">
      <c r="A70" s="3">
        <v>18</v>
      </c>
      <c r="B70" s="447" t="s">
        <v>242</v>
      </c>
      <c r="C70" s="142" t="s">
        <v>127</v>
      </c>
      <c r="D70" s="520"/>
      <c r="E70" s="521"/>
      <c r="F70" s="521"/>
      <c r="G70" s="521"/>
      <c r="H70" s="521"/>
      <c r="I70" s="521"/>
      <c r="J70" s="521"/>
      <c r="K70" s="530"/>
    </row>
    <row r="71" spans="1:11" s="2" customFormat="1">
      <c r="A71" s="3">
        <v>19</v>
      </c>
      <c r="B71" s="447" t="s">
        <v>242</v>
      </c>
      <c r="C71" s="142" t="s">
        <v>127</v>
      </c>
      <c r="D71" s="520"/>
      <c r="E71" s="521"/>
      <c r="F71" s="521"/>
      <c r="G71" s="521"/>
      <c r="H71" s="521"/>
      <c r="I71" s="521"/>
      <c r="J71" s="521"/>
      <c r="K71" s="530"/>
    </row>
    <row r="72" spans="1:11" s="2" customFormat="1">
      <c r="A72" s="3">
        <v>20</v>
      </c>
      <c r="B72" s="447" t="s">
        <v>242</v>
      </c>
      <c r="C72" s="142" t="s">
        <v>127</v>
      </c>
      <c r="D72" s="520"/>
      <c r="E72" s="521"/>
      <c r="F72" s="521"/>
      <c r="G72" s="521"/>
      <c r="H72" s="521"/>
      <c r="I72" s="521"/>
      <c r="J72" s="521"/>
      <c r="K72" s="530"/>
    </row>
    <row r="73" spans="1:11" s="2" customFormat="1">
      <c r="A73" s="3">
        <v>21</v>
      </c>
      <c r="B73" s="447" t="s">
        <v>242</v>
      </c>
      <c r="C73" s="142" t="s">
        <v>127</v>
      </c>
      <c r="D73" s="520"/>
      <c r="E73" s="521"/>
      <c r="F73" s="521"/>
      <c r="G73" s="521"/>
      <c r="H73" s="521"/>
      <c r="I73" s="521"/>
      <c r="J73" s="521"/>
      <c r="K73" s="530"/>
    </row>
    <row r="74" spans="1:11" s="2" customFormat="1">
      <c r="A74" s="3">
        <v>22</v>
      </c>
      <c r="B74" s="447" t="s">
        <v>242</v>
      </c>
      <c r="C74" s="142" t="s">
        <v>127</v>
      </c>
      <c r="D74" s="520"/>
      <c r="E74" s="521"/>
      <c r="F74" s="521"/>
      <c r="G74" s="521"/>
      <c r="H74" s="521"/>
      <c r="I74" s="521"/>
      <c r="J74" s="521"/>
      <c r="K74" s="530"/>
    </row>
    <row r="75" spans="1:11" s="2" customFormat="1">
      <c r="A75" s="3">
        <v>23</v>
      </c>
      <c r="B75" s="447" t="s">
        <v>242</v>
      </c>
      <c r="C75" s="142" t="s">
        <v>127</v>
      </c>
      <c r="D75" s="520"/>
      <c r="E75" s="521"/>
      <c r="F75" s="521"/>
      <c r="G75" s="521"/>
      <c r="H75" s="521"/>
      <c r="I75" s="521"/>
      <c r="J75" s="521"/>
      <c r="K75" s="530"/>
    </row>
    <row r="76" spans="1:11" s="2" customFormat="1">
      <c r="A76" s="3">
        <v>24</v>
      </c>
      <c r="B76" s="447" t="s">
        <v>242</v>
      </c>
      <c r="C76" s="142" t="s">
        <v>127</v>
      </c>
      <c r="D76" s="520"/>
      <c r="E76" s="521"/>
      <c r="F76" s="521"/>
      <c r="G76" s="521"/>
      <c r="H76" s="521"/>
      <c r="I76" s="521"/>
      <c r="J76" s="521"/>
      <c r="K76" s="530"/>
    </row>
    <row r="77" spans="1:11" s="2" customFormat="1">
      <c r="A77" s="3">
        <v>25</v>
      </c>
      <c r="B77" s="447" t="s">
        <v>242</v>
      </c>
      <c r="C77" s="142" t="s">
        <v>127</v>
      </c>
      <c r="D77" s="550"/>
      <c r="E77" s="539"/>
      <c r="F77" s="539"/>
      <c r="G77" s="539"/>
      <c r="H77" s="539"/>
      <c r="I77" s="539"/>
      <c r="J77" s="539"/>
      <c r="K77" s="551"/>
    </row>
    <row r="78" spans="1:11" s="2" customFormat="1">
      <c r="B78" s="12" t="s">
        <v>170</v>
      </c>
      <c r="C78" s="142" t="s">
        <v>127</v>
      </c>
      <c r="D78" s="534">
        <f>SUM(D53:D77)</f>
        <v>63.686556525429467</v>
      </c>
      <c r="E78" s="535">
        <f t="shared" ref="E78:K78" si="6">SUM(E53:E77)</f>
        <v>59.717569854540905</v>
      </c>
      <c r="F78" s="535">
        <f t="shared" si="6"/>
        <v>72.84185064101564</v>
      </c>
      <c r="G78" s="535">
        <f t="shared" si="6"/>
        <v>79.533068462852341</v>
      </c>
      <c r="H78" s="535">
        <f t="shared" si="6"/>
        <v>81.228853844280351</v>
      </c>
      <c r="I78" s="535">
        <f t="shared" si="6"/>
        <v>81.727558633184302</v>
      </c>
      <c r="J78" s="535">
        <f t="shared" si="6"/>
        <v>82.001151404666032</v>
      </c>
      <c r="K78" s="536">
        <f t="shared" si="6"/>
        <v>124.71527834277391</v>
      </c>
    </row>
    <row r="79" spans="1:11" s="2" customFormat="1">
      <c r="C79" s="127"/>
      <c r="D79" s="47"/>
      <c r="E79" s="47"/>
      <c r="F79" s="47"/>
      <c r="G79" s="47"/>
      <c r="H79" s="47"/>
      <c r="I79" s="47"/>
      <c r="J79" s="47"/>
      <c r="K79" s="47"/>
    </row>
    <row r="80" spans="1:11" s="2" customFormat="1">
      <c r="B80" s="12" t="s">
        <v>403</v>
      </c>
      <c r="C80" s="142" t="s">
        <v>127</v>
      </c>
      <c r="D80" s="534">
        <f>D48-D78</f>
        <v>188.55820133382358</v>
      </c>
      <c r="E80" s="535">
        <f t="shared" ref="E80:K80" si="7">E48-E78</f>
        <v>188.61391377660269</v>
      </c>
      <c r="F80" s="535">
        <f t="shared" si="7"/>
        <v>176.73122713712198</v>
      </c>
      <c r="G80" s="535">
        <f t="shared" si="7"/>
        <v>187.00071318184911</v>
      </c>
      <c r="H80" s="535">
        <f t="shared" si="7"/>
        <v>215.39489923347185</v>
      </c>
      <c r="I80" s="535">
        <f t="shared" si="7"/>
        <v>213.39551337119343</v>
      </c>
      <c r="J80" s="535">
        <f t="shared" si="7"/>
        <v>205.32959189033789</v>
      </c>
      <c r="K80" s="536">
        <f t="shared" si="7"/>
        <v>182.15606403536725</v>
      </c>
    </row>
    <row r="81" spans="2:14" s="2" customFormat="1">
      <c r="B81" s="12" t="s">
        <v>488</v>
      </c>
      <c r="C81" s="142" t="s">
        <v>127</v>
      </c>
      <c r="D81" s="561">
        <f>'R4 - Totex'!D90+'R4 - Totex'!D118</f>
        <v>188.55820133382358</v>
      </c>
      <c r="E81" s="562">
        <f>'R4 - Totex'!E90+'R4 - Totex'!E118</f>
        <v>188.61391377660269</v>
      </c>
      <c r="F81" s="562">
        <f>'R4 - Totex'!F90+'R4 - Totex'!F118</f>
        <v>176.73265374712204</v>
      </c>
      <c r="G81" s="562">
        <f>'R4 - Totex'!G90+'R4 - Totex'!G118</f>
        <v>187.00071318184905</v>
      </c>
      <c r="H81" s="562">
        <f>'R4 - Totex'!H90+'R4 - Totex'!H118</f>
        <v>215.3948992334719</v>
      </c>
      <c r="I81" s="562">
        <f>'R4 - Totex'!I90+'R4 - Totex'!I118</f>
        <v>213.39551337119343</v>
      </c>
      <c r="J81" s="562">
        <f>'R4 - Totex'!J90+'R4 - Totex'!J118</f>
        <v>205.33416954033783</v>
      </c>
      <c r="K81" s="562">
        <f>'R4 - Totex'!K90+'R4 - Totex'!K118</f>
        <v>182.17575674536721</v>
      </c>
      <c r="M81" s="804"/>
      <c r="N81" s="804"/>
    </row>
    <row r="82" spans="2:14" s="2" customFormat="1">
      <c r="C82" s="127" t="s">
        <v>404</v>
      </c>
      <c r="D82" s="496" t="str">
        <f>IF(D$5="Actuals",IF(ABS(D80-('R4 - Totex'!D90+'R4 - Totex'!D118))&lt;'RFPR cover'!$F$14,"OK","Error"),"N/A")</f>
        <v>OK</v>
      </c>
      <c r="E82" s="496" t="str">
        <f>IF(E$5="Actuals",IF(ABS(E80-('R4 - Totex'!E90+'R4 - Totex'!E118))&lt;'RFPR cover'!$F$14,"OK","Error"),"N/A")</f>
        <v>OK</v>
      </c>
      <c r="F82" s="496" t="str">
        <f>IF(F$5="Actuals",IF(ABS(F80-('R4 - Totex'!F90+'R4 - Totex'!F118))&lt;'RFPR cover'!$F$14,"OK","Error"),"N/A")</f>
        <v>OK</v>
      </c>
      <c r="G82" s="496" t="str">
        <f>IF(G$5="Actuals",IF(ABS(G80-('R4 - Totex'!G90+'R4 - Totex'!G118))&lt;'RFPR cover'!$F$14,"OK","Error"),"N/A")</f>
        <v>OK</v>
      </c>
      <c r="H82" s="496" t="str">
        <f>IF(H$5="Actuals",IF(ABS(H80-('R4 - Totex'!H90+'R4 - Totex'!H118))&lt;'RFPR cover'!$F$14,"OK","Error"),"N/A")</f>
        <v>OK</v>
      </c>
      <c r="I82" s="496" t="str">
        <f>IF(I$5="Actuals",IF(ABS(I80-('R4 - Totex'!I90+'R4 - Totex'!I118))&lt;'RFPR cover'!$F$14,"OK","Error"),"N/A")</f>
        <v>OK</v>
      </c>
      <c r="J82" s="496" t="str">
        <f>IF(J$5="Actuals",IF(ABS(J80-('R4 - Totex'!J90+'R4 - Totex'!J118))&lt;'RFPR cover'!$F$14,"OK","Error"),"N/A")</f>
        <v>OK</v>
      </c>
      <c r="K82" s="496" t="str">
        <f>IF(K$5="Actuals",IF(ABS(K80-('R4 - Totex'!K90+'R4 - Totex'!K118))&lt;'RFPR cover'!$F$14,"OK","Error"),"N/A")</f>
        <v>OK</v>
      </c>
    </row>
    <row r="83" spans="2:14" s="2" customFormat="1">
      <c r="C83" s="127"/>
    </row>
    <row r="84" spans="2:14">
      <c r="D84" s="809"/>
      <c r="E84" s="809"/>
      <c r="F84" s="809"/>
      <c r="G84" s="809"/>
      <c r="H84" s="809"/>
      <c r="I84" s="809"/>
      <c r="J84" s="809"/>
      <c r="K84" s="809"/>
    </row>
    <row r="85" spans="2:14">
      <c r="D85" s="195"/>
      <c r="E85" s="195"/>
      <c r="F85" s="195"/>
      <c r="G85" s="195"/>
      <c r="H85" s="195"/>
      <c r="I85" s="195"/>
      <c r="J85" s="195"/>
      <c r="K85" s="195"/>
    </row>
    <row r="86" spans="2:14">
      <c r="D86" s="195"/>
      <c r="E86" s="195"/>
      <c r="F86" s="195"/>
      <c r="G86" s="195"/>
      <c r="H86" s="195"/>
      <c r="I86" s="195"/>
      <c r="J86" s="195"/>
      <c r="K86" s="195"/>
    </row>
  </sheetData>
  <sheetProtection algorithmName="SHA-512" hashValue="Wq29t+l+yHbaWefHdVYSHL+a0pOvE3S7pJA0mcWWP6L/NyPsJtuy+6qP4cnHmLgt3bOtk7aFyaQsxnvi1CTcEw==" saltValue="681n8HqXHCp1kU6o+WRYIA==" spinCount="100000" sheet="1" objects="1" scenarios="1"/>
  <conditionalFormatting sqref="D6:J6">
    <cfRule type="expression" dxfId="41" priority="18">
      <formula>AND(D$5="Actuals",E$5="N/A")</formula>
    </cfRule>
  </conditionalFormatting>
  <conditionalFormatting sqref="D5:K5">
    <cfRule type="expression" dxfId="40" priority="9">
      <formula>AND(D$5="Actuals",E$5="N/A")</formula>
    </cfRule>
  </conditionalFormatting>
  <conditionalFormatting sqref="D9:K23">
    <cfRule type="expression" dxfId="39" priority="2">
      <formula>D$5="N/A"</formula>
    </cfRule>
  </conditionalFormatting>
  <conditionalFormatting sqref="D26:K46 D53:K78 D80:K80 D82:K82">
    <cfRule type="expression" dxfId="38" priority="4">
      <formula>D$5="N/A"</formula>
    </cfRule>
  </conditionalFormatting>
  <conditionalFormatting sqref="D48:K50">
    <cfRule type="expression" dxfId="37" priority="1">
      <formula>D$5="N/A"</formula>
    </cfRule>
  </conditionalFormatting>
  <pageMargins left="0.70866141732283472" right="0.70866141732283472" top="0.74803149606299213" bottom="0.74803149606299213" header="0.31496062992125984" footer="0.31496062992125984"/>
  <pageSetup paperSize="8"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2"/>
  <sheetViews>
    <sheetView showGridLines="0" zoomScale="80" zoomScaleNormal="80" workbookViewId="0">
      <pane ySplit="6" topLeftCell="A7" activePane="bottomLeft" state="frozen"/>
      <selection pane="bottomLeft"/>
    </sheetView>
  </sheetViews>
  <sheetFormatPr defaultColWidth="9.15234375" defaultRowHeight="13.5"/>
  <cols>
    <col min="1" max="1" width="8.3828125" style="2" customWidth="1"/>
    <col min="2" max="2" width="75.4609375" style="120" customWidth="1"/>
    <col min="3" max="3" width="13.3828125" style="127" customWidth="1"/>
    <col min="4" max="11" width="11.15234375" style="2" customWidth="1"/>
    <col min="12" max="13" width="12.84375" style="2" customWidth="1"/>
    <col min="14" max="14" width="25.4609375" style="2" customWidth="1"/>
    <col min="15" max="16384" width="9.15234375" style="2"/>
  </cols>
  <sheetData>
    <row r="1" spans="1:20" customFormat="1" ht="20">
      <c r="A1" s="769" t="s">
        <v>99</v>
      </c>
      <c r="B1" s="777"/>
      <c r="C1" s="248"/>
      <c r="D1" s="231"/>
      <c r="E1" s="231"/>
      <c r="F1" s="231"/>
      <c r="G1" s="231"/>
      <c r="H1" s="231"/>
      <c r="I1" s="232"/>
      <c r="J1" s="232"/>
      <c r="K1" s="233"/>
      <c r="L1" s="233"/>
      <c r="M1" s="233"/>
      <c r="N1" s="233"/>
      <c r="O1" s="319"/>
    </row>
    <row r="2" spans="1:20" customFormat="1" ht="20">
      <c r="A2" s="772" t="str">
        <f>'RFPR cover'!C5</f>
        <v>NPgN</v>
      </c>
      <c r="B2" s="779"/>
      <c r="C2" s="125"/>
      <c r="D2" s="29"/>
      <c r="E2" s="29"/>
      <c r="F2" s="29"/>
      <c r="G2" s="29"/>
      <c r="H2" s="29"/>
      <c r="I2" s="27"/>
      <c r="J2" s="27"/>
      <c r="K2" s="27"/>
      <c r="L2" s="27"/>
      <c r="M2" s="27"/>
      <c r="N2" s="27"/>
      <c r="O2" s="114"/>
    </row>
    <row r="3" spans="1:20" customFormat="1" ht="20">
      <c r="A3" s="774">
        <f>'RFPR cover'!C7</f>
        <v>2023</v>
      </c>
      <c r="B3" s="784"/>
      <c r="C3" s="247"/>
      <c r="D3" s="235"/>
      <c r="E3" s="235"/>
      <c r="F3" s="235"/>
      <c r="G3" s="235"/>
      <c r="H3" s="235"/>
      <c r="I3" s="230"/>
      <c r="J3" s="230"/>
      <c r="K3" s="230"/>
      <c r="L3" s="230"/>
      <c r="M3" s="230"/>
      <c r="N3" s="230"/>
      <c r="O3" s="236"/>
    </row>
    <row r="4" spans="1:20" ht="12.75" customHeight="1"/>
    <row r="5" spans="1:20" ht="12.75" customHeight="1">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20" ht="27.75" customHeight="1">
      <c r="D6" s="108">
        <f>'RFPR cover'!$C$13</f>
        <v>2016</v>
      </c>
      <c r="E6" s="109">
        <f>D6+1</f>
        <v>2017</v>
      </c>
      <c r="F6" s="109">
        <f t="shared" ref="F6:K6" si="0">E6+1</f>
        <v>2018</v>
      </c>
      <c r="G6" s="109">
        <f t="shared" si="0"/>
        <v>2019</v>
      </c>
      <c r="H6" s="109">
        <f t="shared" si="0"/>
        <v>2020</v>
      </c>
      <c r="I6" s="109">
        <f t="shared" si="0"/>
        <v>2021</v>
      </c>
      <c r="J6" s="109">
        <f t="shared" si="0"/>
        <v>2022</v>
      </c>
      <c r="K6" s="109">
        <f t="shared" si="0"/>
        <v>2023</v>
      </c>
      <c r="L6" s="92" t="str">
        <f>"Cumulative to "&amp;'RFPR cover'!$C$7</f>
        <v>Cumulative to 2023</v>
      </c>
      <c r="M6" s="110" t="s">
        <v>109</v>
      </c>
      <c r="N6" s="110" t="s">
        <v>308</v>
      </c>
    </row>
    <row r="8" spans="1:20">
      <c r="B8" s="678" t="s">
        <v>391</v>
      </c>
      <c r="C8" s="259"/>
      <c r="D8" s="287"/>
      <c r="E8" s="287"/>
      <c r="F8" s="287"/>
      <c r="G8" s="287"/>
      <c r="H8" s="287"/>
      <c r="I8" s="287"/>
      <c r="J8" s="287"/>
      <c r="K8" s="287"/>
      <c r="L8" s="287"/>
      <c r="M8" s="287"/>
      <c r="N8" s="287"/>
    </row>
    <row r="10" spans="1:20">
      <c r="B10" s="675" t="str">
        <f>Data!B48</f>
        <v>Totex</v>
      </c>
      <c r="C10" s="140"/>
      <c r="D10" s="73"/>
      <c r="E10" s="73"/>
      <c r="F10" s="73"/>
      <c r="G10" s="73"/>
      <c r="H10" s="73"/>
      <c r="I10" s="73"/>
      <c r="J10" s="73"/>
      <c r="K10" s="73"/>
      <c r="L10" s="73"/>
      <c r="M10" s="73"/>
      <c r="N10" s="73"/>
    </row>
    <row r="11" spans="1:20">
      <c r="B11" s="345"/>
      <c r="D11" s="1"/>
      <c r="E11" s="1"/>
      <c r="F11" s="1"/>
      <c r="G11" s="1"/>
      <c r="H11" s="1"/>
      <c r="I11" s="1"/>
      <c r="J11" s="1"/>
      <c r="K11" s="1"/>
      <c r="L11" s="1"/>
      <c r="M11" s="1"/>
      <c r="N11" s="1"/>
    </row>
    <row r="12" spans="1:20">
      <c r="B12" s="181" t="s">
        <v>34</v>
      </c>
      <c r="C12" s="57" t="str">
        <f>'RFPR cover'!$C$14</f>
        <v>£m 12/13</v>
      </c>
      <c r="D12" s="506">
        <v>177.83195627138139</v>
      </c>
      <c r="E12" s="418">
        <v>174.15283990946995</v>
      </c>
      <c r="F12" s="418">
        <v>157.29648484430095</v>
      </c>
      <c r="G12" s="418">
        <v>161.50055592418471</v>
      </c>
      <c r="H12" s="418">
        <v>181.32873765646306</v>
      </c>
      <c r="I12" s="418">
        <v>177.49287729111953</v>
      </c>
      <c r="J12" s="507">
        <v>161.46182303614935</v>
      </c>
      <c r="K12" s="507">
        <v>126.91257337108604</v>
      </c>
      <c r="L12" s="98">
        <f>SUM(D12:INDEX(D12:K12,0,MATCH('RFPR cover'!$C$7,$D$6:$K$6,0)))</f>
        <v>1317.977848304155</v>
      </c>
      <c r="M12" s="99">
        <f>SUM(D12:K12)</f>
        <v>1317.977848304155</v>
      </c>
      <c r="N12" s="54"/>
      <c r="O12" s="54"/>
    </row>
    <row r="13" spans="1:20" ht="27">
      <c r="B13" s="409" t="s">
        <v>500</v>
      </c>
      <c r="C13" s="57" t="str">
        <f>'RFPR cover'!$C$14</f>
        <v>£m 12/13</v>
      </c>
      <c r="D13" s="570">
        <v>183.21787877803425</v>
      </c>
      <c r="E13" s="419">
        <v>179.9635808572082</v>
      </c>
      <c r="F13" s="419">
        <v>167.98112181842879</v>
      </c>
      <c r="G13" s="419">
        <v>165.54975689847467</v>
      </c>
      <c r="H13" s="419">
        <v>164.70622055765665</v>
      </c>
      <c r="I13" s="419">
        <v>152.72070176860592</v>
      </c>
      <c r="J13" s="419">
        <v>143.41825795387984</v>
      </c>
      <c r="K13" s="419">
        <v>167.62478193883447</v>
      </c>
      <c r="L13" s="96">
        <f>SUM(D13:INDEX(D13:K13,0,MATCH('RFPR cover'!$C$7,$D$6:$K$6,0)))</f>
        <v>1325.1823005711231</v>
      </c>
      <c r="M13" s="97">
        <f>SUM(D13:K13)</f>
        <v>1325.1823005711231</v>
      </c>
      <c r="N13" s="54"/>
      <c r="O13" s="54"/>
    </row>
    <row r="14" spans="1:20">
      <c r="B14" s="224" t="s">
        <v>194</v>
      </c>
      <c r="C14" s="57" t="str">
        <f>'RFPR cover'!$C$14</f>
        <v>£m 12/13</v>
      </c>
      <c r="D14" s="93">
        <f>D13-D12</f>
        <v>5.3859225066528609</v>
      </c>
      <c r="E14" s="94">
        <f t="shared" ref="E14:M14" si="1">E13-E12</f>
        <v>5.8107409477382532</v>
      </c>
      <c r="F14" s="94">
        <f t="shared" si="1"/>
        <v>10.684636974127841</v>
      </c>
      <c r="G14" s="94">
        <f t="shared" si="1"/>
        <v>4.0492009742899597</v>
      </c>
      <c r="H14" s="94">
        <f t="shared" si="1"/>
        <v>-16.622517098806412</v>
      </c>
      <c r="I14" s="94">
        <f t="shared" si="1"/>
        <v>-24.772175522513606</v>
      </c>
      <c r="J14" s="94">
        <f t="shared" si="1"/>
        <v>-18.04356508226951</v>
      </c>
      <c r="K14" s="94">
        <f t="shared" si="1"/>
        <v>40.712208567748434</v>
      </c>
      <c r="L14" s="93">
        <f t="shared" si="1"/>
        <v>7.2044522669680191</v>
      </c>
      <c r="M14" s="95">
        <f t="shared" si="1"/>
        <v>7.2044522669680191</v>
      </c>
      <c r="N14" s="54"/>
      <c r="O14" s="854"/>
      <c r="P14" s="854"/>
      <c r="Q14" s="854"/>
      <c r="R14"/>
      <c r="S14"/>
      <c r="T14"/>
    </row>
    <row r="15" spans="1:20">
      <c r="B15" s="224"/>
      <c r="C15" s="57"/>
      <c r="D15" s="50"/>
      <c r="E15" s="50"/>
      <c r="F15" s="50"/>
      <c r="G15" s="50"/>
      <c r="H15" s="50"/>
      <c r="I15" s="50"/>
      <c r="J15" s="50"/>
      <c r="K15" s="50"/>
      <c r="L15" s="50"/>
      <c r="M15" s="50"/>
      <c r="O15" s="55"/>
      <c r="P15" s="55"/>
      <c r="Q15" s="55"/>
      <c r="R15"/>
      <c r="S15"/>
      <c r="T15"/>
    </row>
    <row r="16" spans="1:20">
      <c r="B16" s="120" t="s">
        <v>177</v>
      </c>
      <c r="C16" s="127" t="s">
        <v>7</v>
      </c>
      <c r="D16" s="100">
        <f>1-INDEX(Data!$D$73:$D$100,MATCH('RFPR cover'!$C$5,Data!$B$73:$B$100,0),0)</f>
        <v>0.44156296542217133</v>
      </c>
      <c r="E16" s="101">
        <f>1-INDEX(Data!$D$73:$D$100,MATCH('RFPR cover'!$C$5,Data!$B$73:$B$100,0),0)</f>
        <v>0.44156296542217133</v>
      </c>
      <c r="F16" s="101">
        <f>1-INDEX(Data!$D$73:$D$100,MATCH('RFPR cover'!$C$5,Data!$B$73:$B$100,0),0)</f>
        <v>0.44156296542217133</v>
      </c>
      <c r="G16" s="101">
        <f>1-INDEX(Data!$D$73:$D$100,MATCH('RFPR cover'!$C$5,Data!$B$73:$B$100,0),0)</f>
        <v>0.44156296542217133</v>
      </c>
      <c r="H16" s="101">
        <f>1-INDEX(Data!$D$73:$D$100,MATCH('RFPR cover'!$C$5,Data!$B$73:$B$100,0),0)</f>
        <v>0.44156296542217133</v>
      </c>
      <c r="I16" s="101">
        <f>1-INDEX(Data!$D$73:$D$100,MATCH('RFPR cover'!$C$5,Data!$B$73:$B$100,0),0)</f>
        <v>0.44156296542217133</v>
      </c>
      <c r="J16" s="101">
        <f>1-INDEX(Data!$D$73:$D$100,MATCH('RFPR cover'!$C$5,Data!$B$73:$B$100,0),0)</f>
        <v>0.44156296542217133</v>
      </c>
      <c r="K16" s="102">
        <f>1-INDEX(Data!$D$73:$D$100,MATCH('RFPR cover'!$C$5,Data!$B$73:$B$100,0),0)</f>
        <v>0.44156296542217133</v>
      </c>
      <c r="L16" s="53"/>
      <c r="M16" s="53"/>
      <c r="O16"/>
      <c r="P16"/>
      <c r="Q16"/>
      <c r="R16"/>
      <c r="S16"/>
      <c r="T16"/>
    </row>
    <row r="17" spans="1:20">
      <c r="O17"/>
      <c r="P17"/>
      <c r="Q17"/>
      <c r="R17"/>
      <c r="S17"/>
      <c r="T17"/>
    </row>
    <row r="18" spans="1:20">
      <c r="B18" s="120" t="s">
        <v>182</v>
      </c>
      <c r="C18" s="57" t="str">
        <f>'RFPR cover'!$C$14</f>
        <v>£m 12/13</v>
      </c>
      <c r="D18" s="86">
        <f>D14*D16</f>
        <v>2.3782239135716514</v>
      </c>
      <c r="E18" s="87">
        <f t="shared" ref="E18:K18" si="2">E14*E16</f>
        <v>2.5658080041833413</v>
      </c>
      <c r="F18" s="87">
        <f t="shared" si="2"/>
        <v>4.7179399867552654</v>
      </c>
      <c r="G18" s="87">
        <f t="shared" si="2"/>
        <v>1.7879771897978198</v>
      </c>
      <c r="H18" s="87">
        <f t="shared" si="2"/>
        <v>-7.3398879429297077</v>
      </c>
      <c r="I18" s="87">
        <f t="shared" si="2"/>
        <v>-10.938475283679635</v>
      </c>
      <c r="J18" s="87">
        <f t="shared" si="2"/>
        <v>-7.9673701045148695</v>
      </c>
      <c r="K18" s="87">
        <f t="shared" si="2"/>
        <v>17.977003544060928</v>
      </c>
      <c r="L18" s="86">
        <f>SUM(D18:INDEX(D18:K18,0,MATCH('RFPR cover'!$C$7,$D$6:$K$6,0)))</f>
        <v>3.1812193072447936</v>
      </c>
      <c r="M18" s="88">
        <f>SUM(D18:K18)</f>
        <v>3.1812193072447936</v>
      </c>
      <c r="O18"/>
      <c r="P18"/>
      <c r="Q18"/>
      <c r="R18"/>
      <c r="S18"/>
      <c r="T18"/>
    </row>
    <row r="19" spans="1:20">
      <c r="B19" s="120" t="s">
        <v>279</v>
      </c>
      <c r="C19" s="57" t="str">
        <f>'RFPR cover'!$C$14</f>
        <v>£m 12/13</v>
      </c>
      <c r="D19" s="83">
        <f>D14*(1-D16)</f>
        <v>3.0076985930812095</v>
      </c>
      <c r="E19" s="84">
        <f t="shared" ref="E19:K19" si="3">E14*(1-E16)</f>
        <v>3.2449329435549119</v>
      </c>
      <c r="F19" s="84">
        <f t="shared" si="3"/>
        <v>5.9666969873725755</v>
      </c>
      <c r="G19" s="84">
        <f t="shared" si="3"/>
        <v>2.2612237844921399</v>
      </c>
      <c r="H19" s="84">
        <f t="shared" si="3"/>
        <v>-9.2826291558767053</v>
      </c>
      <c r="I19" s="84">
        <f t="shared" si="3"/>
        <v>-13.833700238833972</v>
      </c>
      <c r="J19" s="84">
        <f t="shared" si="3"/>
        <v>-10.076194977754641</v>
      </c>
      <c r="K19" s="84">
        <f t="shared" si="3"/>
        <v>22.735205023687506</v>
      </c>
      <c r="L19" s="83">
        <f>SUM(D19:INDEX(D19:K19,0,MATCH('RFPR cover'!$C$7,$D$6:$K$6,0)))</f>
        <v>4.0232329597230247</v>
      </c>
      <c r="M19" s="85">
        <f>SUM(D19:K19)</f>
        <v>4.0232329597230247</v>
      </c>
      <c r="O19"/>
      <c r="P19"/>
      <c r="Q19"/>
      <c r="R19"/>
      <c r="S19"/>
      <c r="T19"/>
    </row>
    <row r="20" spans="1:20">
      <c r="O20"/>
      <c r="P20"/>
      <c r="Q20"/>
      <c r="R20"/>
      <c r="S20"/>
      <c r="T20"/>
    </row>
    <row r="21" spans="1:20">
      <c r="B21" s="345" t="s">
        <v>181</v>
      </c>
      <c r="N21" s="54"/>
      <c r="O21"/>
      <c r="P21"/>
      <c r="Q21"/>
      <c r="R21"/>
      <c r="S21"/>
      <c r="T21"/>
    </row>
    <row r="22" spans="1:20">
      <c r="A22" s="3" t="s">
        <v>150</v>
      </c>
      <c r="B22" s="447" t="s">
        <v>574</v>
      </c>
      <c r="C22" s="57" t="str">
        <f>'RFPR cover'!$C$14</f>
        <v>£m 12/13</v>
      </c>
      <c r="D22" s="506"/>
      <c r="E22" s="507"/>
      <c r="F22" s="507"/>
      <c r="G22" s="507"/>
      <c r="H22" s="507"/>
      <c r="I22" s="507"/>
      <c r="J22" s="507">
        <v>0</v>
      </c>
      <c r="K22" s="507">
        <v>-0.51365400000000005</v>
      </c>
      <c r="L22" s="508">
        <f>SUM(D22:INDEX(D22:K22,0,MATCH('RFPR cover'!$C$7,$D$6:$K$6,0)))</f>
        <v>-0.51365400000000005</v>
      </c>
      <c r="M22" s="509">
        <f t="shared" ref="M22:M27" si="4">SUM(D22:K22)</f>
        <v>-0.51365400000000005</v>
      </c>
      <c r="N22" s="497" t="s">
        <v>598</v>
      </c>
      <c r="O22"/>
      <c r="P22"/>
      <c r="Q22"/>
      <c r="R22"/>
      <c r="S22"/>
      <c r="T22"/>
    </row>
    <row r="23" spans="1:20">
      <c r="A23" s="3" t="s">
        <v>151</v>
      </c>
      <c r="B23" s="447" t="s">
        <v>575</v>
      </c>
      <c r="C23" s="57" t="str">
        <f>'RFPR cover'!$C$14</f>
        <v>£m 12/13</v>
      </c>
      <c r="D23" s="510"/>
      <c r="E23" s="511"/>
      <c r="F23" s="511"/>
      <c r="G23" s="511"/>
      <c r="H23" s="511"/>
      <c r="I23" s="511"/>
      <c r="J23" s="511"/>
      <c r="K23" s="511"/>
      <c r="L23" s="512">
        <f>SUM(D23:INDEX(D23:K23,0,MATCH('RFPR cover'!$C$7,$D$6:$K$6,0)))</f>
        <v>0</v>
      </c>
      <c r="M23" s="513">
        <f t="shared" si="4"/>
        <v>0</v>
      </c>
      <c r="N23" s="498" t="s">
        <v>599</v>
      </c>
      <c r="O23"/>
      <c r="P23"/>
      <c r="Q23"/>
      <c r="R23"/>
      <c r="S23"/>
      <c r="T23"/>
    </row>
    <row r="24" spans="1:20">
      <c r="A24" s="3" t="s">
        <v>152</v>
      </c>
      <c r="B24" s="447" t="s">
        <v>593</v>
      </c>
      <c r="C24" s="57" t="str">
        <f>'RFPR cover'!$C$14</f>
        <v>£m 12/13</v>
      </c>
      <c r="D24" s="510">
        <v>0</v>
      </c>
      <c r="E24" s="511">
        <v>0</v>
      </c>
      <c r="F24" s="511">
        <v>0</v>
      </c>
      <c r="G24" s="511">
        <v>0</v>
      </c>
      <c r="H24" s="511">
        <v>0</v>
      </c>
      <c r="I24" s="511">
        <v>0</v>
      </c>
      <c r="J24" s="511">
        <v>0</v>
      </c>
      <c r="K24" s="511">
        <v>-0.76556506912748223</v>
      </c>
      <c r="L24" s="512">
        <f>SUM(D24:INDEX(D24:K24,0,MATCH('RFPR cover'!$C$7,$D$6:$K$6,0)))</f>
        <v>-0.76556506912748223</v>
      </c>
      <c r="M24" s="513">
        <f t="shared" si="4"/>
        <v>-0.76556506912748223</v>
      </c>
      <c r="N24" s="498" t="s">
        <v>600</v>
      </c>
      <c r="O24"/>
      <c r="P24"/>
      <c r="Q24"/>
      <c r="R24"/>
      <c r="S24" s="56"/>
      <c r="T24"/>
    </row>
    <row r="25" spans="1:20">
      <c r="A25" s="3" t="s">
        <v>167</v>
      </c>
      <c r="B25" s="447" t="s">
        <v>576</v>
      </c>
      <c r="C25" s="57" t="str">
        <f>'RFPR cover'!$C$14</f>
        <v>£m 12/13</v>
      </c>
      <c r="D25" s="510">
        <v>-9.5603912053884041</v>
      </c>
      <c r="E25" s="511">
        <v>-5.2196696893550003</v>
      </c>
      <c r="F25" s="511">
        <v>-9.0503688675441456</v>
      </c>
      <c r="G25" s="511">
        <v>-9.0094029883135676</v>
      </c>
      <c r="H25" s="511">
        <v>-2.8591538726773962</v>
      </c>
      <c r="I25" s="511">
        <v>29.138543548213452</v>
      </c>
      <c r="J25" s="511">
        <v>1.0506463773783743</v>
      </c>
      <c r="K25" s="511">
        <v>5.5097966976866886</v>
      </c>
      <c r="L25" s="512">
        <f>SUM(D25:INDEX(D25:K25,0,MATCH('RFPR cover'!$C$7,$D$6:$K$6,0)))</f>
        <v>0</v>
      </c>
      <c r="M25" s="513">
        <f t="shared" si="4"/>
        <v>0</v>
      </c>
      <c r="N25" s="498" t="s">
        <v>601</v>
      </c>
      <c r="O25"/>
      <c r="P25"/>
      <c r="Q25"/>
      <c r="R25"/>
      <c r="S25"/>
      <c r="T25"/>
    </row>
    <row r="26" spans="1:20">
      <c r="A26" s="3" t="s">
        <v>168</v>
      </c>
      <c r="B26" s="447" t="s">
        <v>606</v>
      </c>
      <c r="C26" s="57" t="str">
        <f>'RFPR cover'!$C$14</f>
        <v>£m 12/13</v>
      </c>
      <c r="D26" s="510"/>
      <c r="E26" s="511"/>
      <c r="F26" s="511"/>
      <c r="G26" s="511"/>
      <c r="H26" s="511"/>
      <c r="I26" s="511"/>
      <c r="J26" s="511">
        <v>2.4680228834736528E-2</v>
      </c>
      <c r="K26" s="511">
        <v>-21.521482142372481</v>
      </c>
      <c r="L26" s="512">
        <f>SUM(D26:INDEX(D26:K26,0,MATCH('RFPR cover'!$C$7,$D$6:$K$6,0)))</f>
        <v>-21.496801913537745</v>
      </c>
      <c r="M26" s="513">
        <f t="shared" si="4"/>
        <v>-21.496801913537745</v>
      </c>
      <c r="N26" s="498" t="s">
        <v>607</v>
      </c>
      <c r="O26"/>
      <c r="P26"/>
      <c r="Q26"/>
      <c r="R26"/>
      <c r="S26"/>
      <c r="T26"/>
    </row>
    <row r="27" spans="1:20">
      <c r="A27" s="3" t="s">
        <v>169</v>
      </c>
      <c r="B27" s="447" t="s">
        <v>241</v>
      </c>
      <c r="C27" s="57" t="str">
        <f>'RFPR cover'!$C$14</f>
        <v>£m 12/13</v>
      </c>
      <c r="D27" s="514"/>
      <c r="E27" s="515"/>
      <c r="F27" s="515"/>
      <c r="G27" s="515"/>
      <c r="H27" s="515"/>
      <c r="I27" s="515"/>
      <c r="J27" s="515"/>
      <c r="K27" s="515"/>
      <c r="L27" s="516">
        <f>SUM(D27:INDEX(D27:K27,0,MATCH('RFPR cover'!$C$7,$D$6:$K$6,0)))</f>
        <v>0</v>
      </c>
      <c r="M27" s="517">
        <f t="shared" si="4"/>
        <v>0</v>
      </c>
      <c r="N27" s="499"/>
      <c r="O27"/>
      <c r="P27"/>
      <c r="Q27"/>
      <c r="R27"/>
      <c r="S27"/>
      <c r="T27"/>
    </row>
    <row r="28" spans="1:20">
      <c r="B28" s="345" t="s">
        <v>189</v>
      </c>
      <c r="C28" s="57" t="str">
        <f>'RFPR cover'!$C$14</f>
        <v>£m 12/13</v>
      </c>
      <c r="D28" s="93">
        <f>SUM(D22:D27)</f>
        <v>-9.5603912053884041</v>
      </c>
      <c r="E28" s="94">
        <f t="shared" ref="E28:K28" si="5">SUM(E22:E27)</f>
        <v>-5.2196696893550003</v>
      </c>
      <c r="F28" s="94">
        <f t="shared" si="5"/>
        <v>-9.0503688675441456</v>
      </c>
      <c r="G28" s="94">
        <f t="shared" si="5"/>
        <v>-9.0094029883135676</v>
      </c>
      <c r="H28" s="94">
        <f t="shared" si="5"/>
        <v>-2.8591538726773962</v>
      </c>
      <c r="I28" s="94">
        <f t="shared" si="5"/>
        <v>29.138543548213452</v>
      </c>
      <c r="J28" s="94">
        <f t="shared" si="5"/>
        <v>1.0753266062131108</v>
      </c>
      <c r="K28" s="94">
        <f t="shared" si="5"/>
        <v>-17.290904513813274</v>
      </c>
      <c r="L28" s="93">
        <f>SUM(D28:INDEX(D28:K28,0,MATCH('RFPR cover'!$C$7,$D$6:$K$6,0)))</f>
        <v>-22.776020982665226</v>
      </c>
      <c r="M28" s="95">
        <f>SUM(D28:K28)</f>
        <v>-22.776020982665226</v>
      </c>
      <c r="N28" s="54"/>
    </row>
    <row r="30" spans="1:20">
      <c r="B30" s="120" t="s">
        <v>197</v>
      </c>
      <c r="C30" s="57" t="str">
        <f>'RFPR cover'!$C$14</f>
        <v>£m 12/13</v>
      </c>
      <c r="D30" s="86">
        <f t="shared" ref="D30:K30" si="6">D28*D16</f>
        <v>-4.2215146912473509</v>
      </c>
      <c r="E30" s="87">
        <f t="shared" si="6"/>
        <v>-2.3048128265558177</v>
      </c>
      <c r="F30" s="87">
        <f t="shared" si="6"/>
        <v>-3.9963077153172915</v>
      </c>
      <c r="G30" s="87">
        <f t="shared" si="6"/>
        <v>-3.9782187002031111</v>
      </c>
      <c r="H30" s="87">
        <f t="shared" si="6"/>
        <v>-1.2624964626177164</v>
      </c>
      <c r="I30" s="87">
        <f t="shared" si="6"/>
        <v>12.866501697232209</v>
      </c>
      <c r="J30" s="87">
        <f t="shared" si="6"/>
        <v>0.47482440503682072</v>
      </c>
      <c r="K30" s="87">
        <f t="shared" si="6"/>
        <v>-7.6350230719509966</v>
      </c>
      <c r="L30" s="86">
        <f>SUM(D30:INDEX(D30:K30,0,MATCH('RFPR cover'!$C$7,$D$6:$K$6,0)))</f>
        <v>-10.057047365623255</v>
      </c>
      <c r="M30" s="88">
        <f>SUM(D30:K30)</f>
        <v>-10.057047365623255</v>
      </c>
    </row>
    <row r="31" spans="1:20">
      <c r="B31" s="120" t="s">
        <v>306</v>
      </c>
      <c r="C31" s="57" t="str">
        <f>'RFPR cover'!$C$14</f>
        <v>£m 12/13</v>
      </c>
      <c r="D31" s="83">
        <f t="shared" ref="D31:K31" si="7">D28*(1-D16)</f>
        <v>-5.3388765141410532</v>
      </c>
      <c r="E31" s="84">
        <f t="shared" si="7"/>
        <v>-2.9148568627991827</v>
      </c>
      <c r="F31" s="84">
        <f t="shared" si="7"/>
        <v>-5.0540611522268541</v>
      </c>
      <c r="G31" s="84">
        <f t="shared" si="7"/>
        <v>-5.0311842881104569</v>
      </c>
      <c r="H31" s="84">
        <f t="shared" si="7"/>
        <v>-1.5966574100596798</v>
      </c>
      <c r="I31" s="84">
        <f t="shared" si="7"/>
        <v>16.272041850981243</v>
      </c>
      <c r="J31" s="84">
        <f t="shared" si="7"/>
        <v>0.60050220117629016</v>
      </c>
      <c r="K31" s="84">
        <f t="shared" si="7"/>
        <v>-9.6558814418622774</v>
      </c>
      <c r="L31" s="83">
        <f>SUM(D31:INDEX(D31:K31,0,MATCH('RFPR cover'!$C$7,$D$6:$K$6,0)))</f>
        <v>-12.718973617041971</v>
      </c>
      <c r="M31" s="85">
        <f>SUM(D31:K31)</f>
        <v>-12.718973617041971</v>
      </c>
    </row>
    <row r="33" spans="2:20">
      <c r="B33" s="345" t="s">
        <v>180</v>
      </c>
    </row>
    <row r="34" spans="2:20">
      <c r="B34" s="120" t="s">
        <v>179</v>
      </c>
      <c r="C34" s="57" t="str">
        <f>'RFPR cover'!$C$14</f>
        <v>£m 12/13</v>
      </c>
      <c r="D34" s="86">
        <f>D18+D30</f>
        <v>-1.8432907776756995</v>
      </c>
      <c r="E34" s="87">
        <f t="shared" ref="E34:K34" si="8">E18+E30</f>
        <v>0.26099517762752367</v>
      </c>
      <c r="F34" s="87">
        <f t="shared" si="8"/>
        <v>0.72163227143797393</v>
      </c>
      <c r="G34" s="87">
        <f t="shared" si="8"/>
        <v>-2.1902415104052912</v>
      </c>
      <c r="H34" s="87">
        <f t="shared" si="8"/>
        <v>-8.6023844055474239</v>
      </c>
      <c r="I34" s="87">
        <f t="shared" si="8"/>
        <v>1.9280264135525744</v>
      </c>
      <c r="J34" s="87">
        <f t="shared" si="8"/>
        <v>-7.4925456994780486</v>
      </c>
      <c r="K34" s="87">
        <f t="shared" si="8"/>
        <v>10.341980472109931</v>
      </c>
      <c r="L34" s="86">
        <f>SUM(D34:INDEX(D34:K34,0,MATCH('RFPR cover'!$C$7,$D$6:$K$6,0)))</f>
        <v>-6.8758280583784597</v>
      </c>
      <c r="M34" s="88">
        <f>SUM(D34:K34)</f>
        <v>-6.8758280583784597</v>
      </c>
    </row>
    <row r="35" spans="2:20">
      <c r="B35" s="120" t="s">
        <v>279</v>
      </c>
      <c r="C35" s="57" t="str">
        <f>'RFPR cover'!$C$14</f>
        <v>£m 12/13</v>
      </c>
      <c r="D35" s="89">
        <f>D19+D31</f>
        <v>-2.3311779210598438</v>
      </c>
      <c r="E35" s="90">
        <f t="shared" ref="E35:K35" si="9">E19+E31</f>
        <v>0.33007608075572925</v>
      </c>
      <c r="F35" s="90">
        <f t="shared" si="9"/>
        <v>0.91263583514572133</v>
      </c>
      <c r="G35" s="90">
        <f t="shared" si="9"/>
        <v>-2.769960503618317</v>
      </c>
      <c r="H35" s="90">
        <f t="shared" si="9"/>
        <v>-10.879286565936384</v>
      </c>
      <c r="I35" s="90">
        <f t="shared" si="9"/>
        <v>2.438341612147271</v>
      </c>
      <c r="J35" s="90">
        <f t="shared" si="9"/>
        <v>-9.4756927765783505</v>
      </c>
      <c r="K35" s="90">
        <f t="shared" si="9"/>
        <v>13.079323581825228</v>
      </c>
      <c r="L35" s="89">
        <f>SUM(D35:INDEX(D35:K35,0,MATCH('RFPR cover'!$C$7,$D$6:$K$6,0)))</f>
        <v>-8.6957406573189466</v>
      </c>
      <c r="M35" s="91">
        <f>SUM(D35:K35)</f>
        <v>-8.6957406573189466</v>
      </c>
    </row>
    <row r="36" spans="2:20">
      <c r="B36" s="345" t="s">
        <v>11</v>
      </c>
      <c r="C36" s="145" t="str">
        <f>'RFPR cover'!$C$14</f>
        <v>£m 12/13</v>
      </c>
      <c r="D36" s="129">
        <f>SUM(D34:D35)</f>
        <v>-4.1744686987355433</v>
      </c>
      <c r="E36" s="130">
        <f t="shared" ref="E36:K36" si="10">SUM(E34:E35)</f>
        <v>0.59107125838325292</v>
      </c>
      <c r="F36" s="130">
        <f t="shared" si="10"/>
        <v>1.6342681065836953</v>
      </c>
      <c r="G36" s="130">
        <f t="shared" si="10"/>
        <v>-4.9602020140236078</v>
      </c>
      <c r="H36" s="130">
        <f t="shared" si="10"/>
        <v>-19.481670971483808</v>
      </c>
      <c r="I36" s="130">
        <f t="shared" si="10"/>
        <v>4.3663680256998454</v>
      </c>
      <c r="J36" s="130">
        <f t="shared" si="10"/>
        <v>-16.968238476056399</v>
      </c>
      <c r="K36" s="130">
        <f t="shared" si="10"/>
        <v>23.42130405393516</v>
      </c>
      <c r="L36" s="129">
        <f>SUM(D36:INDEX(D36:K36,0,MATCH('RFPR cover'!$C$7,$D$6:$K$6,0)))</f>
        <v>-15.57156871569741</v>
      </c>
      <c r="M36" s="131">
        <f>SUM(D36:K36)</f>
        <v>-15.57156871569741</v>
      </c>
    </row>
    <row r="38" spans="2:20">
      <c r="B38" s="675" t="str">
        <f>Data!B51</f>
        <v>n/a</v>
      </c>
      <c r="C38" s="140"/>
      <c r="D38" s="73"/>
      <c r="E38" s="73"/>
      <c r="F38" s="73"/>
      <c r="G38" s="73"/>
      <c r="H38" s="73"/>
      <c r="I38" s="73"/>
      <c r="J38" s="73"/>
      <c r="K38" s="73"/>
      <c r="L38" s="73"/>
      <c r="M38" s="73"/>
      <c r="N38" s="73"/>
    </row>
    <row r="39" spans="2:20">
      <c r="D39" s="1"/>
      <c r="E39" s="1"/>
      <c r="F39" s="1"/>
      <c r="G39" s="1"/>
      <c r="H39" s="1"/>
      <c r="I39" s="1"/>
      <c r="J39" s="1"/>
      <c r="K39" s="1"/>
      <c r="L39" s="1"/>
      <c r="M39" s="1"/>
      <c r="N39" s="1"/>
    </row>
    <row r="40" spans="2:20">
      <c r="B40" s="181" t="s">
        <v>34</v>
      </c>
      <c r="C40" s="57" t="str">
        <f>'RFPR cover'!$C$14</f>
        <v>£m 12/13</v>
      </c>
      <c r="D40" s="566"/>
      <c r="E40" s="567"/>
      <c r="F40" s="567"/>
      <c r="G40" s="567"/>
      <c r="H40" s="567"/>
      <c r="I40" s="567"/>
      <c r="J40" s="567"/>
      <c r="K40" s="567"/>
      <c r="L40" s="568">
        <f>SUM(D40:INDEX(D40:K40,0,MATCH('RFPR cover'!$C$7,$D$6:$K$6,0)))</f>
        <v>0</v>
      </c>
      <c r="M40" s="569">
        <f>SUM(D40:K40)</f>
        <v>0</v>
      </c>
      <c r="N40" s="308"/>
      <c r="O40" s="54"/>
    </row>
    <row r="41" spans="2:20" ht="27">
      <c r="B41" s="409" t="s">
        <v>500</v>
      </c>
      <c r="C41" s="57" t="str">
        <f>'RFPR cover'!$C$14</f>
        <v>£m 12/13</v>
      </c>
      <c r="D41" s="570"/>
      <c r="E41" s="571"/>
      <c r="F41" s="571"/>
      <c r="G41" s="571"/>
      <c r="H41" s="571"/>
      <c r="I41" s="571"/>
      <c r="J41" s="571"/>
      <c r="K41" s="571"/>
      <c r="L41" s="572">
        <f>SUM(D41:INDEX(D41:K41,0,MATCH('RFPR cover'!$C$7,$D$6:$K$6,0)))</f>
        <v>0</v>
      </c>
      <c r="M41" s="573">
        <f>SUM(D41:K41)</f>
        <v>0</v>
      </c>
      <c r="N41" s="308"/>
      <c r="O41" s="54"/>
    </row>
    <row r="42" spans="2:20">
      <c r="B42" s="224" t="s">
        <v>194</v>
      </c>
      <c r="C42" s="57" t="str">
        <f>'RFPR cover'!$C$14</f>
        <v>£m 12/13</v>
      </c>
      <c r="D42" s="93">
        <f>D41-D40</f>
        <v>0</v>
      </c>
      <c r="E42" s="94">
        <f t="shared" ref="E42:M42" si="11">E41-E40</f>
        <v>0</v>
      </c>
      <c r="F42" s="94">
        <f t="shared" si="11"/>
        <v>0</v>
      </c>
      <c r="G42" s="94">
        <f t="shared" si="11"/>
        <v>0</v>
      </c>
      <c r="H42" s="94">
        <f t="shared" si="11"/>
        <v>0</v>
      </c>
      <c r="I42" s="94">
        <f t="shared" si="11"/>
        <v>0</v>
      </c>
      <c r="J42" s="94">
        <f t="shared" si="11"/>
        <v>0</v>
      </c>
      <c r="K42" s="94">
        <f t="shared" si="11"/>
        <v>0</v>
      </c>
      <c r="L42" s="311">
        <f t="shared" si="11"/>
        <v>0</v>
      </c>
      <c r="M42" s="312">
        <f t="shared" si="11"/>
        <v>0</v>
      </c>
      <c r="N42" s="309"/>
      <c r="O42" s="854"/>
      <c r="P42" s="854"/>
      <c r="Q42" s="854"/>
      <c r="R42"/>
      <c r="S42"/>
      <c r="T42"/>
    </row>
    <row r="43" spans="2:20">
      <c r="B43" s="224"/>
      <c r="C43" s="57"/>
      <c r="D43" s="50"/>
      <c r="E43" s="50"/>
      <c r="F43" s="50"/>
      <c r="G43" s="50"/>
      <c r="H43" s="50"/>
      <c r="I43" s="50"/>
      <c r="J43" s="50"/>
      <c r="K43" s="50"/>
      <c r="L43" s="50"/>
      <c r="M43" s="50"/>
      <c r="N43" s="305"/>
      <c r="O43" s="55"/>
      <c r="P43" s="55"/>
      <c r="Q43" s="55"/>
      <c r="R43"/>
      <c r="S43"/>
      <c r="T43"/>
    </row>
    <row r="44" spans="2:20">
      <c r="B44" s="120" t="s">
        <v>177</v>
      </c>
      <c r="C44" s="127" t="s">
        <v>7</v>
      </c>
      <c r="D44" s="100">
        <f>1-INDEX(Data!$D$73:$D$100,MATCH('RFPR cover'!$C$5,Data!$B$73:$B$100,0),0)</f>
        <v>0.44156296542217133</v>
      </c>
      <c r="E44" s="101">
        <f>1-INDEX(Data!$D$73:$D$100,MATCH('RFPR cover'!$C$5,Data!$B$73:$B$100,0),0)</f>
        <v>0.44156296542217133</v>
      </c>
      <c r="F44" s="101">
        <f>1-INDEX(Data!$D$73:$D$100,MATCH('RFPR cover'!$C$5,Data!$B$73:$B$100,0),0)</f>
        <v>0.44156296542217133</v>
      </c>
      <c r="G44" s="101">
        <f>1-INDEX(Data!$D$73:$D$100,MATCH('RFPR cover'!$C$5,Data!$B$73:$B$100,0),0)</f>
        <v>0.44156296542217133</v>
      </c>
      <c r="H44" s="101">
        <f>1-INDEX(Data!$D$73:$D$100,MATCH('RFPR cover'!$C$5,Data!$B$73:$B$100,0),0)</f>
        <v>0.44156296542217133</v>
      </c>
      <c r="I44" s="101">
        <f>1-INDEX(Data!$D$73:$D$100,MATCH('RFPR cover'!$C$5,Data!$B$73:$B$100,0),0)</f>
        <v>0.44156296542217133</v>
      </c>
      <c r="J44" s="101">
        <f>1-INDEX(Data!$D$73:$D$100,MATCH('RFPR cover'!$C$5,Data!$B$73:$B$100,0),0)</f>
        <v>0.44156296542217133</v>
      </c>
      <c r="K44" s="102">
        <f>1-INDEX(Data!$D$73:$D$100,MATCH('RFPR cover'!$C$5,Data!$B$73:$B$100,0),0)</f>
        <v>0.44156296542217133</v>
      </c>
      <c r="L44" s="53"/>
      <c r="M44" s="53"/>
      <c r="N44" s="306"/>
      <c r="O44"/>
      <c r="P44"/>
      <c r="Q44"/>
      <c r="R44"/>
      <c r="S44"/>
      <c r="T44"/>
    </row>
    <row r="45" spans="2:20">
      <c r="N45" s="307"/>
      <c r="O45"/>
      <c r="P45"/>
      <c r="Q45"/>
      <c r="R45"/>
      <c r="S45"/>
      <c r="T45"/>
    </row>
    <row r="46" spans="2:20">
      <c r="B46" s="120" t="s">
        <v>182</v>
      </c>
      <c r="C46" s="57" t="str">
        <f>'RFPR cover'!$C$14</f>
        <v>£m 12/13</v>
      </c>
      <c r="D46" s="86">
        <f>D42*D44</f>
        <v>0</v>
      </c>
      <c r="E46" s="87">
        <f t="shared" ref="E46:K46" si="12">E42*E44</f>
        <v>0</v>
      </c>
      <c r="F46" s="87">
        <f t="shared" si="12"/>
        <v>0</v>
      </c>
      <c r="G46" s="87">
        <f t="shared" si="12"/>
        <v>0</v>
      </c>
      <c r="H46" s="87">
        <f t="shared" si="12"/>
        <v>0</v>
      </c>
      <c r="I46" s="87">
        <f t="shared" si="12"/>
        <v>0</v>
      </c>
      <c r="J46" s="87">
        <f t="shared" si="12"/>
        <v>0</v>
      </c>
      <c r="K46" s="87">
        <f t="shared" si="12"/>
        <v>0</v>
      </c>
      <c r="L46" s="313">
        <f>SUM(D46:INDEX(D46:K46,0,MATCH('RFPR cover'!$C$7,$D$6:$K$6,0)))</f>
        <v>0</v>
      </c>
      <c r="M46" s="500">
        <f>SUM(D46:K46)</f>
        <v>0</v>
      </c>
      <c r="N46" s="309"/>
      <c r="O46"/>
      <c r="P46"/>
      <c r="Q46"/>
      <c r="R46"/>
      <c r="S46"/>
      <c r="T46"/>
    </row>
    <row r="47" spans="2:20">
      <c r="B47" s="120" t="s">
        <v>279</v>
      </c>
      <c r="C47" s="57" t="str">
        <f>'RFPR cover'!$C$14</f>
        <v>£m 12/13</v>
      </c>
      <c r="D47" s="502">
        <f>D42*(1-D44)</f>
        <v>0</v>
      </c>
      <c r="E47" s="503">
        <f t="shared" ref="E47:K47" si="13">E42*(1-E44)</f>
        <v>0</v>
      </c>
      <c r="F47" s="503">
        <f t="shared" si="13"/>
        <v>0</v>
      </c>
      <c r="G47" s="503">
        <f t="shared" si="13"/>
        <v>0</v>
      </c>
      <c r="H47" s="503">
        <f t="shared" si="13"/>
        <v>0</v>
      </c>
      <c r="I47" s="503">
        <f t="shared" si="13"/>
        <v>0</v>
      </c>
      <c r="J47" s="503">
        <f t="shared" si="13"/>
        <v>0</v>
      </c>
      <c r="K47" s="503">
        <f t="shared" si="13"/>
        <v>0</v>
      </c>
      <c r="L47" s="504">
        <f>SUM(D47:INDEX(D47:K47,0,MATCH('RFPR cover'!$C$7,$D$6:$K$6,0)))</f>
        <v>0</v>
      </c>
      <c r="M47" s="505">
        <f>SUM(D47:K47)</f>
        <v>0</v>
      </c>
      <c r="N47" s="309"/>
      <c r="O47"/>
      <c r="P47"/>
      <c r="Q47"/>
      <c r="R47"/>
      <c r="S47"/>
      <c r="T47"/>
    </row>
    <row r="48" spans="2:20">
      <c r="N48" s="307"/>
      <c r="O48"/>
      <c r="P48"/>
      <c r="Q48"/>
      <c r="R48"/>
      <c r="S48"/>
      <c r="T48"/>
    </row>
    <row r="49" spans="1:20">
      <c r="B49" s="345" t="s">
        <v>181</v>
      </c>
      <c r="N49" s="307"/>
      <c r="O49"/>
      <c r="P49"/>
      <c r="Q49"/>
      <c r="R49"/>
      <c r="S49"/>
      <c r="T49"/>
    </row>
    <row r="50" spans="1:20">
      <c r="A50" s="3" t="s">
        <v>150</v>
      </c>
      <c r="B50" s="447" t="s">
        <v>241</v>
      </c>
      <c r="C50" s="57" t="str">
        <f>'RFPR cover'!$C$14</f>
        <v>£m 12/13</v>
      </c>
      <c r="D50" s="506"/>
      <c r="E50" s="507"/>
      <c r="F50" s="507"/>
      <c r="G50" s="507"/>
      <c r="H50" s="507"/>
      <c r="I50" s="507"/>
      <c r="J50" s="507"/>
      <c r="K50" s="507"/>
      <c r="L50" s="574">
        <f>SUM(D50:INDEX(D50:K50,0,MATCH('RFPR cover'!$C$7,$D$6:$K$6,0)))</f>
        <v>0</v>
      </c>
      <c r="M50" s="575">
        <f t="shared" ref="M50:M56" si="14">SUM(D50:K50)</f>
        <v>0</v>
      </c>
      <c r="N50" s="497"/>
      <c r="O50"/>
      <c r="P50"/>
      <c r="Q50"/>
      <c r="R50"/>
      <c r="S50"/>
      <c r="T50"/>
    </row>
    <row r="51" spans="1:20">
      <c r="A51" s="3" t="s">
        <v>151</v>
      </c>
      <c r="B51" s="447" t="s">
        <v>241</v>
      </c>
      <c r="C51" s="57" t="str">
        <f>'RFPR cover'!$C$14</f>
        <v>£m 12/13</v>
      </c>
      <c r="D51" s="510"/>
      <c r="E51" s="511"/>
      <c r="F51" s="511"/>
      <c r="G51" s="511"/>
      <c r="H51" s="511"/>
      <c r="I51" s="511"/>
      <c r="J51" s="511"/>
      <c r="K51" s="511"/>
      <c r="L51" s="576">
        <f>SUM(D51:INDEX(D51:K51,0,MATCH('RFPR cover'!$C$7,$D$6:$K$6,0)))</f>
        <v>0</v>
      </c>
      <c r="M51" s="577">
        <f t="shared" si="14"/>
        <v>0</v>
      </c>
      <c r="N51" s="498"/>
      <c r="O51"/>
      <c r="P51"/>
      <c r="Q51"/>
      <c r="R51"/>
      <c r="S51"/>
      <c r="T51"/>
    </row>
    <row r="52" spans="1:20">
      <c r="A52" s="3" t="s">
        <v>152</v>
      </c>
      <c r="B52" s="447" t="s">
        <v>241</v>
      </c>
      <c r="C52" s="57" t="str">
        <f>'RFPR cover'!$C$14</f>
        <v>£m 12/13</v>
      </c>
      <c r="D52" s="510"/>
      <c r="E52" s="511"/>
      <c r="F52" s="511"/>
      <c r="G52" s="511"/>
      <c r="H52" s="511"/>
      <c r="I52" s="511"/>
      <c r="J52" s="511"/>
      <c r="K52" s="511"/>
      <c r="L52" s="576">
        <f>SUM(D52:INDEX(D52:K52,0,MATCH('RFPR cover'!$C$7,$D$6:$K$6,0)))</f>
        <v>0</v>
      </c>
      <c r="M52" s="577">
        <f t="shared" si="14"/>
        <v>0</v>
      </c>
      <c r="N52" s="498"/>
      <c r="O52"/>
      <c r="P52"/>
      <c r="Q52"/>
      <c r="R52"/>
      <c r="S52" s="56"/>
      <c r="T52"/>
    </row>
    <row r="53" spans="1:20">
      <c r="A53" s="3" t="s">
        <v>167</v>
      </c>
      <c r="B53" s="447" t="s">
        <v>241</v>
      </c>
      <c r="C53" s="57" t="str">
        <f>'RFPR cover'!$C$14</f>
        <v>£m 12/13</v>
      </c>
      <c r="D53" s="510"/>
      <c r="E53" s="511"/>
      <c r="F53" s="511"/>
      <c r="G53" s="511"/>
      <c r="H53" s="511"/>
      <c r="I53" s="511"/>
      <c r="J53" s="511"/>
      <c r="K53" s="511"/>
      <c r="L53" s="576">
        <f>SUM(D53:INDEX(D53:K53,0,MATCH('RFPR cover'!$C$7,$D$6:$K$6,0)))</f>
        <v>0</v>
      </c>
      <c r="M53" s="577">
        <f t="shared" si="14"/>
        <v>0</v>
      </c>
      <c r="N53" s="498"/>
      <c r="O53"/>
      <c r="P53"/>
      <c r="Q53"/>
      <c r="R53"/>
      <c r="S53"/>
      <c r="T53"/>
    </row>
    <row r="54" spans="1:20">
      <c r="A54" s="3" t="s">
        <v>168</v>
      </c>
      <c r="B54" s="447" t="s">
        <v>241</v>
      </c>
      <c r="C54" s="57" t="str">
        <f>'RFPR cover'!$C$14</f>
        <v>£m 12/13</v>
      </c>
      <c r="D54" s="510"/>
      <c r="E54" s="511"/>
      <c r="F54" s="511"/>
      <c r="G54" s="511"/>
      <c r="H54" s="511"/>
      <c r="I54" s="511"/>
      <c r="J54" s="511"/>
      <c r="K54" s="511"/>
      <c r="L54" s="576">
        <f>SUM(D54:INDEX(D54:K54,0,MATCH('RFPR cover'!$C$7,$D$6:$K$6,0)))</f>
        <v>0</v>
      </c>
      <c r="M54" s="577">
        <f t="shared" si="14"/>
        <v>0</v>
      </c>
      <c r="N54" s="498"/>
      <c r="O54"/>
      <c r="P54"/>
      <c r="Q54"/>
      <c r="R54"/>
      <c r="S54"/>
      <c r="T54"/>
    </row>
    <row r="55" spans="1:20">
      <c r="A55" s="3" t="s">
        <v>169</v>
      </c>
      <c r="B55" s="447" t="s">
        <v>241</v>
      </c>
      <c r="C55" s="57" t="str">
        <f>'RFPR cover'!$C$14</f>
        <v>£m 12/13</v>
      </c>
      <c r="D55" s="514"/>
      <c r="E55" s="515"/>
      <c r="F55" s="515"/>
      <c r="G55" s="515"/>
      <c r="H55" s="515"/>
      <c r="I55" s="515"/>
      <c r="J55" s="515"/>
      <c r="K55" s="515"/>
      <c r="L55" s="578">
        <f>SUM(D55:INDEX(D55:K55,0,MATCH('RFPR cover'!$C$7,$D$6:$K$6,0)))</f>
        <v>0</v>
      </c>
      <c r="M55" s="579">
        <f t="shared" si="14"/>
        <v>0</v>
      </c>
      <c r="N55" s="499"/>
      <c r="O55"/>
      <c r="P55"/>
      <c r="Q55"/>
      <c r="R55"/>
      <c r="S55"/>
      <c r="T55"/>
    </row>
    <row r="56" spans="1:20">
      <c r="B56" s="345" t="s">
        <v>189</v>
      </c>
      <c r="C56" s="57" t="str">
        <f>'RFPR cover'!$C$14</f>
        <v>£m 12/13</v>
      </c>
      <c r="D56" s="93">
        <f>SUM(D50:D55)</f>
        <v>0</v>
      </c>
      <c r="E56" s="94">
        <f t="shared" ref="E56:K56" si="15">SUM(E50:E55)</f>
        <v>0</v>
      </c>
      <c r="F56" s="94">
        <f t="shared" si="15"/>
        <v>0</v>
      </c>
      <c r="G56" s="94">
        <f t="shared" si="15"/>
        <v>0</v>
      </c>
      <c r="H56" s="94">
        <f t="shared" si="15"/>
        <v>0</v>
      </c>
      <c r="I56" s="94">
        <f t="shared" si="15"/>
        <v>0</v>
      </c>
      <c r="J56" s="94">
        <f t="shared" si="15"/>
        <v>0</v>
      </c>
      <c r="K56" s="94">
        <f t="shared" si="15"/>
        <v>0</v>
      </c>
      <c r="L56" s="311">
        <f>SUM(D56:INDEX(D56:K56,0,MATCH('RFPR cover'!$C$7,$D$6:$K$6,0)))</f>
        <v>0</v>
      </c>
      <c r="M56" s="312">
        <f t="shared" si="14"/>
        <v>0</v>
      </c>
      <c r="N56" s="309"/>
    </row>
    <row r="57" spans="1:20">
      <c r="N57" s="307"/>
    </row>
    <row r="58" spans="1:20">
      <c r="B58" s="120" t="s">
        <v>197</v>
      </c>
      <c r="C58" s="57" t="str">
        <f>'RFPR cover'!$C$14</f>
        <v>£m 12/13</v>
      </c>
      <c r="D58" s="86">
        <f t="shared" ref="D58:K58" si="16">D56*D44</f>
        <v>0</v>
      </c>
      <c r="E58" s="87">
        <f t="shared" si="16"/>
        <v>0</v>
      </c>
      <c r="F58" s="87">
        <f t="shared" si="16"/>
        <v>0</v>
      </c>
      <c r="G58" s="87">
        <f t="shared" si="16"/>
        <v>0</v>
      </c>
      <c r="H58" s="87">
        <f t="shared" si="16"/>
        <v>0</v>
      </c>
      <c r="I58" s="87">
        <f t="shared" si="16"/>
        <v>0</v>
      </c>
      <c r="J58" s="87">
        <f t="shared" si="16"/>
        <v>0</v>
      </c>
      <c r="K58" s="87">
        <f t="shared" si="16"/>
        <v>0</v>
      </c>
      <c r="L58" s="313">
        <f>SUM(D58:INDEX(D58:K58,0,MATCH('RFPR cover'!$C$7,$D$6:$K$6,0)))</f>
        <v>0</v>
      </c>
      <c r="M58" s="500">
        <f>SUM(D58:K58)</f>
        <v>0</v>
      </c>
      <c r="N58" s="309"/>
    </row>
    <row r="59" spans="1:20">
      <c r="B59" s="120" t="s">
        <v>306</v>
      </c>
      <c r="C59" s="57" t="str">
        <f>'RFPR cover'!$C$14</f>
        <v>£m 12/13</v>
      </c>
      <c r="D59" s="83">
        <f t="shared" ref="D59:K59" si="17">D56*(1-D44)</f>
        <v>0</v>
      </c>
      <c r="E59" s="84">
        <f t="shared" si="17"/>
        <v>0</v>
      </c>
      <c r="F59" s="84">
        <f t="shared" si="17"/>
        <v>0</v>
      </c>
      <c r="G59" s="84">
        <f t="shared" si="17"/>
        <v>0</v>
      </c>
      <c r="H59" s="84">
        <f t="shared" si="17"/>
        <v>0</v>
      </c>
      <c r="I59" s="84">
        <f t="shared" si="17"/>
        <v>0</v>
      </c>
      <c r="J59" s="84">
        <f t="shared" si="17"/>
        <v>0</v>
      </c>
      <c r="K59" s="84">
        <f t="shared" si="17"/>
        <v>0</v>
      </c>
      <c r="L59" s="314">
        <f>SUM(D59:INDEX(D59:K59,0,MATCH('RFPR cover'!$C$7,$D$6:$K$6,0)))</f>
        <v>0</v>
      </c>
      <c r="M59" s="501">
        <f>SUM(D59:K59)</f>
        <v>0</v>
      </c>
      <c r="N59" s="309"/>
    </row>
    <row r="60" spans="1:20">
      <c r="N60" s="307"/>
    </row>
    <row r="61" spans="1:20">
      <c r="B61" s="345" t="s">
        <v>180</v>
      </c>
      <c r="N61" s="307"/>
    </row>
    <row r="62" spans="1:20">
      <c r="B62" s="120" t="s">
        <v>179</v>
      </c>
      <c r="C62" s="57" t="str">
        <f>'RFPR cover'!$C$14</f>
        <v>£m 12/13</v>
      </c>
      <c r="D62" s="86">
        <f>D46+D58</f>
        <v>0</v>
      </c>
      <c r="E62" s="87">
        <f t="shared" ref="E62:K62" si="18">E46+E58</f>
        <v>0</v>
      </c>
      <c r="F62" s="87">
        <f t="shared" si="18"/>
        <v>0</v>
      </c>
      <c r="G62" s="87">
        <f t="shared" si="18"/>
        <v>0</v>
      </c>
      <c r="H62" s="87">
        <f t="shared" si="18"/>
        <v>0</v>
      </c>
      <c r="I62" s="87">
        <f t="shared" si="18"/>
        <v>0</v>
      </c>
      <c r="J62" s="87">
        <f t="shared" si="18"/>
        <v>0</v>
      </c>
      <c r="K62" s="87">
        <f t="shared" si="18"/>
        <v>0</v>
      </c>
      <c r="L62" s="313">
        <f>SUM(D62:INDEX(D62:K62,0,MATCH('RFPR cover'!$C$7,$D$6:$K$6,0)))</f>
        <v>0</v>
      </c>
      <c r="M62" s="500">
        <f>SUM(D62:K62)</f>
        <v>0</v>
      </c>
      <c r="N62" s="309"/>
    </row>
    <row r="63" spans="1:20">
      <c r="B63" s="120" t="s">
        <v>279</v>
      </c>
      <c r="C63" s="57" t="str">
        <f>'RFPR cover'!$C$14</f>
        <v>£m 12/13</v>
      </c>
      <c r="D63" s="89">
        <f>D47+D59</f>
        <v>0</v>
      </c>
      <c r="E63" s="90">
        <f t="shared" ref="E63:K63" si="19">E47+E59</f>
        <v>0</v>
      </c>
      <c r="F63" s="90">
        <f t="shared" si="19"/>
        <v>0</v>
      </c>
      <c r="G63" s="90">
        <f t="shared" si="19"/>
        <v>0</v>
      </c>
      <c r="H63" s="90">
        <f t="shared" si="19"/>
        <v>0</v>
      </c>
      <c r="I63" s="90">
        <f t="shared" si="19"/>
        <v>0</v>
      </c>
      <c r="J63" s="90">
        <f t="shared" si="19"/>
        <v>0</v>
      </c>
      <c r="K63" s="90">
        <f t="shared" si="19"/>
        <v>0</v>
      </c>
      <c r="L63" s="315">
        <f>SUM(D63:INDEX(D63:K63,0,MATCH('RFPR cover'!$C$7,$D$6:$K$6,0)))</f>
        <v>0</v>
      </c>
      <c r="M63" s="501">
        <f>SUM(D63:K63)</f>
        <v>0</v>
      </c>
      <c r="N63" s="309"/>
    </row>
    <row r="64" spans="1:20">
      <c r="B64" s="345" t="s">
        <v>11</v>
      </c>
      <c r="C64" s="145" t="str">
        <f>'RFPR cover'!$C$14</f>
        <v>£m 12/13</v>
      </c>
      <c r="D64" s="129">
        <f>SUM(D62:D63)</f>
        <v>0</v>
      </c>
      <c r="E64" s="130">
        <f t="shared" ref="E64:K64" si="20">SUM(E62:E63)</f>
        <v>0</v>
      </c>
      <c r="F64" s="130">
        <f t="shared" si="20"/>
        <v>0</v>
      </c>
      <c r="G64" s="130">
        <f t="shared" si="20"/>
        <v>0</v>
      </c>
      <c r="H64" s="130">
        <f t="shared" si="20"/>
        <v>0</v>
      </c>
      <c r="I64" s="130">
        <f t="shared" si="20"/>
        <v>0</v>
      </c>
      <c r="J64" s="130">
        <f t="shared" si="20"/>
        <v>0</v>
      </c>
      <c r="K64" s="130">
        <f t="shared" si="20"/>
        <v>0</v>
      </c>
      <c r="L64" s="316">
        <f>SUM(D64:INDEX(D64:K64,0,MATCH('RFPR cover'!$C$7,$D$6:$K$6,0)))</f>
        <v>0</v>
      </c>
      <c r="M64" s="317">
        <f>SUM(D64:K64)</f>
        <v>0</v>
      </c>
      <c r="N64" s="310"/>
    </row>
    <row r="65" spans="2:20">
      <c r="B65" s="345"/>
      <c r="C65" s="145"/>
      <c r="D65" s="145"/>
      <c r="E65" s="145"/>
      <c r="F65" s="145"/>
      <c r="G65" s="145"/>
      <c r="H65" s="145"/>
      <c r="I65" s="145"/>
      <c r="J65" s="145"/>
      <c r="K65" s="145"/>
      <c r="L65" s="145"/>
      <c r="M65" s="145"/>
    </row>
    <row r="66" spans="2:20">
      <c r="B66" s="675" t="s">
        <v>256</v>
      </c>
      <c r="C66" s="140"/>
      <c r="D66" s="73"/>
      <c r="E66" s="73"/>
      <c r="F66" s="73"/>
      <c r="G66" s="73"/>
      <c r="H66" s="73"/>
      <c r="I66" s="73"/>
      <c r="J66" s="73"/>
      <c r="K66" s="73"/>
      <c r="L66" s="73"/>
      <c r="M66" s="73"/>
      <c r="N66" s="73"/>
    </row>
    <row r="67" spans="2:20">
      <c r="O67"/>
      <c r="P67"/>
      <c r="Q67"/>
      <c r="R67"/>
      <c r="S67"/>
      <c r="T67"/>
    </row>
    <row r="68" spans="2:20">
      <c r="B68" s="345" t="s">
        <v>180</v>
      </c>
    </row>
    <row r="69" spans="2:20">
      <c r="B69" s="120" t="s">
        <v>179</v>
      </c>
      <c r="C69" s="57" t="str">
        <f>'RFPR cover'!$C$14</f>
        <v>£m 12/13</v>
      </c>
      <c r="D69" s="86">
        <f>D34+D62</f>
        <v>-1.8432907776756995</v>
      </c>
      <c r="E69" s="87">
        <f t="shared" ref="E69:K69" si="21">E34+E62</f>
        <v>0.26099517762752367</v>
      </c>
      <c r="F69" s="87">
        <f t="shared" si="21"/>
        <v>0.72163227143797393</v>
      </c>
      <c r="G69" s="87">
        <f t="shared" si="21"/>
        <v>-2.1902415104052912</v>
      </c>
      <c r="H69" s="87">
        <f t="shared" si="21"/>
        <v>-8.6023844055474239</v>
      </c>
      <c r="I69" s="87">
        <f t="shared" si="21"/>
        <v>1.9280264135525744</v>
      </c>
      <c r="J69" s="87">
        <f t="shared" si="21"/>
        <v>-7.4925456994780486</v>
      </c>
      <c r="K69" s="87">
        <f t="shared" si="21"/>
        <v>10.341980472109931</v>
      </c>
      <c r="L69" s="86">
        <f>SUM(D69:INDEX(D69:K69,0,MATCH('RFPR cover'!$C$7,$D$6:$K$6,0)))</f>
        <v>-6.8758280583784597</v>
      </c>
      <c r="M69" s="88">
        <f>SUM(D69:K69)</f>
        <v>-6.8758280583784597</v>
      </c>
    </row>
    <row r="70" spans="2:20">
      <c r="B70" s="120" t="s">
        <v>279</v>
      </c>
      <c r="C70" s="57" t="str">
        <f>'RFPR cover'!$C$14</f>
        <v>£m 12/13</v>
      </c>
      <c r="D70" s="448">
        <f t="shared" ref="D70:K70" si="22">D35+D63</f>
        <v>-2.3311779210598438</v>
      </c>
      <c r="E70" s="449">
        <f t="shared" si="22"/>
        <v>0.33007608075572925</v>
      </c>
      <c r="F70" s="449">
        <f t="shared" si="22"/>
        <v>0.91263583514572133</v>
      </c>
      <c r="G70" s="449">
        <f t="shared" si="22"/>
        <v>-2.769960503618317</v>
      </c>
      <c r="H70" s="449">
        <f t="shared" si="22"/>
        <v>-10.879286565936384</v>
      </c>
      <c r="I70" s="449">
        <f t="shared" si="22"/>
        <v>2.438341612147271</v>
      </c>
      <c r="J70" s="449">
        <f t="shared" si="22"/>
        <v>-9.4756927765783505</v>
      </c>
      <c r="K70" s="449">
        <f t="shared" si="22"/>
        <v>13.079323581825228</v>
      </c>
      <c r="L70" s="448">
        <f>SUM(D70:INDEX(D70:K70,0,MATCH('RFPR cover'!$C$7,$D$6:$K$6,0)))</f>
        <v>-8.6957406573189466</v>
      </c>
      <c r="M70" s="450">
        <f>SUM(D70:K70)</f>
        <v>-8.6957406573189466</v>
      </c>
    </row>
    <row r="71" spans="2:20">
      <c r="B71" s="345" t="s">
        <v>11</v>
      </c>
      <c r="C71" s="145" t="str">
        <f>'RFPR cover'!$C$14</f>
        <v>£m 12/13</v>
      </c>
      <c r="D71" s="135">
        <f>SUM(D69:D70)</f>
        <v>-4.1744686987355433</v>
      </c>
      <c r="E71" s="136">
        <f t="shared" ref="E71:K71" si="23">SUM(E69:E70)</f>
        <v>0.59107125838325292</v>
      </c>
      <c r="F71" s="136">
        <f t="shared" si="23"/>
        <v>1.6342681065836953</v>
      </c>
      <c r="G71" s="136">
        <f t="shared" si="23"/>
        <v>-4.9602020140236078</v>
      </c>
      <c r="H71" s="136">
        <f t="shared" si="23"/>
        <v>-19.481670971483808</v>
      </c>
      <c r="I71" s="136">
        <f t="shared" si="23"/>
        <v>4.3663680256998454</v>
      </c>
      <c r="J71" s="136">
        <f t="shared" si="23"/>
        <v>-16.968238476056399</v>
      </c>
      <c r="K71" s="136">
        <f t="shared" si="23"/>
        <v>23.42130405393516</v>
      </c>
      <c r="L71" s="135">
        <f>SUM(D71:INDEX(D71:K71,0,MATCH('RFPR cover'!$C$7,$D$6:$K$6,0)))</f>
        <v>-15.57156871569741</v>
      </c>
      <c r="M71" s="137">
        <f>SUM(D71:K71)</f>
        <v>-15.57156871569741</v>
      </c>
    </row>
    <row r="72" spans="2:20">
      <c r="B72" s="345"/>
      <c r="C72" s="145"/>
      <c r="D72" s="145"/>
      <c r="E72" s="145"/>
      <c r="F72" s="145"/>
      <c r="G72" s="145"/>
      <c r="H72" s="145"/>
      <c r="I72" s="145"/>
      <c r="J72" s="145"/>
      <c r="K72" s="145"/>
      <c r="L72" s="145"/>
      <c r="M72" s="145"/>
    </row>
    <row r="74" spans="2:20">
      <c r="B74" s="675" t="s">
        <v>213</v>
      </c>
      <c r="C74" s="140"/>
      <c r="D74" s="72"/>
      <c r="E74" s="72"/>
      <c r="F74" s="72"/>
      <c r="G74" s="72"/>
      <c r="H74" s="72"/>
      <c r="I74" s="72"/>
      <c r="J74" s="72"/>
      <c r="K74" s="72"/>
      <c r="L74" s="72"/>
      <c r="M74" s="72"/>
      <c r="N74" s="72"/>
    </row>
    <row r="75" spans="2:20">
      <c r="B75" s="322" t="s">
        <v>212</v>
      </c>
      <c r="C75" s="321"/>
      <c r="D75" s="321"/>
      <c r="E75" s="321"/>
      <c r="F75" s="321"/>
      <c r="G75" s="321"/>
      <c r="H75" s="321"/>
      <c r="I75" s="321"/>
      <c r="J75" s="321"/>
      <c r="K75" s="321"/>
      <c r="L75" s="321"/>
      <c r="M75" s="321"/>
      <c r="N75" s="321"/>
    </row>
    <row r="76" spans="2:20">
      <c r="B76" s="377"/>
      <c r="C76" s="325"/>
      <c r="D76" s="325"/>
      <c r="E76" s="325"/>
      <c r="F76" s="325"/>
      <c r="G76" s="325"/>
      <c r="H76" s="325"/>
      <c r="I76" s="325"/>
      <c r="J76" s="325"/>
      <c r="K76" s="325"/>
      <c r="L76" s="325"/>
      <c r="M76" s="325"/>
      <c r="N76" s="325"/>
    </row>
    <row r="77" spans="2:20">
      <c r="B77" s="120" t="s">
        <v>216</v>
      </c>
      <c r="C77" s="57" t="str">
        <f>'RFPR cover'!$C$14</f>
        <v>£m 12/13</v>
      </c>
      <c r="D77" s="580">
        <f>INDEX(Data!$C$119:$L$146,MATCH('RFPR cover'!$C$5,Data!$B$119:$B$146,0),MATCH('R4 - Totex'!D$6,Data!$C$118:$L$118,0))</f>
        <v>-0.65871781800535345</v>
      </c>
      <c r="E77" s="581">
        <f>INDEX(Data!$C$119:$L$146,MATCH('RFPR cover'!$C$5,Data!$B$119:$B$146,0),MATCH('R4 - Totex'!E$6,Data!$C$118:$L$118,0))</f>
        <v>-0.63543772576063684</v>
      </c>
      <c r="F77" s="581">
        <f>INDEX(Data!$C$119:$L$146,MATCH('RFPR cover'!$C$5,Data!$B$119:$B$146,0),MATCH('R4 - Totex'!F$6,Data!$C$118:$L$118,0))</f>
        <v>-0.58907862874233818</v>
      </c>
      <c r="G77" s="581">
        <f>INDEX(Data!$C$119:$L$146,MATCH('RFPR cover'!$C$5,Data!$B$119:$B$146,0),MATCH('R4 - Totex'!G$6,Data!$C$118:$L$118,0))</f>
        <v>-0.58178188190178026</v>
      </c>
      <c r="H77" s="581">
        <f>INDEX(Data!$C$119:$L$146,MATCH('RFPR cover'!$C$5,Data!$B$119:$B$146,0),MATCH('R4 - Totex'!H$6,Data!$C$118:$L$118,0))</f>
        <v>-0.56823918867341305</v>
      </c>
      <c r="I77" s="581">
        <f>INDEX(Data!$C$119:$L$146,MATCH('RFPR cover'!$C$5,Data!$B$119:$B$146,0),MATCH('R4 - Totex'!I$6,Data!$C$118:$L$118,0))</f>
        <v>-0.51933170333654122</v>
      </c>
      <c r="J77" s="581">
        <f>INDEX(Data!$C$119:$L$146,MATCH('RFPR cover'!$C$5,Data!$B$119:$B$146,0),MATCH('R4 - Totex'!J$6,Data!$C$118:$L$118,0))</f>
        <v>-0.47962665852661612</v>
      </c>
      <c r="K77" s="582">
        <f>INDEX(Data!$C$119:$L$146,MATCH('RFPR cover'!$C$5,Data!$B$119:$B$146,0),MATCH('R4 - Totex'!K$6,Data!$C$118:$L$118,0))</f>
        <v>-0.4656874701170608</v>
      </c>
      <c r="L77" s="89">
        <f>SUM(D77:INDEX(D77:K77,0,MATCH('RFPR cover'!$C$7,$D$6:$K$6,0)))</f>
        <v>-4.4979010750637398</v>
      </c>
      <c r="M77" s="91">
        <f>SUM(D77:K77)</f>
        <v>-4.4979010750637398</v>
      </c>
    </row>
    <row r="78" spans="2:20">
      <c r="B78" s="120" t="s">
        <v>200</v>
      </c>
      <c r="C78" s="57" t="s">
        <v>7</v>
      </c>
      <c r="D78" s="749" t="str">
        <f>IF(INDEX(Data!$J$73:$J$100,MATCH('RFPR cover'!$C$5,Data!$B$73:$B$100,0),0)="Pre",INDEX(Data!$G$18:$G$27,MATCH('R4 - Totex'!D$6,Data!$C$18:$C$27,0),0),"n/a")</f>
        <v>n/a</v>
      </c>
      <c r="E78" s="749" t="str">
        <f>IF(INDEX(Data!$J$73:$J$100,MATCH('RFPR cover'!$C$5,Data!$B$73:$B$100,0),0)="Pre",INDEX(Data!$G$18:$G$27,MATCH('R4 - Totex'!E$6,Data!$C$18:$C$27,0),0),"n/a")</f>
        <v>n/a</v>
      </c>
      <c r="F78" s="749" t="str">
        <f>IF(INDEX(Data!$J$73:$J$100,MATCH('RFPR cover'!$C$5,Data!$B$73:$B$100,0),0)="Pre",INDEX(Data!$G$18:$G$27,MATCH('R4 - Totex'!F$6,Data!$C$18:$C$27,0),0),"n/a")</f>
        <v>n/a</v>
      </c>
      <c r="G78" s="749" t="str">
        <f>IF(INDEX(Data!$J$73:$J$100,MATCH('RFPR cover'!$C$5,Data!$B$73:$B$100,0),0)="Pre",INDEX(Data!$G$18:$G$27,MATCH('R4 - Totex'!G$6,Data!$C$18:$C$27,0),0),"n/a")</f>
        <v>n/a</v>
      </c>
      <c r="H78" s="749" t="str">
        <f>IF(INDEX(Data!$J$73:$J$100,MATCH('RFPR cover'!$C$5,Data!$B$73:$B$100,0),0)="Pre",INDEX(Data!$G$18:$G$27,MATCH('R4 - Totex'!H$6,Data!$C$18:$C$27,0),0),"n/a")</f>
        <v>n/a</v>
      </c>
      <c r="I78" s="749" t="str">
        <f>IF(INDEX(Data!$J$73:$J$100,MATCH('RFPR cover'!$C$5,Data!$B$73:$B$100,0),0)="Pre",INDEX(Data!$G$18:$G$27,MATCH('R4 - Totex'!I$6,Data!$C$18:$C$27,0),0),"n/a")</f>
        <v>n/a</v>
      </c>
      <c r="J78" s="749" t="str">
        <f>IF(INDEX(Data!$J$73:$J$100,MATCH('RFPR cover'!$C$5,Data!$B$73:$B$100,0),0)="Pre",INDEX(Data!$G$18:$G$27,MATCH('R4 - Totex'!J$6,Data!$C$18:$C$27,0),0),"n/a")</f>
        <v>n/a</v>
      </c>
      <c r="K78" s="749" t="str">
        <f>IF(INDEX(Data!$J$73:$J$100,MATCH('RFPR cover'!$C$5,Data!$B$73:$B$100,0),0)="Pre",INDEX(Data!$G$18:$G$27,MATCH('R4 - Totex'!K$6,Data!$C$18:$C$27,0),0),"n/a")</f>
        <v>n/a</v>
      </c>
      <c r="L78" s="747"/>
      <c r="M78" s="748"/>
    </row>
    <row r="79" spans="2:20">
      <c r="B79" s="120" t="s">
        <v>209</v>
      </c>
      <c r="C79" s="57" t="str">
        <f>'RFPR cover'!$C$14</f>
        <v>£m 12/13</v>
      </c>
      <c r="D79" s="534">
        <f>IF(ISNUMBER(D78),D77*(1-D78),D77)</f>
        <v>-0.65871781800535345</v>
      </c>
      <c r="E79" s="535">
        <f t="shared" ref="E79:K79" si="24">IF(ISNUMBER(E78),E77*(1-E78),E77)</f>
        <v>-0.63543772576063684</v>
      </c>
      <c r="F79" s="535">
        <f t="shared" si="24"/>
        <v>-0.58907862874233818</v>
      </c>
      <c r="G79" s="535">
        <f t="shared" si="24"/>
        <v>-0.58178188190178026</v>
      </c>
      <c r="H79" s="535">
        <f t="shared" si="24"/>
        <v>-0.56823918867341305</v>
      </c>
      <c r="I79" s="535">
        <f t="shared" si="24"/>
        <v>-0.51933170333654122</v>
      </c>
      <c r="J79" s="535">
        <f t="shared" si="24"/>
        <v>-0.47962665852661612</v>
      </c>
      <c r="K79" s="536">
        <f t="shared" si="24"/>
        <v>-0.4656874701170608</v>
      </c>
      <c r="L79" s="586">
        <f>SUM(D79:INDEX(D79:K79,0,MATCH('RFPR cover'!$C$7,$D$6:$K$6,0)))</f>
        <v>-4.4979010750637398</v>
      </c>
      <c r="M79" s="587">
        <f>SUM(D79:K79)</f>
        <v>-4.4979010750637398</v>
      </c>
    </row>
    <row r="80" spans="2:20">
      <c r="C80" s="57"/>
      <c r="D80" s="252"/>
      <c r="E80" s="252"/>
      <c r="F80" s="252"/>
      <c r="G80" s="252"/>
      <c r="H80" s="252"/>
      <c r="I80" s="252"/>
      <c r="J80" s="252"/>
      <c r="K80" s="252"/>
      <c r="L80" s="253"/>
      <c r="M80" s="253"/>
    </row>
    <row r="81" spans="2:20">
      <c r="C81" s="57"/>
      <c r="D81" s="252"/>
      <c r="E81" s="252"/>
      <c r="F81" s="252"/>
      <c r="G81" s="252"/>
      <c r="H81" s="252"/>
      <c r="I81" s="252"/>
      <c r="J81" s="252"/>
      <c r="K81" s="252"/>
      <c r="L81" s="253"/>
      <c r="M81" s="253"/>
    </row>
    <row r="82" spans="2:20">
      <c r="C82" s="57"/>
      <c r="D82" s="252"/>
      <c r="E82" s="252"/>
      <c r="F82" s="252"/>
      <c r="G82" s="252"/>
      <c r="H82" s="252"/>
      <c r="I82" s="252"/>
      <c r="J82" s="252"/>
      <c r="K82" s="252"/>
      <c r="L82" s="253"/>
      <c r="M82" s="253"/>
    </row>
    <row r="84" spans="2:20">
      <c r="B84" s="678" t="s">
        <v>186</v>
      </c>
      <c r="C84" s="259"/>
      <c r="D84" s="261"/>
      <c r="E84" s="261"/>
      <c r="F84" s="261"/>
      <c r="G84" s="261"/>
      <c r="H84" s="261"/>
      <c r="I84" s="261"/>
      <c r="J84" s="261"/>
      <c r="K84" s="261"/>
      <c r="L84" s="261"/>
      <c r="M84" s="261"/>
      <c r="N84" s="261"/>
    </row>
    <row r="85" spans="2:20">
      <c r="B85" s="345"/>
    </row>
    <row r="86" spans="2:20">
      <c r="B86" s="120" t="str">
        <f>Data!B34</f>
        <v>Financial Year Average RPI (RPIt)</v>
      </c>
      <c r="C86" s="127" t="s">
        <v>126</v>
      </c>
      <c r="D86" s="103">
        <f>Data!C$34</f>
        <v>1.0603167467048125</v>
      </c>
      <c r="E86" s="104">
        <f>Data!D$34</f>
        <v>1.0830366813119445</v>
      </c>
      <c r="F86" s="104">
        <f>Data!E$34</f>
        <v>1.1235639113109226</v>
      </c>
      <c r="G86" s="104">
        <f>Data!F$34</f>
        <v>1.1578951670583426</v>
      </c>
      <c r="H86" s="104">
        <f>Data!G$34</f>
        <v>1.1878696229692449</v>
      </c>
      <c r="I86" s="104">
        <f>Data!H$34</f>
        <v>1.2022764892203943</v>
      </c>
      <c r="J86" s="104">
        <f>Data!I$34</f>
        <v>1.2717196280780627</v>
      </c>
      <c r="K86" s="105">
        <f>Data!J$34</f>
        <v>1.4354429345049555</v>
      </c>
    </row>
    <row r="87" spans="2:20">
      <c r="D87" s="127"/>
      <c r="E87" s="127"/>
      <c r="F87" s="127"/>
      <c r="G87" s="127"/>
      <c r="H87" s="127"/>
      <c r="I87" s="127"/>
      <c r="J87" s="127"/>
      <c r="K87" s="127"/>
    </row>
    <row r="88" spans="2:20">
      <c r="B88" s="675" t="str">
        <f>B10</f>
        <v>Totex</v>
      </c>
      <c r="C88" s="140"/>
      <c r="D88" s="73"/>
      <c r="E88" s="73"/>
      <c r="F88" s="73"/>
      <c r="G88" s="73"/>
      <c r="H88" s="73"/>
      <c r="I88" s="73"/>
      <c r="J88" s="73"/>
      <c r="K88" s="73"/>
      <c r="L88" s="73"/>
      <c r="M88" s="73"/>
      <c r="N88" s="73"/>
    </row>
    <row r="89" spans="2:20">
      <c r="B89" s="345"/>
      <c r="D89" s="1"/>
      <c r="E89" s="1"/>
      <c r="F89" s="1"/>
      <c r="G89" s="1"/>
      <c r="H89" s="1"/>
      <c r="I89" s="1"/>
      <c r="J89" s="1"/>
      <c r="K89" s="1"/>
      <c r="L89" s="1"/>
      <c r="M89" s="1"/>
      <c r="N89" s="1"/>
    </row>
    <row r="90" spans="2:20">
      <c r="B90" s="181" t="s">
        <v>34</v>
      </c>
      <c r="C90" s="57" t="s">
        <v>127</v>
      </c>
      <c r="D90" s="589">
        <f t="shared" ref="D90:K91" si="25">D12*D$86</f>
        <v>188.55820133382358</v>
      </c>
      <c r="E90" s="589">
        <f t="shared" si="25"/>
        <v>188.61391377660269</v>
      </c>
      <c r="F90" s="589">
        <f t="shared" si="25"/>
        <v>176.73265374712204</v>
      </c>
      <c r="G90" s="589">
        <f t="shared" si="25"/>
        <v>187.00071318184905</v>
      </c>
      <c r="H90" s="589">
        <f t="shared" si="25"/>
        <v>215.3948992334719</v>
      </c>
      <c r="I90" s="589">
        <f t="shared" si="25"/>
        <v>213.39551337119343</v>
      </c>
      <c r="J90" s="589">
        <f t="shared" si="25"/>
        <v>205.33416954033783</v>
      </c>
      <c r="K90" s="589">
        <f t="shared" si="25"/>
        <v>182.17575674536721</v>
      </c>
      <c r="L90" s="588">
        <f>SUM(D90:INDEX(D90:K90,0,MATCH('RFPR cover'!$C$7,$D$6:$K$6,0)))</f>
        <v>1557.2058209297677</v>
      </c>
      <c r="M90" s="589">
        <f>SUM(D90:K90)</f>
        <v>1557.2058209297677</v>
      </c>
      <c r="N90" s="54"/>
      <c r="O90" s="54"/>
    </row>
    <row r="91" spans="2:20" ht="27">
      <c r="B91" s="409" t="s">
        <v>196</v>
      </c>
      <c r="C91" s="57" t="s">
        <v>127</v>
      </c>
      <c r="D91" s="589">
        <f t="shared" si="25"/>
        <v>194.26898516408198</v>
      </c>
      <c r="E91" s="589">
        <f t="shared" si="25"/>
        <v>194.90715936860457</v>
      </c>
      <c r="F91" s="589">
        <f t="shared" si="25"/>
        <v>188.7375262567104</v>
      </c>
      <c r="G91" s="589">
        <f t="shared" si="25"/>
        <v>191.68926342042732</v>
      </c>
      <c r="H91" s="589">
        <f t="shared" si="25"/>
        <v>195.64951611451289</v>
      </c>
      <c r="I91" s="589">
        <f t="shared" si="25"/>
        <v>183.61250915363439</v>
      </c>
      <c r="J91" s="589">
        <f t="shared" si="25"/>
        <v>182.38781366471173</v>
      </c>
      <c r="K91" s="589">
        <f t="shared" si="25"/>
        <v>240.61580888203383</v>
      </c>
      <c r="L91" s="590">
        <f>SUM(D91:INDEX(D91:K91,0,MATCH('RFPR cover'!$C$7,$D$6:$K$6,0)))</f>
        <v>1571.8685820247172</v>
      </c>
      <c r="M91" s="591">
        <f>SUM(D91:K91)</f>
        <v>1571.8685820247172</v>
      </c>
      <c r="N91" s="54"/>
      <c r="O91" s="54"/>
    </row>
    <row r="92" spans="2:20">
      <c r="B92" s="224" t="s">
        <v>194</v>
      </c>
      <c r="C92" s="57" t="s">
        <v>127</v>
      </c>
      <c r="D92" s="93">
        <f>D91-D90</f>
        <v>5.7107838302584071</v>
      </c>
      <c r="E92" s="94">
        <f t="shared" ref="E92:M92" si="26">E91-E90</f>
        <v>6.2932455920018811</v>
      </c>
      <c r="F92" s="94">
        <f t="shared" si="26"/>
        <v>12.004872509588353</v>
      </c>
      <c r="G92" s="94">
        <f t="shared" si="26"/>
        <v>4.6885502385782729</v>
      </c>
      <c r="H92" s="94">
        <f t="shared" si="26"/>
        <v>-19.745383118959012</v>
      </c>
      <c r="I92" s="94">
        <f t="shared" si="26"/>
        <v>-29.783004217559039</v>
      </c>
      <c r="J92" s="94">
        <f t="shared" si="26"/>
        <v>-22.946355875626097</v>
      </c>
      <c r="K92" s="95">
        <f t="shared" si="26"/>
        <v>58.440052136666623</v>
      </c>
      <c r="L92" s="93">
        <f t="shared" si="26"/>
        <v>14.662761094949474</v>
      </c>
      <c r="M92" s="95">
        <f t="shared" si="26"/>
        <v>14.662761094949474</v>
      </c>
      <c r="N92" s="54"/>
      <c r="O92" s="854"/>
      <c r="P92" s="854"/>
      <c r="Q92" s="854"/>
      <c r="R92"/>
      <c r="S92"/>
      <c r="T92"/>
    </row>
    <row r="93" spans="2:20">
      <c r="B93" s="224"/>
      <c r="C93" s="57"/>
      <c r="D93" s="50"/>
      <c r="E93" s="50"/>
      <c r="F93" s="50"/>
      <c r="G93" s="50"/>
      <c r="H93" s="50"/>
      <c r="I93" s="50"/>
      <c r="J93" s="50"/>
      <c r="K93" s="50"/>
      <c r="L93" s="50"/>
      <c r="M93" s="50"/>
      <c r="O93" s="55"/>
      <c r="P93" s="55"/>
      <c r="Q93" s="55"/>
      <c r="R93"/>
      <c r="S93"/>
      <c r="T93"/>
    </row>
    <row r="94" spans="2:20">
      <c r="B94" s="120" t="s">
        <v>177</v>
      </c>
      <c r="C94" s="127" t="s">
        <v>7</v>
      </c>
      <c r="D94" s="100">
        <f>1-INDEX(Data!$D$73:$D$100,MATCH('RFPR cover'!$C$5,Data!$B$73:$B$100,0),0)</f>
        <v>0.44156296542217133</v>
      </c>
      <c r="E94" s="101">
        <f>1-INDEX(Data!$D$73:$D$100,MATCH('RFPR cover'!$C$5,Data!$B$73:$B$100,0),0)</f>
        <v>0.44156296542217133</v>
      </c>
      <c r="F94" s="101">
        <f>1-INDEX(Data!$D$73:$D$100,MATCH('RFPR cover'!$C$5,Data!$B$73:$B$100,0),0)</f>
        <v>0.44156296542217133</v>
      </c>
      <c r="G94" s="101">
        <f>1-INDEX(Data!$D$73:$D$100,MATCH('RFPR cover'!$C$5,Data!$B$73:$B$100,0),0)</f>
        <v>0.44156296542217133</v>
      </c>
      <c r="H94" s="101">
        <f>1-INDEX(Data!$D$73:$D$100,MATCH('RFPR cover'!$C$5,Data!$B$73:$B$100,0),0)</f>
        <v>0.44156296542217133</v>
      </c>
      <c r="I94" s="101">
        <f>1-INDEX(Data!$D$73:$D$100,MATCH('RFPR cover'!$C$5,Data!$B$73:$B$100,0),0)</f>
        <v>0.44156296542217133</v>
      </c>
      <c r="J94" s="101">
        <f>1-INDEX(Data!$D$73:$D$100,MATCH('RFPR cover'!$C$5,Data!$B$73:$B$100,0),0)</f>
        <v>0.44156296542217133</v>
      </c>
      <c r="K94" s="102">
        <f>1-INDEX(Data!$D$73:$D$100,MATCH('RFPR cover'!$C$5,Data!$B$73:$B$100,0),0)</f>
        <v>0.44156296542217133</v>
      </c>
      <c r="L94" s="53"/>
      <c r="M94" s="53"/>
      <c r="O94"/>
      <c r="P94"/>
      <c r="Q94"/>
      <c r="R94"/>
      <c r="S94"/>
      <c r="T94"/>
    </row>
    <row r="95" spans="2:20">
      <c r="O95"/>
      <c r="P95"/>
      <c r="Q95"/>
      <c r="R95"/>
      <c r="S95"/>
      <c r="T95"/>
    </row>
    <row r="96" spans="2:20">
      <c r="B96" s="120" t="s">
        <v>182</v>
      </c>
      <c r="C96" s="57" t="s">
        <v>127</v>
      </c>
      <c r="D96" s="86">
        <f>D92*D94</f>
        <v>2.5216706429738882</v>
      </c>
      <c r="E96" s="87">
        <f t="shared" ref="E96:K96" si="27">E92*E94</f>
        <v>2.7788641857343586</v>
      </c>
      <c r="F96" s="87">
        <f t="shared" si="27"/>
        <v>5.3009071048489371</v>
      </c>
      <c r="G96" s="87">
        <f t="shared" si="27"/>
        <v>2.0702901468774511</v>
      </c>
      <c r="H96" s="87">
        <f t="shared" si="27"/>
        <v>-8.7188299234044244</v>
      </c>
      <c r="I96" s="87">
        <f t="shared" si="27"/>
        <v>-13.151071661486405</v>
      </c>
      <c r="J96" s="87">
        <f t="shared" si="27"/>
        <v>-10.132260946073924</v>
      </c>
      <c r="K96" s="87">
        <f t="shared" si="27"/>
        <v>25.804962720892814</v>
      </c>
      <c r="L96" s="86">
        <f>SUM(D96:INDEX(D96:K96,0,MATCH('RFPR cover'!$C$7,$D$6:$K$6,0)))</f>
        <v>6.474532270362694</v>
      </c>
      <c r="M96" s="88">
        <f>SUM(D96:K96)</f>
        <v>6.474532270362694</v>
      </c>
      <c r="O96"/>
      <c r="P96"/>
      <c r="Q96"/>
      <c r="R96"/>
      <c r="S96"/>
      <c r="T96"/>
    </row>
    <row r="97" spans="1:20">
      <c r="B97" s="120" t="s">
        <v>279</v>
      </c>
      <c r="C97" s="57" t="s">
        <v>127</v>
      </c>
      <c r="D97" s="83">
        <f>D92*(1-D94)</f>
        <v>3.1891131872845189</v>
      </c>
      <c r="E97" s="84">
        <f t="shared" ref="E97:K97" si="28">E92*(1-E94)</f>
        <v>3.5143814062675225</v>
      </c>
      <c r="F97" s="84">
        <f t="shared" si="28"/>
        <v>6.7039654047394155</v>
      </c>
      <c r="G97" s="84">
        <f t="shared" si="28"/>
        <v>2.6182600917008219</v>
      </c>
      <c r="H97" s="84">
        <f t="shared" si="28"/>
        <v>-11.026553195554587</v>
      </c>
      <c r="I97" s="84">
        <f t="shared" si="28"/>
        <v>-16.631932556072634</v>
      </c>
      <c r="J97" s="84">
        <f t="shared" si="28"/>
        <v>-12.814094929552173</v>
      </c>
      <c r="K97" s="84">
        <f t="shared" si="28"/>
        <v>32.635089415773813</v>
      </c>
      <c r="L97" s="83">
        <f>SUM(D97:INDEX(D97:K97,0,MATCH('RFPR cover'!$C$7,$D$6:$K$6,0)))</f>
        <v>8.1882288245866981</v>
      </c>
      <c r="M97" s="85">
        <f>SUM(D97:K97)</f>
        <v>8.1882288245866981</v>
      </c>
      <c r="O97"/>
      <c r="P97"/>
      <c r="Q97"/>
      <c r="R97"/>
      <c r="S97"/>
      <c r="T97"/>
    </row>
    <row r="98" spans="1:20">
      <c r="O98"/>
      <c r="P98"/>
      <c r="Q98"/>
      <c r="R98"/>
      <c r="S98"/>
      <c r="T98"/>
    </row>
    <row r="99" spans="1:20">
      <c r="B99" s="345" t="s">
        <v>181</v>
      </c>
      <c r="N99" s="54"/>
      <c r="O99"/>
      <c r="P99"/>
      <c r="Q99"/>
      <c r="R99"/>
      <c r="S99"/>
      <c r="T99"/>
    </row>
    <row r="100" spans="1:20">
      <c r="A100" s="3" t="s">
        <v>150</v>
      </c>
      <c r="B100" s="120" t="str">
        <f t="shared" ref="B100:B105" si="29">B22</f>
        <v>Smart Meter Roll-out updated allowances</v>
      </c>
      <c r="C100" s="57" t="s">
        <v>127</v>
      </c>
      <c r="D100" s="516">
        <f t="shared" ref="D100:K105" si="30">D22*D$86</f>
        <v>0</v>
      </c>
      <c r="E100" s="516">
        <f t="shared" si="30"/>
        <v>0</v>
      </c>
      <c r="F100" s="516">
        <f t="shared" si="30"/>
        <v>0</v>
      </c>
      <c r="G100" s="516">
        <f t="shared" si="30"/>
        <v>0</v>
      </c>
      <c r="H100" s="516">
        <f t="shared" si="30"/>
        <v>0</v>
      </c>
      <c r="I100" s="516">
        <f t="shared" si="30"/>
        <v>0</v>
      </c>
      <c r="J100" s="516">
        <f t="shared" si="30"/>
        <v>0</v>
      </c>
      <c r="K100" s="516">
        <f t="shared" si="30"/>
        <v>-0.73732100508020848</v>
      </c>
      <c r="L100" s="508">
        <f>SUM(D100:INDEX(D100:K100,0,MATCH('RFPR cover'!$C$7,$D$6:$K$6,0)))</f>
        <v>-0.73732100508020848</v>
      </c>
      <c r="M100" s="509">
        <f t="shared" ref="M100:M106" si="31">SUM(D100:K100)</f>
        <v>-0.73732100508020848</v>
      </c>
      <c r="N100" s="54"/>
      <c r="O100"/>
      <c r="P100"/>
      <c r="Q100"/>
      <c r="R100"/>
      <c r="S100"/>
      <c r="T100"/>
    </row>
    <row r="101" spans="1:20">
      <c r="A101" s="3" t="s">
        <v>151</v>
      </c>
      <c r="B101" s="120" t="str">
        <f t="shared" si="29"/>
        <v>Visual Amenity allowances</v>
      </c>
      <c r="C101" s="57" t="s">
        <v>127</v>
      </c>
      <c r="D101" s="516">
        <f t="shared" si="30"/>
        <v>0</v>
      </c>
      <c r="E101" s="516">
        <f t="shared" si="30"/>
        <v>0</v>
      </c>
      <c r="F101" s="516">
        <f t="shared" si="30"/>
        <v>0</v>
      </c>
      <c r="G101" s="516">
        <f t="shared" si="30"/>
        <v>0</v>
      </c>
      <c r="H101" s="516">
        <f t="shared" si="30"/>
        <v>0</v>
      </c>
      <c r="I101" s="516">
        <f t="shared" si="30"/>
        <v>0</v>
      </c>
      <c r="J101" s="516">
        <f t="shared" si="30"/>
        <v>0</v>
      </c>
      <c r="K101" s="516">
        <f t="shared" si="30"/>
        <v>0</v>
      </c>
      <c r="L101" s="512">
        <f>SUM(D101:INDEX(D101:K101,0,MATCH('RFPR cover'!$C$7,$D$6:$K$6,0)))</f>
        <v>0</v>
      </c>
      <c r="M101" s="513">
        <f t="shared" si="31"/>
        <v>0</v>
      </c>
      <c r="N101" s="54"/>
      <c r="O101"/>
      <c r="P101"/>
      <c r="Q101"/>
      <c r="R101"/>
      <c r="S101"/>
      <c r="T101"/>
    </row>
    <row r="102" spans="1:20">
      <c r="A102" s="3" t="s">
        <v>152</v>
      </c>
      <c r="B102" s="120" t="str">
        <f t="shared" si="29"/>
        <v>Street Works allowances</v>
      </c>
      <c r="C102" s="57" t="s">
        <v>127</v>
      </c>
      <c r="D102" s="516">
        <f t="shared" si="30"/>
        <v>0</v>
      </c>
      <c r="E102" s="516">
        <f t="shared" si="30"/>
        <v>0</v>
      </c>
      <c r="F102" s="516">
        <f t="shared" si="30"/>
        <v>0</v>
      </c>
      <c r="G102" s="516">
        <f t="shared" si="30"/>
        <v>0</v>
      </c>
      <c r="H102" s="516">
        <f t="shared" si="30"/>
        <v>0</v>
      </c>
      <c r="I102" s="516">
        <f t="shared" si="30"/>
        <v>0</v>
      </c>
      <c r="J102" s="516">
        <f t="shared" si="30"/>
        <v>0</v>
      </c>
      <c r="K102" s="516">
        <f t="shared" si="30"/>
        <v>-1.0989249693828422</v>
      </c>
      <c r="L102" s="512">
        <f>SUM(D102:INDEX(D102:K102,0,MATCH('RFPR cover'!$C$7,$D$6:$K$6,0)))</f>
        <v>-1.0989249693828422</v>
      </c>
      <c r="M102" s="513">
        <f t="shared" si="31"/>
        <v>-1.0989249693828422</v>
      </c>
      <c r="N102" s="54"/>
      <c r="O102"/>
      <c r="P102"/>
      <c r="Q102"/>
      <c r="R102"/>
      <c r="S102" s="56"/>
      <c r="T102"/>
    </row>
    <row r="103" spans="1:20">
      <c r="A103" s="3" t="s">
        <v>167</v>
      </c>
      <c r="B103" s="120" t="str">
        <f t="shared" si="29"/>
        <v>Adjustment to remove impact of re-phasing/timing differences</v>
      </c>
      <c r="C103" s="57" t="s">
        <v>127</v>
      </c>
      <c r="D103" s="516">
        <f t="shared" si="30"/>
        <v>-10.137042900122733</v>
      </c>
      <c r="E103" s="516">
        <f t="shared" si="30"/>
        <v>-5.6530937379035882</v>
      </c>
      <c r="F103" s="516">
        <f t="shared" si="30"/>
        <v>-10.168667843624505</v>
      </c>
      <c r="G103" s="516">
        <f t="shared" si="30"/>
        <v>-10.431944178249269</v>
      </c>
      <c r="H103" s="516">
        <f t="shared" si="30"/>
        <v>-3.3963020327483551</v>
      </c>
      <c r="I103" s="516">
        <f t="shared" si="30"/>
        <v>35.032585838141642</v>
      </c>
      <c r="J103" s="516">
        <f t="shared" si="30"/>
        <v>1.33612762028119</v>
      </c>
      <c r="K103" s="516">
        <f t="shared" si="30"/>
        <v>7.9089987402530939</v>
      </c>
      <c r="L103" s="512">
        <f>SUM(D103:INDEX(D103:K103,0,MATCH('RFPR cover'!$C$7,$D$6:$K$6,0)))</f>
        <v>4.490661506027477</v>
      </c>
      <c r="M103" s="513">
        <f t="shared" si="31"/>
        <v>4.490661506027477</v>
      </c>
      <c r="N103" s="54"/>
      <c r="O103"/>
      <c r="P103"/>
      <c r="Q103"/>
      <c r="R103"/>
      <c r="S103"/>
      <c r="T103"/>
    </row>
    <row r="104" spans="1:20">
      <c r="A104" s="3" t="s">
        <v>168</v>
      </c>
      <c r="B104" s="120" t="str">
        <f t="shared" si="29"/>
        <v>Green Recovery Scheme</v>
      </c>
      <c r="C104" s="57" t="s">
        <v>127</v>
      </c>
      <c r="D104" s="516">
        <f t="shared" si="30"/>
        <v>0</v>
      </c>
      <c r="E104" s="516">
        <f t="shared" si="30"/>
        <v>0</v>
      </c>
      <c r="F104" s="516">
        <f t="shared" si="30"/>
        <v>0</v>
      </c>
      <c r="G104" s="516">
        <f t="shared" si="30"/>
        <v>0</v>
      </c>
      <c r="H104" s="516">
        <f t="shared" si="30"/>
        <v>0</v>
      </c>
      <c r="I104" s="516">
        <f t="shared" si="30"/>
        <v>0</v>
      </c>
      <c r="J104" s="516">
        <f t="shared" si="30"/>
        <v>3.1386331434592615E-2</v>
      </c>
      <c r="K104" s="516">
        <f t="shared" si="30"/>
        <v>-30.892859481343152</v>
      </c>
      <c r="L104" s="512">
        <f>SUM(D104:INDEX(D104:K104,0,MATCH('RFPR cover'!$C$7,$D$6:$K$6,0)))</f>
        <v>-30.861473149908559</v>
      </c>
      <c r="M104" s="513">
        <f t="shared" si="31"/>
        <v>-30.861473149908559</v>
      </c>
      <c r="N104" s="54"/>
      <c r="O104"/>
      <c r="P104"/>
      <c r="Q104"/>
      <c r="R104"/>
      <c r="S104"/>
      <c r="T104"/>
    </row>
    <row r="105" spans="1:20">
      <c r="A105" s="3" t="s">
        <v>169</v>
      </c>
      <c r="B105" s="120" t="str">
        <f t="shared" si="29"/>
        <v>[Enduring Value adjustment]</v>
      </c>
      <c r="C105" s="57" t="s">
        <v>127</v>
      </c>
      <c r="D105" s="516">
        <f t="shared" si="30"/>
        <v>0</v>
      </c>
      <c r="E105" s="516">
        <f t="shared" si="30"/>
        <v>0</v>
      </c>
      <c r="F105" s="516">
        <f t="shared" si="30"/>
        <v>0</v>
      </c>
      <c r="G105" s="516">
        <f t="shared" si="30"/>
        <v>0</v>
      </c>
      <c r="H105" s="516">
        <f t="shared" si="30"/>
        <v>0</v>
      </c>
      <c r="I105" s="516">
        <f t="shared" si="30"/>
        <v>0</v>
      </c>
      <c r="J105" s="516">
        <f t="shared" si="30"/>
        <v>0</v>
      </c>
      <c r="K105" s="516">
        <f t="shared" si="30"/>
        <v>0</v>
      </c>
      <c r="L105" s="516">
        <f>SUM(D105:INDEX(D105:K105,0,MATCH('RFPR cover'!$C$7,$D$6:$K$6,0)))</f>
        <v>0</v>
      </c>
      <c r="M105" s="517">
        <f t="shared" si="31"/>
        <v>0</v>
      </c>
      <c r="N105" s="54"/>
      <c r="O105"/>
      <c r="P105"/>
      <c r="Q105"/>
      <c r="R105"/>
      <c r="S105"/>
      <c r="T105"/>
    </row>
    <row r="106" spans="1:20">
      <c r="B106" s="345" t="s">
        <v>189</v>
      </c>
      <c r="C106" s="57" t="s">
        <v>127</v>
      </c>
      <c r="D106" s="93">
        <f>SUM(D100:D105)</f>
        <v>-10.137042900122733</v>
      </c>
      <c r="E106" s="94">
        <f t="shared" ref="E106:K106" si="32">SUM(E100:E105)</f>
        <v>-5.6530937379035882</v>
      </c>
      <c r="F106" s="94">
        <f t="shared" si="32"/>
        <v>-10.168667843624505</v>
      </c>
      <c r="G106" s="94">
        <f t="shared" si="32"/>
        <v>-10.431944178249269</v>
      </c>
      <c r="H106" s="94">
        <f t="shared" si="32"/>
        <v>-3.3963020327483551</v>
      </c>
      <c r="I106" s="94">
        <f t="shared" si="32"/>
        <v>35.032585838141642</v>
      </c>
      <c r="J106" s="94">
        <f t="shared" si="32"/>
        <v>1.3675139517157826</v>
      </c>
      <c r="K106" s="95">
        <f t="shared" si="32"/>
        <v>-24.820106715553109</v>
      </c>
      <c r="L106" s="93">
        <f>SUM(D106:INDEX(D106:K106,0,MATCH('RFPR cover'!$C$7,$D$6:$K$6,0)))</f>
        <v>-28.207057618344134</v>
      </c>
      <c r="M106" s="95">
        <f t="shared" si="31"/>
        <v>-28.207057618344134</v>
      </c>
      <c r="N106" s="54"/>
    </row>
    <row r="108" spans="1:20">
      <c r="B108" s="120" t="s">
        <v>197</v>
      </c>
      <c r="C108" s="57" t="s">
        <v>127</v>
      </c>
      <c r="D108" s="86">
        <f t="shared" ref="D108:K108" si="33">D106*D94</f>
        <v>-4.4761427235899616</v>
      </c>
      <c r="E108" s="87">
        <f t="shared" si="33"/>
        <v>-2.4961968347182153</v>
      </c>
      <c r="F108" s="87">
        <f t="shared" si="33"/>
        <v>-4.4901071274239124</v>
      </c>
      <c r="G108" s="87">
        <f t="shared" si="33"/>
        <v>-4.6063602064663032</v>
      </c>
      <c r="H108" s="87">
        <f t="shared" si="33"/>
        <v>-1.4996811970497121</v>
      </c>
      <c r="I108" s="87">
        <f t="shared" si="33"/>
        <v>15.469092489096587</v>
      </c>
      <c r="J108" s="87">
        <f t="shared" si="33"/>
        <v>0.60384351577581297</v>
      </c>
      <c r="K108" s="87">
        <f t="shared" si="33"/>
        <v>-10.959639923414381</v>
      </c>
      <c r="L108" s="86">
        <f>SUM(D108:INDEX(D108:K108,0,MATCH('RFPR cover'!$C$7,$D$6:$K$6,0)))</f>
        <v>-12.455192007790084</v>
      </c>
      <c r="M108" s="88">
        <f>SUM(D108:K108)</f>
        <v>-12.455192007790084</v>
      </c>
    </row>
    <row r="109" spans="1:20">
      <c r="B109" s="120" t="s">
        <v>306</v>
      </c>
      <c r="C109" s="57" t="s">
        <v>127</v>
      </c>
      <c r="D109" s="83">
        <f t="shared" ref="D109:K109" si="34">D106*(1-D94)</f>
        <v>-5.6609001765327713</v>
      </c>
      <c r="E109" s="84">
        <f t="shared" si="34"/>
        <v>-3.1568969031853729</v>
      </c>
      <c r="F109" s="84">
        <f t="shared" si="34"/>
        <v>-5.6785607162005922</v>
      </c>
      <c r="G109" s="84">
        <f t="shared" si="34"/>
        <v>-5.8255839717829661</v>
      </c>
      <c r="H109" s="84">
        <f t="shared" si="34"/>
        <v>-1.8966208356986429</v>
      </c>
      <c r="I109" s="84">
        <f t="shared" si="34"/>
        <v>19.563493349045057</v>
      </c>
      <c r="J109" s="84">
        <f t="shared" si="34"/>
        <v>0.76367043593996964</v>
      </c>
      <c r="K109" s="84">
        <f t="shared" si="34"/>
        <v>-13.860466792138729</v>
      </c>
      <c r="L109" s="83">
        <f>SUM(D109:INDEX(D109:K109,0,MATCH('RFPR cover'!$C$7,$D$6:$K$6,0)))</f>
        <v>-15.751865610554045</v>
      </c>
      <c r="M109" s="85">
        <f>SUM(D109:K109)</f>
        <v>-15.751865610554045</v>
      </c>
    </row>
    <row r="111" spans="1:20">
      <c r="B111" s="345" t="s">
        <v>180</v>
      </c>
    </row>
    <row r="112" spans="1:20">
      <c r="B112" s="120" t="s">
        <v>179</v>
      </c>
      <c r="C112" s="57" t="s">
        <v>127</v>
      </c>
      <c r="D112" s="86">
        <f>D96+D108</f>
        <v>-1.9544720806160734</v>
      </c>
      <c r="E112" s="87">
        <f t="shared" ref="E112:K112" si="35">E96+E108</f>
        <v>0.28266735101614326</v>
      </c>
      <c r="F112" s="87">
        <f t="shared" si="35"/>
        <v>0.81079997742502474</v>
      </c>
      <c r="G112" s="87">
        <f t="shared" si="35"/>
        <v>-2.5360700595888521</v>
      </c>
      <c r="H112" s="87">
        <f t="shared" si="35"/>
        <v>-10.218511120454137</v>
      </c>
      <c r="I112" s="87">
        <f t="shared" si="35"/>
        <v>2.3180208276101819</v>
      </c>
      <c r="J112" s="87">
        <f t="shared" si="35"/>
        <v>-9.5284174302981111</v>
      </c>
      <c r="K112" s="87">
        <f t="shared" si="35"/>
        <v>14.845322797478433</v>
      </c>
      <c r="L112" s="86">
        <f>SUM(D112:INDEX(D112:K112,0,MATCH('RFPR cover'!$C$7,$D$6:$K$6,0)))</f>
        <v>-5.9806597374273895</v>
      </c>
      <c r="M112" s="88">
        <f>SUM(D112:K112)</f>
        <v>-5.9806597374273895</v>
      </c>
    </row>
    <row r="113" spans="1:20">
      <c r="B113" s="120" t="s">
        <v>279</v>
      </c>
      <c r="C113" s="57" t="s">
        <v>127</v>
      </c>
      <c r="D113" s="448">
        <f>D97+D109</f>
        <v>-2.4717869892482525</v>
      </c>
      <c r="E113" s="449">
        <f t="shared" ref="E113:K113" si="36">E97+E109</f>
        <v>0.35748450308214963</v>
      </c>
      <c r="F113" s="449">
        <f t="shared" si="36"/>
        <v>1.0254046885388233</v>
      </c>
      <c r="G113" s="449">
        <f t="shared" si="36"/>
        <v>-3.2073238800821442</v>
      </c>
      <c r="H113" s="449">
        <f t="shared" si="36"/>
        <v>-12.923174031253231</v>
      </c>
      <c r="I113" s="449">
        <f t="shared" si="36"/>
        <v>2.931560792972423</v>
      </c>
      <c r="J113" s="449">
        <f t="shared" si="36"/>
        <v>-12.050424493612203</v>
      </c>
      <c r="K113" s="449">
        <f t="shared" si="36"/>
        <v>18.774622623635082</v>
      </c>
      <c r="L113" s="448">
        <f>SUM(D113:INDEX(D113:K113,0,MATCH('RFPR cover'!$C$7,$D$6:$K$6,0)))</f>
        <v>-7.5636367859673541</v>
      </c>
      <c r="M113" s="450">
        <f>SUM(D113:K113)</f>
        <v>-7.5636367859673541</v>
      </c>
    </row>
    <row r="114" spans="1:20">
      <c r="B114" s="345" t="s">
        <v>11</v>
      </c>
      <c r="C114" s="145" t="s">
        <v>127</v>
      </c>
      <c r="D114" s="135">
        <f>SUM(D112:D113)</f>
        <v>-4.4262590698643258</v>
      </c>
      <c r="E114" s="136">
        <f t="shared" ref="E114:K114" si="37">SUM(E112:E113)</f>
        <v>0.64015185409829289</v>
      </c>
      <c r="F114" s="136">
        <f t="shared" si="37"/>
        <v>1.836204665963848</v>
      </c>
      <c r="G114" s="136">
        <f t="shared" si="37"/>
        <v>-5.7433939396709963</v>
      </c>
      <c r="H114" s="136">
        <f t="shared" si="37"/>
        <v>-23.141685151707367</v>
      </c>
      <c r="I114" s="136">
        <f t="shared" si="37"/>
        <v>5.2495816205826049</v>
      </c>
      <c r="J114" s="136">
        <f t="shared" si="37"/>
        <v>-21.578841923910314</v>
      </c>
      <c r="K114" s="136">
        <f t="shared" si="37"/>
        <v>33.619945421113513</v>
      </c>
      <c r="L114" s="135">
        <f>SUM(D114:INDEX(D114:K114,0,MATCH('RFPR cover'!$C$7,$D$6:$K$6,0)))</f>
        <v>-13.544296523394749</v>
      </c>
      <c r="M114" s="137">
        <f>SUM(D114:K114)</f>
        <v>-13.544296523394749</v>
      </c>
    </row>
    <row r="116" spans="1:20">
      <c r="B116" s="675" t="str">
        <f>B38</f>
        <v>n/a</v>
      </c>
      <c r="C116" s="140"/>
      <c r="D116" s="73"/>
      <c r="E116" s="73"/>
      <c r="F116" s="73"/>
      <c r="G116" s="73"/>
      <c r="H116" s="73"/>
      <c r="I116" s="73"/>
      <c r="J116" s="73"/>
      <c r="K116" s="73"/>
      <c r="L116" s="73"/>
      <c r="M116" s="73"/>
      <c r="N116" s="73"/>
    </row>
    <row r="117" spans="1:20">
      <c r="D117" s="1"/>
      <c r="E117" s="1"/>
      <c r="F117" s="1"/>
      <c r="G117" s="1"/>
      <c r="H117" s="1"/>
      <c r="I117" s="1"/>
      <c r="J117" s="1"/>
      <c r="K117" s="1"/>
      <c r="L117" s="1"/>
      <c r="M117" s="1"/>
      <c r="N117" s="1"/>
    </row>
    <row r="118" spans="1:20">
      <c r="B118" s="181" t="s">
        <v>34</v>
      </c>
      <c r="C118" s="57" t="s">
        <v>127</v>
      </c>
      <c r="D118" s="588">
        <f t="shared" ref="D118:K119" si="38">D40*D$86</f>
        <v>0</v>
      </c>
      <c r="E118" s="588">
        <f t="shared" si="38"/>
        <v>0</v>
      </c>
      <c r="F118" s="588">
        <f t="shared" si="38"/>
        <v>0</v>
      </c>
      <c r="G118" s="588">
        <f t="shared" si="38"/>
        <v>0</v>
      </c>
      <c r="H118" s="588">
        <f t="shared" si="38"/>
        <v>0</v>
      </c>
      <c r="I118" s="588">
        <f t="shared" si="38"/>
        <v>0</v>
      </c>
      <c r="J118" s="588">
        <f t="shared" si="38"/>
        <v>0</v>
      </c>
      <c r="K118" s="588">
        <f t="shared" si="38"/>
        <v>0</v>
      </c>
      <c r="L118" s="588">
        <f>SUM(D118:INDEX(D118:K118,0,MATCH('RFPR cover'!$C$7,$D$6:$K$6,0)))</f>
        <v>0</v>
      </c>
      <c r="M118" s="589">
        <f>SUM(D118:K118)</f>
        <v>0</v>
      </c>
      <c r="N118" s="54"/>
      <c r="O118" s="54"/>
    </row>
    <row r="119" spans="1:20" ht="27">
      <c r="B119" s="409" t="s">
        <v>196</v>
      </c>
      <c r="C119" s="57" t="s">
        <v>127</v>
      </c>
      <c r="D119" s="588">
        <f t="shared" si="38"/>
        <v>0</v>
      </c>
      <c r="E119" s="588">
        <f t="shared" si="38"/>
        <v>0</v>
      </c>
      <c r="F119" s="588">
        <f t="shared" si="38"/>
        <v>0</v>
      </c>
      <c r="G119" s="588">
        <f t="shared" si="38"/>
        <v>0</v>
      </c>
      <c r="H119" s="588">
        <f t="shared" si="38"/>
        <v>0</v>
      </c>
      <c r="I119" s="588">
        <f t="shared" si="38"/>
        <v>0</v>
      </c>
      <c r="J119" s="588">
        <f t="shared" si="38"/>
        <v>0</v>
      </c>
      <c r="K119" s="588">
        <f t="shared" si="38"/>
        <v>0</v>
      </c>
      <c r="L119" s="590">
        <f>SUM(D119:INDEX(D119:K119,0,MATCH('RFPR cover'!$C$7,$D$6:$K$6,0)))</f>
        <v>0</v>
      </c>
      <c r="M119" s="591">
        <f>SUM(D119:K119)</f>
        <v>0</v>
      </c>
      <c r="N119" s="54"/>
      <c r="O119" s="54"/>
    </row>
    <row r="120" spans="1:20">
      <c r="B120" s="224" t="s">
        <v>194</v>
      </c>
      <c r="C120" s="57" t="s">
        <v>127</v>
      </c>
      <c r="D120" s="93">
        <f>D119-D118</f>
        <v>0</v>
      </c>
      <c r="E120" s="94">
        <f t="shared" ref="E120:M120" si="39">E119-E118</f>
        <v>0</v>
      </c>
      <c r="F120" s="94">
        <f t="shared" si="39"/>
        <v>0</v>
      </c>
      <c r="G120" s="94">
        <f t="shared" si="39"/>
        <v>0</v>
      </c>
      <c r="H120" s="94">
        <f t="shared" si="39"/>
        <v>0</v>
      </c>
      <c r="I120" s="94">
        <f t="shared" si="39"/>
        <v>0</v>
      </c>
      <c r="J120" s="94">
        <f t="shared" si="39"/>
        <v>0</v>
      </c>
      <c r="K120" s="94">
        <f t="shared" si="39"/>
        <v>0</v>
      </c>
      <c r="L120" s="93">
        <f t="shared" si="39"/>
        <v>0</v>
      </c>
      <c r="M120" s="95">
        <f t="shared" si="39"/>
        <v>0</v>
      </c>
      <c r="N120" s="54"/>
      <c r="O120" s="854"/>
      <c r="P120" s="854"/>
      <c r="Q120" s="854"/>
      <c r="R120"/>
      <c r="S120"/>
      <c r="T120"/>
    </row>
    <row r="121" spans="1:20">
      <c r="B121" s="224"/>
      <c r="C121" s="57"/>
      <c r="D121" s="50"/>
      <c r="E121" s="50"/>
      <c r="F121" s="50"/>
      <c r="G121" s="50"/>
      <c r="H121" s="50"/>
      <c r="I121" s="50"/>
      <c r="J121" s="50"/>
      <c r="K121" s="50"/>
      <c r="L121" s="50"/>
      <c r="M121" s="50"/>
      <c r="O121" s="55"/>
      <c r="P121" s="55"/>
      <c r="Q121" s="55"/>
      <c r="R121"/>
      <c r="S121"/>
      <c r="T121"/>
    </row>
    <row r="122" spans="1:20">
      <c r="B122" s="120" t="s">
        <v>177</v>
      </c>
      <c r="C122" s="127" t="s">
        <v>7</v>
      </c>
      <c r="D122" s="100">
        <f>1-INDEX(Data!$D$73:$D$100,MATCH('RFPR cover'!$C$5,Data!$B$73:$B$100,0),0)</f>
        <v>0.44156296542217133</v>
      </c>
      <c r="E122" s="101">
        <f>1-INDEX(Data!$D$73:$D$100,MATCH('RFPR cover'!$C$5,Data!$B$73:$B$100,0),0)</f>
        <v>0.44156296542217133</v>
      </c>
      <c r="F122" s="101">
        <f>1-INDEX(Data!$D$73:$D$100,MATCH('RFPR cover'!$C$5,Data!$B$73:$B$100,0),0)</f>
        <v>0.44156296542217133</v>
      </c>
      <c r="G122" s="101">
        <f>1-INDEX(Data!$D$73:$D$100,MATCH('RFPR cover'!$C$5,Data!$B$73:$B$100,0),0)</f>
        <v>0.44156296542217133</v>
      </c>
      <c r="H122" s="101">
        <f>1-INDEX(Data!$D$73:$D$100,MATCH('RFPR cover'!$C$5,Data!$B$73:$B$100,0),0)</f>
        <v>0.44156296542217133</v>
      </c>
      <c r="I122" s="101">
        <f>1-INDEX(Data!$D$73:$D$100,MATCH('RFPR cover'!$C$5,Data!$B$73:$B$100,0),0)</f>
        <v>0.44156296542217133</v>
      </c>
      <c r="J122" s="101">
        <f>1-INDEX(Data!$D$73:$D$100,MATCH('RFPR cover'!$C$5,Data!$B$73:$B$100,0),0)</f>
        <v>0.44156296542217133</v>
      </c>
      <c r="K122" s="102">
        <f>1-INDEX(Data!$D$73:$D$100,MATCH('RFPR cover'!$C$5,Data!$B$73:$B$100,0),0)</f>
        <v>0.44156296542217133</v>
      </c>
      <c r="L122" s="53"/>
      <c r="M122" s="53"/>
      <c r="O122"/>
      <c r="P122"/>
      <c r="Q122"/>
      <c r="R122"/>
      <c r="S122"/>
      <c r="T122"/>
    </row>
    <row r="123" spans="1:20">
      <c r="O123"/>
      <c r="P123"/>
      <c r="Q123"/>
      <c r="R123"/>
      <c r="S123"/>
      <c r="T123"/>
    </row>
    <row r="124" spans="1:20">
      <c r="B124" s="120" t="s">
        <v>182</v>
      </c>
      <c r="C124" s="57" t="s">
        <v>127</v>
      </c>
      <c r="D124" s="86">
        <f>D120*D122</f>
        <v>0</v>
      </c>
      <c r="E124" s="87">
        <f t="shared" ref="E124:K124" si="40">E120*E122</f>
        <v>0</v>
      </c>
      <c r="F124" s="87">
        <f t="shared" si="40"/>
        <v>0</v>
      </c>
      <c r="G124" s="87">
        <f t="shared" si="40"/>
        <v>0</v>
      </c>
      <c r="H124" s="87">
        <f t="shared" si="40"/>
        <v>0</v>
      </c>
      <c r="I124" s="87">
        <f t="shared" si="40"/>
        <v>0</v>
      </c>
      <c r="J124" s="87">
        <f t="shared" si="40"/>
        <v>0</v>
      </c>
      <c r="K124" s="87">
        <f t="shared" si="40"/>
        <v>0</v>
      </c>
      <c r="L124" s="86">
        <f>SUM(D124:INDEX(D124:K124,0,MATCH('RFPR cover'!$C$7,$D$6:$K$6,0)))</f>
        <v>0</v>
      </c>
      <c r="M124" s="88">
        <f>SUM(D124:K124)</f>
        <v>0</v>
      </c>
      <c r="O124"/>
      <c r="P124"/>
      <c r="Q124"/>
      <c r="R124"/>
      <c r="S124"/>
      <c r="T124"/>
    </row>
    <row r="125" spans="1:20">
      <c r="B125" s="120" t="s">
        <v>178</v>
      </c>
      <c r="C125" s="57" t="s">
        <v>127</v>
      </c>
      <c r="D125" s="83">
        <f>D120*(1-D122)</f>
        <v>0</v>
      </c>
      <c r="E125" s="84">
        <f t="shared" ref="E125:K125" si="41">E120*(1-E122)</f>
        <v>0</v>
      </c>
      <c r="F125" s="84">
        <f t="shared" si="41"/>
        <v>0</v>
      </c>
      <c r="G125" s="84">
        <f t="shared" si="41"/>
        <v>0</v>
      </c>
      <c r="H125" s="84">
        <f t="shared" si="41"/>
        <v>0</v>
      </c>
      <c r="I125" s="84">
        <f t="shared" si="41"/>
        <v>0</v>
      </c>
      <c r="J125" s="84">
        <f t="shared" si="41"/>
        <v>0</v>
      </c>
      <c r="K125" s="84">
        <f t="shared" si="41"/>
        <v>0</v>
      </c>
      <c r="L125" s="83">
        <f>SUM(D125:INDEX(D125:K125,0,MATCH('RFPR cover'!$C$7,$D$6:$K$6,0)))</f>
        <v>0</v>
      </c>
      <c r="M125" s="85">
        <f>SUM(D125:K125)</f>
        <v>0</v>
      </c>
      <c r="O125"/>
      <c r="P125"/>
      <c r="Q125"/>
      <c r="R125"/>
      <c r="S125"/>
      <c r="T125"/>
    </row>
    <row r="126" spans="1:20">
      <c r="O126"/>
      <c r="P126"/>
      <c r="Q126"/>
      <c r="R126"/>
      <c r="S126"/>
      <c r="T126"/>
    </row>
    <row r="127" spans="1:20">
      <c r="B127" s="345" t="s">
        <v>181</v>
      </c>
      <c r="N127" s="54"/>
      <c r="O127"/>
      <c r="P127"/>
      <c r="Q127"/>
      <c r="R127"/>
      <c r="S127"/>
      <c r="T127"/>
    </row>
    <row r="128" spans="1:20">
      <c r="A128" s="3" t="s">
        <v>150</v>
      </c>
      <c r="B128" s="120" t="str">
        <f t="shared" ref="B128:B133" si="42">B50</f>
        <v>[Enduring Value adjustment]</v>
      </c>
      <c r="C128" s="57" t="s">
        <v>127</v>
      </c>
      <c r="D128" s="508">
        <f t="shared" ref="D128:K133" si="43">D50*D$86</f>
        <v>0</v>
      </c>
      <c r="E128" s="508">
        <f t="shared" si="43"/>
        <v>0</v>
      </c>
      <c r="F128" s="508">
        <f t="shared" si="43"/>
        <v>0</v>
      </c>
      <c r="G128" s="508">
        <f t="shared" si="43"/>
        <v>0</v>
      </c>
      <c r="H128" s="508">
        <f t="shared" si="43"/>
        <v>0</v>
      </c>
      <c r="I128" s="508">
        <f t="shared" si="43"/>
        <v>0</v>
      </c>
      <c r="J128" s="508">
        <f t="shared" si="43"/>
        <v>0</v>
      </c>
      <c r="K128" s="508">
        <f t="shared" si="43"/>
        <v>0</v>
      </c>
      <c r="L128" s="508">
        <f>SUM(D128:INDEX(D128:K128,0,MATCH('RFPR cover'!$C$7,$D$6:$K$6,0)))</f>
        <v>0</v>
      </c>
      <c r="M128" s="509">
        <f t="shared" ref="M128:M134" si="44">SUM(D128:K128)</f>
        <v>0</v>
      </c>
      <c r="N128" s="54"/>
      <c r="O128"/>
      <c r="P128"/>
      <c r="Q128"/>
      <c r="R128"/>
      <c r="S128"/>
      <c r="T128"/>
    </row>
    <row r="129" spans="1:20">
      <c r="A129" s="3" t="s">
        <v>151</v>
      </c>
      <c r="B129" s="120" t="str">
        <f t="shared" si="42"/>
        <v>[Enduring Value adjustment]</v>
      </c>
      <c r="C129" s="57" t="s">
        <v>127</v>
      </c>
      <c r="D129" s="508">
        <f t="shared" si="43"/>
        <v>0</v>
      </c>
      <c r="E129" s="508">
        <f t="shared" si="43"/>
        <v>0</v>
      </c>
      <c r="F129" s="508">
        <f t="shared" si="43"/>
        <v>0</v>
      </c>
      <c r="G129" s="508">
        <f t="shared" si="43"/>
        <v>0</v>
      </c>
      <c r="H129" s="508">
        <f t="shared" si="43"/>
        <v>0</v>
      </c>
      <c r="I129" s="508">
        <f t="shared" si="43"/>
        <v>0</v>
      </c>
      <c r="J129" s="508">
        <f t="shared" si="43"/>
        <v>0</v>
      </c>
      <c r="K129" s="508">
        <f t="shared" si="43"/>
        <v>0</v>
      </c>
      <c r="L129" s="512">
        <f>SUM(D129:INDEX(D129:K129,0,MATCH('RFPR cover'!$C$7,$D$6:$K$6,0)))</f>
        <v>0</v>
      </c>
      <c r="M129" s="513">
        <f t="shared" si="44"/>
        <v>0</v>
      </c>
      <c r="N129" s="54"/>
      <c r="O129"/>
      <c r="P129"/>
      <c r="Q129"/>
      <c r="R129"/>
      <c r="S129"/>
      <c r="T129"/>
    </row>
    <row r="130" spans="1:20">
      <c r="A130" s="3" t="s">
        <v>152</v>
      </c>
      <c r="B130" s="120" t="str">
        <f t="shared" si="42"/>
        <v>[Enduring Value adjustment]</v>
      </c>
      <c r="C130" s="57" t="s">
        <v>127</v>
      </c>
      <c r="D130" s="508">
        <f t="shared" si="43"/>
        <v>0</v>
      </c>
      <c r="E130" s="508">
        <f t="shared" si="43"/>
        <v>0</v>
      </c>
      <c r="F130" s="508">
        <f t="shared" si="43"/>
        <v>0</v>
      </c>
      <c r="G130" s="508">
        <f t="shared" si="43"/>
        <v>0</v>
      </c>
      <c r="H130" s="508">
        <f t="shared" si="43"/>
        <v>0</v>
      </c>
      <c r="I130" s="508">
        <f t="shared" si="43"/>
        <v>0</v>
      </c>
      <c r="J130" s="508">
        <f t="shared" si="43"/>
        <v>0</v>
      </c>
      <c r="K130" s="508">
        <f t="shared" si="43"/>
        <v>0</v>
      </c>
      <c r="L130" s="512">
        <f>SUM(D130:INDEX(D130:K130,0,MATCH('RFPR cover'!$C$7,$D$6:$K$6,0)))</f>
        <v>0</v>
      </c>
      <c r="M130" s="513">
        <f t="shared" si="44"/>
        <v>0</v>
      </c>
      <c r="N130" s="54"/>
      <c r="O130"/>
      <c r="P130"/>
      <c r="Q130"/>
      <c r="R130"/>
      <c r="S130" s="56"/>
      <c r="T130"/>
    </row>
    <row r="131" spans="1:20">
      <c r="A131" s="3" t="s">
        <v>167</v>
      </c>
      <c r="B131" s="120" t="str">
        <f t="shared" si="42"/>
        <v>[Enduring Value adjustment]</v>
      </c>
      <c r="C131" s="57" t="s">
        <v>127</v>
      </c>
      <c r="D131" s="508">
        <f t="shared" si="43"/>
        <v>0</v>
      </c>
      <c r="E131" s="508">
        <f t="shared" si="43"/>
        <v>0</v>
      </c>
      <c r="F131" s="508">
        <f t="shared" si="43"/>
        <v>0</v>
      </c>
      <c r="G131" s="508">
        <f t="shared" si="43"/>
        <v>0</v>
      </c>
      <c r="H131" s="508">
        <f t="shared" si="43"/>
        <v>0</v>
      </c>
      <c r="I131" s="508">
        <f t="shared" si="43"/>
        <v>0</v>
      </c>
      <c r="J131" s="508">
        <f t="shared" si="43"/>
        <v>0</v>
      </c>
      <c r="K131" s="508">
        <f t="shared" si="43"/>
        <v>0</v>
      </c>
      <c r="L131" s="512">
        <f>SUM(D131:INDEX(D131:K131,0,MATCH('RFPR cover'!$C$7,$D$6:$K$6,0)))</f>
        <v>0</v>
      </c>
      <c r="M131" s="513">
        <f t="shared" si="44"/>
        <v>0</v>
      </c>
      <c r="N131" s="54"/>
      <c r="O131"/>
      <c r="P131"/>
      <c r="Q131"/>
      <c r="R131"/>
      <c r="S131"/>
      <c r="T131"/>
    </row>
    <row r="132" spans="1:20">
      <c r="A132" s="3" t="s">
        <v>168</v>
      </c>
      <c r="B132" s="120" t="str">
        <f t="shared" si="42"/>
        <v>[Enduring Value adjustment]</v>
      </c>
      <c r="C132" s="57" t="s">
        <v>127</v>
      </c>
      <c r="D132" s="508">
        <f t="shared" si="43"/>
        <v>0</v>
      </c>
      <c r="E132" s="508">
        <f t="shared" si="43"/>
        <v>0</v>
      </c>
      <c r="F132" s="508">
        <f t="shared" si="43"/>
        <v>0</v>
      </c>
      <c r="G132" s="508">
        <f t="shared" si="43"/>
        <v>0</v>
      </c>
      <c r="H132" s="508">
        <f t="shared" si="43"/>
        <v>0</v>
      </c>
      <c r="I132" s="508">
        <f t="shared" si="43"/>
        <v>0</v>
      </c>
      <c r="J132" s="508">
        <f t="shared" si="43"/>
        <v>0</v>
      </c>
      <c r="K132" s="508">
        <f t="shared" si="43"/>
        <v>0</v>
      </c>
      <c r="L132" s="512">
        <f>SUM(D132:INDEX(D132:K132,0,MATCH('RFPR cover'!$C$7,$D$6:$K$6,0)))</f>
        <v>0</v>
      </c>
      <c r="M132" s="513">
        <f t="shared" si="44"/>
        <v>0</v>
      </c>
      <c r="N132" s="54"/>
      <c r="O132"/>
      <c r="P132"/>
      <c r="Q132"/>
      <c r="R132"/>
      <c r="S132"/>
      <c r="T132"/>
    </row>
    <row r="133" spans="1:20">
      <c r="A133" s="3" t="s">
        <v>169</v>
      </c>
      <c r="B133" s="120" t="str">
        <f t="shared" si="42"/>
        <v>[Enduring Value adjustment]</v>
      </c>
      <c r="C133" s="57" t="s">
        <v>127</v>
      </c>
      <c r="D133" s="508">
        <f t="shared" si="43"/>
        <v>0</v>
      </c>
      <c r="E133" s="508">
        <f t="shared" si="43"/>
        <v>0</v>
      </c>
      <c r="F133" s="508">
        <f t="shared" si="43"/>
        <v>0</v>
      </c>
      <c r="G133" s="508">
        <f t="shared" si="43"/>
        <v>0</v>
      </c>
      <c r="H133" s="508">
        <f t="shared" si="43"/>
        <v>0</v>
      </c>
      <c r="I133" s="508">
        <f t="shared" si="43"/>
        <v>0</v>
      </c>
      <c r="J133" s="508">
        <f t="shared" si="43"/>
        <v>0</v>
      </c>
      <c r="K133" s="508">
        <f t="shared" si="43"/>
        <v>0</v>
      </c>
      <c r="L133" s="516">
        <f>SUM(D133:INDEX(D133:K133,0,MATCH('RFPR cover'!$C$7,$D$6:$K$6,0)))</f>
        <v>0</v>
      </c>
      <c r="M133" s="517">
        <f t="shared" si="44"/>
        <v>0</v>
      </c>
      <c r="N133" s="54"/>
      <c r="O133"/>
      <c r="P133"/>
      <c r="Q133"/>
      <c r="R133"/>
      <c r="S133"/>
      <c r="T133"/>
    </row>
    <row r="134" spans="1:20">
      <c r="B134" s="345" t="s">
        <v>189</v>
      </c>
      <c r="C134" s="57" t="s">
        <v>127</v>
      </c>
      <c r="D134" s="93">
        <f>SUM(D128:D133)</f>
        <v>0</v>
      </c>
      <c r="E134" s="94">
        <f t="shared" ref="E134:K134" si="45">SUM(E128:E133)</f>
        <v>0</v>
      </c>
      <c r="F134" s="94">
        <f t="shared" si="45"/>
        <v>0</v>
      </c>
      <c r="G134" s="94">
        <f t="shared" si="45"/>
        <v>0</v>
      </c>
      <c r="H134" s="94">
        <f t="shared" si="45"/>
        <v>0</v>
      </c>
      <c r="I134" s="94">
        <f t="shared" si="45"/>
        <v>0</v>
      </c>
      <c r="J134" s="94">
        <f t="shared" si="45"/>
        <v>0</v>
      </c>
      <c r="K134" s="94">
        <f t="shared" si="45"/>
        <v>0</v>
      </c>
      <c r="L134" s="93">
        <f>SUM(D134:INDEX(D134:K134,0,MATCH('RFPR cover'!$C$7,$D$6:$K$6,0)))</f>
        <v>0</v>
      </c>
      <c r="M134" s="95">
        <f t="shared" si="44"/>
        <v>0</v>
      </c>
      <c r="N134" s="54"/>
    </row>
    <row r="136" spans="1:20">
      <c r="B136" s="120" t="s">
        <v>197</v>
      </c>
      <c r="C136" s="57" t="s">
        <v>127</v>
      </c>
      <c r="D136" s="86">
        <f t="shared" ref="D136:K136" si="46">D134*D122</f>
        <v>0</v>
      </c>
      <c r="E136" s="87">
        <f t="shared" si="46"/>
        <v>0</v>
      </c>
      <c r="F136" s="87">
        <f t="shared" si="46"/>
        <v>0</v>
      </c>
      <c r="G136" s="87">
        <f t="shared" si="46"/>
        <v>0</v>
      </c>
      <c r="H136" s="87">
        <f t="shared" si="46"/>
        <v>0</v>
      </c>
      <c r="I136" s="87">
        <f t="shared" si="46"/>
        <v>0</v>
      </c>
      <c r="J136" s="87">
        <f t="shared" si="46"/>
        <v>0</v>
      </c>
      <c r="K136" s="87">
        <f t="shared" si="46"/>
        <v>0</v>
      </c>
      <c r="L136" s="86">
        <f>SUM(D136:INDEX(D136:K136,0,MATCH('RFPR cover'!$C$7,$D$6:$K$6,0)))</f>
        <v>0</v>
      </c>
      <c r="M136" s="88">
        <f>SUM(D136:K136)</f>
        <v>0</v>
      </c>
    </row>
    <row r="137" spans="1:20">
      <c r="B137" s="120" t="s">
        <v>306</v>
      </c>
      <c r="C137" s="57" t="s">
        <v>127</v>
      </c>
      <c r="D137" s="83">
        <f t="shared" ref="D137:K137" si="47">D134*(1-D122)</f>
        <v>0</v>
      </c>
      <c r="E137" s="84">
        <f t="shared" si="47"/>
        <v>0</v>
      </c>
      <c r="F137" s="84">
        <f t="shared" si="47"/>
        <v>0</v>
      </c>
      <c r="G137" s="84">
        <f t="shared" si="47"/>
        <v>0</v>
      </c>
      <c r="H137" s="84">
        <f t="shared" si="47"/>
        <v>0</v>
      </c>
      <c r="I137" s="84">
        <f t="shared" si="47"/>
        <v>0</v>
      </c>
      <c r="J137" s="84">
        <f t="shared" si="47"/>
        <v>0</v>
      </c>
      <c r="K137" s="84">
        <f t="shared" si="47"/>
        <v>0</v>
      </c>
      <c r="L137" s="83">
        <f>SUM(D137:INDEX(D137:K137,0,MATCH('RFPR cover'!$C$7,$D$6:$K$6,0)))</f>
        <v>0</v>
      </c>
      <c r="M137" s="85">
        <f>SUM(D137:K137)</f>
        <v>0</v>
      </c>
    </row>
    <row r="139" spans="1:20">
      <c r="B139" s="345" t="s">
        <v>180</v>
      </c>
    </row>
    <row r="140" spans="1:20">
      <c r="B140" s="120" t="s">
        <v>179</v>
      </c>
      <c r="C140" s="57" t="s">
        <v>127</v>
      </c>
      <c r="D140" s="86">
        <f>D124+D136</f>
        <v>0</v>
      </c>
      <c r="E140" s="87">
        <f t="shared" ref="E140:K140" si="48">E124+E136</f>
        <v>0</v>
      </c>
      <c r="F140" s="87">
        <f t="shared" si="48"/>
        <v>0</v>
      </c>
      <c r="G140" s="87">
        <f t="shared" si="48"/>
        <v>0</v>
      </c>
      <c r="H140" s="87">
        <f t="shared" si="48"/>
        <v>0</v>
      </c>
      <c r="I140" s="87">
        <f t="shared" si="48"/>
        <v>0</v>
      </c>
      <c r="J140" s="87">
        <f t="shared" si="48"/>
        <v>0</v>
      </c>
      <c r="K140" s="87">
        <f t="shared" si="48"/>
        <v>0</v>
      </c>
      <c r="L140" s="86">
        <f>SUM(D140:INDEX(D140:K140,0,MATCH('RFPR cover'!$C$7,$D$6:$K$6,0)))</f>
        <v>0</v>
      </c>
      <c r="M140" s="88">
        <f>SUM(D140:K140)</f>
        <v>0</v>
      </c>
    </row>
    <row r="141" spans="1:20">
      <c r="B141" s="120" t="s">
        <v>279</v>
      </c>
      <c r="C141" s="57" t="s">
        <v>127</v>
      </c>
      <c r="D141" s="89">
        <f>D125+D137</f>
        <v>0</v>
      </c>
      <c r="E141" s="90">
        <f t="shared" ref="E141:K141" si="49">E125+E137</f>
        <v>0</v>
      </c>
      <c r="F141" s="90">
        <f t="shared" si="49"/>
        <v>0</v>
      </c>
      <c r="G141" s="90">
        <f t="shared" si="49"/>
        <v>0</v>
      </c>
      <c r="H141" s="90">
        <f t="shared" si="49"/>
        <v>0</v>
      </c>
      <c r="I141" s="90">
        <f t="shared" si="49"/>
        <v>0</v>
      </c>
      <c r="J141" s="90">
        <f t="shared" si="49"/>
        <v>0</v>
      </c>
      <c r="K141" s="90">
        <f t="shared" si="49"/>
        <v>0</v>
      </c>
      <c r="L141" s="89">
        <f>SUM(D141:INDEX(D141:K141,0,MATCH('RFPR cover'!$C$7,$D$6:$K$6,0)))</f>
        <v>0</v>
      </c>
      <c r="M141" s="91">
        <f>SUM(D141:K141)</f>
        <v>0</v>
      </c>
    </row>
    <row r="142" spans="1:20">
      <c r="B142" s="345" t="s">
        <v>11</v>
      </c>
      <c r="C142" s="145" t="s">
        <v>127</v>
      </c>
      <c r="D142" s="129">
        <f>SUM(D140:D141)</f>
        <v>0</v>
      </c>
      <c r="E142" s="130">
        <f t="shared" ref="E142:K142" si="50">SUM(E140:E141)</f>
        <v>0</v>
      </c>
      <c r="F142" s="130">
        <f t="shared" si="50"/>
        <v>0</v>
      </c>
      <c r="G142" s="130">
        <f t="shared" si="50"/>
        <v>0</v>
      </c>
      <c r="H142" s="130">
        <f t="shared" si="50"/>
        <v>0</v>
      </c>
      <c r="I142" s="130">
        <f t="shared" si="50"/>
        <v>0</v>
      </c>
      <c r="J142" s="130">
        <f t="shared" si="50"/>
        <v>0</v>
      </c>
      <c r="K142" s="130">
        <f t="shared" si="50"/>
        <v>0</v>
      </c>
      <c r="L142" s="129">
        <f>SUM(D142:INDEX(D142:K142,0,MATCH('RFPR cover'!$C$7,$D$6:$K$6,0)))</f>
        <v>0</v>
      </c>
      <c r="M142" s="131">
        <f>SUM(D142:K142)</f>
        <v>0</v>
      </c>
    </row>
    <row r="143" spans="1:20">
      <c r="B143" s="345"/>
      <c r="C143" s="145"/>
      <c r="D143" s="145"/>
      <c r="E143" s="145"/>
      <c r="F143" s="145"/>
      <c r="G143" s="145"/>
      <c r="H143" s="145"/>
      <c r="I143" s="145"/>
      <c r="J143" s="145"/>
      <c r="K143" s="145"/>
      <c r="L143" s="145"/>
      <c r="M143" s="145"/>
    </row>
    <row r="144" spans="1:20">
      <c r="B144" s="675" t="s">
        <v>256</v>
      </c>
      <c r="C144" s="140"/>
      <c r="D144" s="73"/>
      <c r="E144" s="73"/>
      <c r="F144" s="73"/>
      <c r="G144" s="73"/>
      <c r="H144" s="73"/>
      <c r="I144" s="73"/>
      <c r="J144" s="73"/>
      <c r="K144" s="73"/>
      <c r="L144" s="73"/>
      <c r="M144" s="73"/>
      <c r="N144" s="73"/>
    </row>
    <row r="145" spans="1:20">
      <c r="O145"/>
      <c r="P145"/>
      <c r="Q145"/>
      <c r="R145"/>
      <c r="S145"/>
      <c r="T145"/>
    </row>
    <row r="146" spans="1:20">
      <c r="B146" s="345" t="s">
        <v>180</v>
      </c>
    </row>
    <row r="147" spans="1:20">
      <c r="B147" s="120" t="s">
        <v>179</v>
      </c>
      <c r="C147" s="57" t="s">
        <v>127</v>
      </c>
      <c r="D147" s="86">
        <f>D112+D140</f>
        <v>-1.9544720806160734</v>
      </c>
      <c r="E147" s="87">
        <f t="shared" ref="E147:K147" si="51">E112+E140</f>
        <v>0.28266735101614326</v>
      </c>
      <c r="F147" s="87">
        <f t="shared" si="51"/>
        <v>0.81079997742502474</v>
      </c>
      <c r="G147" s="87">
        <f t="shared" si="51"/>
        <v>-2.5360700595888521</v>
      </c>
      <c r="H147" s="87">
        <f t="shared" si="51"/>
        <v>-10.218511120454137</v>
      </c>
      <c r="I147" s="87">
        <f t="shared" si="51"/>
        <v>2.3180208276101819</v>
      </c>
      <c r="J147" s="87">
        <f t="shared" si="51"/>
        <v>-9.5284174302981111</v>
      </c>
      <c r="K147" s="87">
        <f t="shared" si="51"/>
        <v>14.845322797478433</v>
      </c>
      <c r="L147" s="86">
        <f>SUM(D147:INDEX(D147:K147,0,MATCH('RFPR cover'!$C$7,$D$6:$K$6,0)))</f>
        <v>-5.9806597374273895</v>
      </c>
      <c r="M147" s="88">
        <f>SUM(D147:K147)</f>
        <v>-5.9806597374273895</v>
      </c>
    </row>
    <row r="148" spans="1:20">
      <c r="B148" s="120" t="s">
        <v>279</v>
      </c>
      <c r="C148" s="57" t="s">
        <v>127</v>
      </c>
      <c r="D148" s="89">
        <f t="shared" ref="D148:K148" si="52">D113+D141</f>
        <v>-2.4717869892482525</v>
      </c>
      <c r="E148" s="90">
        <f t="shared" si="52"/>
        <v>0.35748450308214963</v>
      </c>
      <c r="F148" s="90">
        <f t="shared" si="52"/>
        <v>1.0254046885388233</v>
      </c>
      <c r="G148" s="90">
        <f t="shared" si="52"/>
        <v>-3.2073238800821442</v>
      </c>
      <c r="H148" s="90">
        <f t="shared" si="52"/>
        <v>-12.923174031253231</v>
      </c>
      <c r="I148" s="90">
        <f t="shared" si="52"/>
        <v>2.931560792972423</v>
      </c>
      <c r="J148" s="90">
        <f t="shared" si="52"/>
        <v>-12.050424493612203</v>
      </c>
      <c r="K148" s="90">
        <f t="shared" si="52"/>
        <v>18.774622623635082</v>
      </c>
      <c r="L148" s="89">
        <f>SUM(D148:INDEX(D148:K148,0,MATCH('RFPR cover'!$C$7,$D$6:$K$6,0)))</f>
        <v>-7.5636367859673541</v>
      </c>
      <c r="M148" s="91">
        <f>SUM(D148:K148)</f>
        <v>-7.5636367859673541</v>
      </c>
    </row>
    <row r="149" spans="1:20">
      <c r="B149" s="345" t="s">
        <v>11</v>
      </c>
      <c r="C149" s="145" t="s">
        <v>127</v>
      </c>
      <c r="D149" s="129">
        <f>SUM(D147:D148)</f>
        <v>-4.4262590698643258</v>
      </c>
      <c r="E149" s="130">
        <f t="shared" ref="E149:K149" si="53">SUM(E147:E148)</f>
        <v>0.64015185409829289</v>
      </c>
      <c r="F149" s="130">
        <f t="shared" si="53"/>
        <v>1.836204665963848</v>
      </c>
      <c r="G149" s="130">
        <f t="shared" si="53"/>
        <v>-5.7433939396709963</v>
      </c>
      <c r="H149" s="130">
        <f t="shared" si="53"/>
        <v>-23.141685151707367</v>
      </c>
      <c r="I149" s="130">
        <f t="shared" si="53"/>
        <v>5.2495816205826049</v>
      </c>
      <c r="J149" s="130">
        <f t="shared" si="53"/>
        <v>-21.578841923910314</v>
      </c>
      <c r="K149" s="130">
        <f t="shared" si="53"/>
        <v>33.619945421113513</v>
      </c>
      <c r="L149" s="129">
        <f>SUM(D149:INDEX(D149:K149,0,MATCH('RFPR cover'!$C$7,$D$6:$K$6,0)))</f>
        <v>-13.544296523394749</v>
      </c>
      <c r="M149" s="131">
        <f>SUM(D149:K149)</f>
        <v>-13.544296523394749</v>
      </c>
    </row>
    <row r="150" spans="1:20">
      <c r="D150" s="127"/>
      <c r="E150" s="127"/>
      <c r="F150" s="127"/>
      <c r="G150" s="127"/>
      <c r="H150" s="127"/>
      <c r="I150" s="127"/>
      <c r="J150" s="127"/>
      <c r="K150" s="127"/>
    </row>
    <row r="152" spans="1:20">
      <c r="A152" s="73"/>
      <c r="B152" s="677"/>
      <c r="C152" s="140"/>
      <c r="D152" s="73"/>
      <c r="E152" s="73"/>
      <c r="F152" s="73"/>
      <c r="G152" s="73"/>
      <c r="H152" s="73"/>
      <c r="I152" s="73"/>
      <c r="J152" s="73"/>
      <c r="K152" s="73"/>
      <c r="L152" s="73"/>
      <c r="M152" s="73"/>
      <c r="N152" s="73"/>
    </row>
  </sheetData>
  <sheetProtection algorithmName="SHA-512" hashValue="I98PAC9WeIyN+yOqaNwl4LwV/sgm5sHgzPnnBWbscF+S2wJhr2sx1+xPNDTr6Kv7wr/x22QIn42YH0ZlZJwL8A==" saltValue="yEaZ9hN/AeKS3B0zIIodHw==" spinCount="100000" sheet="1" objects="1" scenarios="1"/>
  <mergeCells count="4">
    <mergeCell ref="O14:Q14"/>
    <mergeCell ref="O42:Q42"/>
    <mergeCell ref="O92:Q92"/>
    <mergeCell ref="O120:Q120"/>
  </mergeCells>
  <conditionalFormatting sqref="B118:M142">
    <cfRule type="expression" dxfId="36" priority="3">
      <formula>$B$38="n/a"</formula>
    </cfRule>
  </conditionalFormatting>
  <conditionalFormatting sqref="B38:N64">
    <cfRule type="expression" dxfId="35" priority="1">
      <formula>$B$38="n/a"</formula>
    </cfRule>
  </conditionalFormatting>
  <conditionalFormatting sqref="D5:K6">
    <cfRule type="expression" dxfId="34" priority="2">
      <formula>AND(D$5="Actuals",E$5="Forecast")</formula>
    </cfRule>
  </conditionalFormatting>
  <pageMargins left="0.70866141732283472" right="0.70866141732283472" top="0.74803149606299213" bottom="0.74803149606299213" header="0.31496062992125984" footer="0.31496062992125984"/>
  <pageSetup paperSize="8"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N114"/>
  <sheetViews>
    <sheetView showGridLines="0" zoomScale="80" zoomScaleNormal="80" workbookViewId="0">
      <pane ySplit="6" topLeftCell="A10" activePane="bottomLeft" state="frozen"/>
      <selection pane="bottomLeft"/>
    </sheetView>
  </sheetViews>
  <sheetFormatPr defaultRowHeight="13.5"/>
  <cols>
    <col min="1" max="1" width="8.3828125" customWidth="1"/>
    <col min="2" max="2" width="71.3828125" bestFit="1" customWidth="1"/>
    <col min="3" max="3" width="13.3828125" style="127" customWidth="1"/>
    <col min="4" max="11" width="11.15234375" customWidth="1"/>
    <col min="12" max="12" width="12.84375" customWidth="1"/>
    <col min="13" max="13" width="12.765625" customWidth="1"/>
    <col min="14" max="14" width="5" customWidth="1"/>
  </cols>
  <sheetData>
    <row r="1" spans="1:14" ht="20">
      <c r="A1" s="789" t="s">
        <v>261</v>
      </c>
      <c r="B1" s="790"/>
      <c r="C1" s="143"/>
      <c r="D1" s="122"/>
      <c r="E1" s="122"/>
      <c r="F1" s="122"/>
      <c r="G1" s="122"/>
      <c r="H1" s="122"/>
      <c r="I1" s="118"/>
      <c r="J1" s="118"/>
      <c r="K1" s="118"/>
      <c r="L1" s="118"/>
      <c r="M1" s="118"/>
      <c r="N1" s="119"/>
    </row>
    <row r="2" spans="1:14" ht="20">
      <c r="A2" s="791" t="str">
        <f>'RFPR cover'!C5</f>
        <v>NPgN</v>
      </c>
      <c r="B2" s="792"/>
      <c r="C2" s="144"/>
      <c r="D2" s="34"/>
      <c r="E2" s="34"/>
      <c r="F2" s="34"/>
      <c r="G2" s="34"/>
      <c r="H2" s="34"/>
      <c r="I2" s="27"/>
      <c r="J2" s="27"/>
      <c r="K2" s="27"/>
      <c r="L2" s="27"/>
      <c r="M2" s="27"/>
      <c r="N2" s="114"/>
    </row>
    <row r="3" spans="1:14" ht="20">
      <c r="A3" s="793">
        <f>'RFPR cover'!C7</f>
        <v>2023</v>
      </c>
      <c r="B3" s="794"/>
      <c r="C3" s="126"/>
      <c r="D3" s="123"/>
      <c r="E3" s="123"/>
      <c r="F3" s="123"/>
      <c r="G3" s="123"/>
      <c r="H3" s="123"/>
      <c r="I3" s="28"/>
      <c r="J3" s="28"/>
      <c r="K3" s="28"/>
      <c r="L3" s="28"/>
      <c r="M3" s="28"/>
      <c r="N3" s="116"/>
    </row>
    <row r="4" spans="1:14" s="2" customFormat="1" ht="12.75" customHeight="1">
      <c r="B4" s="3"/>
      <c r="C4" s="127"/>
    </row>
    <row r="5" spans="1:14" s="2" customFormat="1" ht="12.75" customHeight="1">
      <c r="B5" s="3"/>
      <c r="C5" s="127"/>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4" s="2" customFormat="1" ht="29.25" customHeight="1">
      <c r="C6" s="127"/>
      <c r="D6" s="108">
        <f>'RFPR cover'!$C$13</f>
        <v>2016</v>
      </c>
      <c r="E6" s="109">
        <f>D6+1</f>
        <v>2017</v>
      </c>
      <c r="F6" s="109">
        <f t="shared" ref="F6:K6" si="0">E6+1</f>
        <v>2018</v>
      </c>
      <c r="G6" s="109">
        <f t="shared" si="0"/>
        <v>2019</v>
      </c>
      <c r="H6" s="109">
        <f t="shared" si="0"/>
        <v>2020</v>
      </c>
      <c r="I6" s="109">
        <f t="shared" si="0"/>
        <v>2021</v>
      </c>
      <c r="J6" s="109">
        <f t="shared" si="0"/>
        <v>2022</v>
      </c>
      <c r="K6" s="109">
        <f t="shared" si="0"/>
        <v>2023</v>
      </c>
      <c r="L6" s="92" t="str">
        <f>"Cumulative to "&amp;'RFPR cover'!$C$7</f>
        <v>Cumulative to 2023</v>
      </c>
      <c r="M6" s="110" t="s">
        <v>109</v>
      </c>
    </row>
    <row r="7" spans="1:14" s="2" customFormat="1">
      <c r="C7" s="127"/>
    </row>
    <row r="8" spans="1:14" s="2" customFormat="1">
      <c r="B8" s="107" t="s">
        <v>198</v>
      </c>
      <c r="C8" s="140"/>
      <c r="D8" s="72"/>
      <c r="E8" s="72"/>
      <c r="F8" s="72"/>
      <c r="G8" s="72"/>
      <c r="H8" s="72"/>
      <c r="I8" s="72"/>
      <c r="J8" s="72"/>
      <c r="K8" s="72"/>
      <c r="L8" s="72"/>
      <c r="M8" s="72"/>
      <c r="N8" s="72"/>
    </row>
    <row r="9" spans="1:14" s="2" customFormat="1">
      <c r="B9" s="321" t="s">
        <v>392</v>
      </c>
      <c r="C9" s="321"/>
      <c r="D9" s="321"/>
      <c r="E9" s="321"/>
      <c r="F9" s="321"/>
      <c r="G9" s="321"/>
      <c r="H9" s="321"/>
      <c r="I9" s="321"/>
      <c r="J9" s="321"/>
      <c r="K9" s="321"/>
      <c r="L9" s="321"/>
      <c r="M9" s="321"/>
      <c r="N9" s="321"/>
    </row>
    <row r="10" spans="1:14" s="2" customFormat="1">
      <c r="B10" s="12"/>
      <c r="C10" s="127"/>
    </row>
    <row r="11" spans="1:14" s="2" customFormat="1">
      <c r="A11" s="146" t="s">
        <v>150</v>
      </c>
      <c r="B11" s="2" t="str">
        <f>Data!B153</f>
        <v>Broad measure of customer service</v>
      </c>
      <c r="C11" s="57" t="str">
        <f>'RFPR cover'!$C$14</f>
        <v>£m 12/13</v>
      </c>
      <c r="D11" s="518">
        <v>1.205859189322414</v>
      </c>
      <c r="E11" s="519">
        <v>2.0078802305306791</v>
      </c>
      <c r="F11" s="519">
        <v>2.2945579779057477</v>
      </c>
      <c r="G11" s="519">
        <v>2.2328943516404305</v>
      </c>
      <c r="H11" s="519">
        <v>2.6051000000000006</v>
      </c>
      <c r="I11" s="519">
        <v>2.5221999999999998</v>
      </c>
      <c r="J11" s="801">
        <v>0.68740400000000024</v>
      </c>
      <c r="K11" s="801">
        <v>1.4778254440608405</v>
      </c>
      <c r="L11" s="588">
        <f>SUM(D11:INDEX(D11:K11,0,MATCH('RFPR cover'!$C$7,$D$6:$K$6,0)))</f>
        <v>15.033721193460114</v>
      </c>
      <c r="M11" s="589">
        <f t="shared" ref="M11:M17" si="1">SUM(D11:K11)</f>
        <v>15.033721193460114</v>
      </c>
    </row>
    <row r="12" spans="1:14" s="2" customFormat="1">
      <c r="A12" s="146" t="s">
        <v>151</v>
      </c>
      <c r="B12" s="2" t="str">
        <f>Data!B154</f>
        <v>Interruptions-related quality of service</v>
      </c>
      <c r="C12" s="57" t="str">
        <f>'RFPR cover'!$C$14</f>
        <v>£m 12/13</v>
      </c>
      <c r="D12" s="520">
        <v>7.4687336978851278</v>
      </c>
      <c r="E12" s="521">
        <v>9.5744988187222582</v>
      </c>
      <c r="F12" s="521">
        <v>8.8463671013284895</v>
      </c>
      <c r="G12" s="521">
        <v>5.7894829239528889</v>
      </c>
      <c r="H12" s="521">
        <v>7.572869546583803</v>
      </c>
      <c r="I12" s="521">
        <v>10</v>
      </c>
      <c r="J12" s="802">
        <v>4.6017369188096389</v>
      </c>
      <c r="K12" s="802">
        <v>4.7358079651127118</v>
      </c>
      <c r="L12" s="592">
        <f>SUM(D12:INDEX(D12:K12,0,MATCH('RFPR cover'!$C$7,$D$6:$K$6,0)))</f>
        <v>58.589496972394912</v>
      </c>
      <c r="M12" s="593">
        <f t="shared" si="1"/>
        <v>58.589496972394912</v>
      </c>
    </row>
    <row r="13" spans="1:14" s="2" customFormat="1">
      <c r="A13" s="146" t="s">
        <v>152</v>
      </c>
      <c r="B13" s="2" t="str">
        <f>Data!B155</f>
        <v>Incentive on connections engagement</v>
      </c>
      <c r="C13" s="57" t="str">
        <f>'RFPR cover'!$C$14</f>
        <v>£m 12/13</v>
      </c>
      <c r="D13" s="520">
        <v>0</v>
      </c>
      <c r="E13" s="521">
        <v>0</v>
      </c>
      <c r="F13" s="521">
        <v>0</v>
      </c>
      <c r="G13" s="521">
        <v>0</v>
      </c>
      <c r="H13" s="521">
        <v>0</v>
      </c>
      <c r="I13" s="521">
        <v>0</v>
      </c>
      <c r="J13" s="802">
        <v>0</v>
      </c>
      <c r="K13" s="802">
        <v>0</v>
      </c>
      <c r="L13" s="592">
        <f>SUM(D13:INDEX(D13:K13,0,MATCH('RFPR cover'!$C$7,$D$6:$K$6,0)))</f>
        <v>0</v>
      </c>
      <c r="M13" s="593">
        <f t="shared" si="1"/>
        <v>0</v>
      </c>
    </row>
    <row r="14" spans="1:14" s="2" customFormat="1">
      <c r="A14" s="146" t="s">
        <v>167</v>
      </c>
      <c r="B14" s="2" t="str">
        <f>Data!B156</f>
        <v>Time to Connect Incentive</v>
      </c>
      <c r="C14" s="57" t="str">
        <f>'RFPR cover'!$C$14</f>
        <v>£m 12/13</v>
      </c>
      <c r="D14" s="520">
        <v>0.55024001607071116</v>
      </c>
      <c r="E14" s="521">
        <v>0.4</v>
      </c>
      <c r="F14" s="521">
        <v>2.8600000000000084E-2</v>
      </c>
      <c r="G14" s="521">
        <v>0.30520000000000003</v>
      </c>
      <c r="H14" s="521">
        <v>0</v>
      </c>
      <c r="I14" s="521">
        <v>0</v>
      </c>
      <c r="J14" s="802">
        <v>0</v>
      </c>
      <c r="K14" s="802">
        <v>0</v>
      </c>
      <c r="L14" s="592">
        <f>SUM(D14:INDEX(D14:K14,0,MATCH('RFPR cover'!$C$7,$D$6:$K$6,0)))</f>
        <v>1.2840400160707113</v>
      </c>
      <c r="M14" s="593">
        <f t="shared" si="1"/>
        <v>1.2840400160707113</v>
      </c>
    </row>
    <row r="15" spans="1:14" s="2" customFormat="1">
      <c r="A15" s="146" t="s">
        <v>168</v>
      </c>
      <c r="B15" s="2" t="str">
        <f>Data!B157</f>
        <v>Losses discretionary reward scheme</v>
      </c>
      <c r="C15" s="57" t="str">
        <f>'RFPR cover'!$C$14</f>
        <v>£m 12/13</v>
      </c>
      <c r="D15" s="520">
        <v>0</v>
      </c>
      <c r="E15" s="521">
        <v>0.17499999999999999</v>
      </c>
      <c r="F15" s="521">
        <v>0</v>
      </c>
      <c r="G15" s="521">
        <v>0</v>
      </c>
      <c r="H15" s="521">
        <v>0</v>
      </c>
      <c r="I15" s="521">
        <v>0</v>
      </c>
      <c r="J15" s="802">
        <v>0</v>
      </c>
      <c r="K15" s="802">
        <v>0</v>
      </c>
      <c r="L15" s="592">
        <f>SUM(D15:INDEX(D15:K15,0,MATCH('RFPR cover'!$C$7,$D$6:$K$6,0)))</f>
        <v>0.17499999999999999</v>
      </c>
      <c r="M15" s="593">
        <f t="shared" si="1"/>
        <v>0.17499999999999999</v>
      </c>
    </row>
    <row r="16" spans="1:14" s="2" customFormat="1">
      <c r="A16" s="146" t="s">
        <v>169</v>
      </c>
      <c r="B16" s="2" t="str">
        <f>Data!B158</f>
        <v/>
      </c>
      <c r="C16" s="57" t="str">
        <f>'RFPR cover'!$C$14</f>
        <v>£m 12/13</v>
      </c>
      <c r="D16" s="520"/>
      <c r="E16" s="521"/>
      <c r="F16" s="521"/>
      <c r="G16" s="521"/>
      <c r="H16" s="521"/>
      <c r="I16" s="521"/>
      <c r="J16" s="521"/>
      <c r="K16" s="521"/>
      <c r="L16" s="592">
        <f>SUM(D16:INDEX(D16:K16,0,MATCH('RFPR cover'!$C$7,$D$6:$K$6,0)))</f>
        <v>0</v>
      </c>
      <c r="M16" s="593">
        <f t="shared" si="1"/>
        <v>0</v>
      </c>
    </row>
    <row r="17" spans="1:14" s="2" customFormat="1">
      <c r="A17" s="146" t="s">
        <v>477</v>
      </c>
      <c r="B17" s="2" t="str">
        <f>Data!B159</f>
        <v/>
      </c>
      <c r="C17" s="57" t="str">
        <f>'RFPR cover'!$C$14</f>
        <v>£m 12/13</v>
      </c>
      <c r="D17" s="723"/>
      <c r="E17" s="724"/>
      <c r="F17" s="724"/>
      <c r="G17" s="724"/>
      <c r="H17" s="724"/>
      <c r="I17" s="724"/>
      <c r="J17" s="724"/>
      <c r="K17" s="725"/>
      <c r="L17" s="592">
        <f>SUM(D17:INDEX(D17:K17,0,MATCH('RFPR cover'!$C$7,$D$6:$K$6,0)))</f>
        <v>0</v>
      </c>
      <c r="M17" s="593">
        <f t="shared" si="1"/>
        <v>0</v>
      </c>
    </row>
    <row r="18" spans="1:14" s="2" customFormat="1">
      <c r="B18" s="12" t="s">
        <v>202</v>
      </c>
      <c r="C18" s="145" t="str">
        <f>'RFPR cover'!$C$14</f>
        <v>£m 12/13</v>
      </c>
      <c r="D18" s="534">
        <f>SUM(D11:D17)</f>
        <v>9.2248329032782532</v>
      </c>
      <c r="E18" s="534">
        <f t="shared" ref="E18:K18" si="2">SUM(E11:E17)</f>
        <v>12.157379049252938</v>
      </c>
      <c r="F18" s="534">
        <f t="shared" si="2"/>
        <v>11.169525079234237</v>
      </c>
      <c r="G18" s="534">
        <f t="shared" si="2"/>
        <v>8.3275772755933186</v>
      </c>
      <c r="H18" s="534">
        <f t="shared" si="2"/>
        <v>10.177969546583803</v>
      </c>
      <c r="I18" s="534">
        <f t="shared" si="2"/>
        <v>12.5222</v>
      </c>
      <c r="J18" s="534">
        <f t="shared" si="2"/>
        <v>5.2891409188096388</v>
      </c>
      <c r="K18" s="534">
        <f t="shared" si="2"/>
        <v>6.2136334091735526</v>
      </c>
      <c r="L18" s="534">
        <f>SUM(L11:L17)</f>
        <v>75.082258181925724</v>
      </c>
      <c r="M18" s="534">
        <f>SUM(M11:M17)</f>
        <v>75.082258181925724</v>
      </c>
    </row>
    <row r="19" spans="1:14" s="2" customFormat="1">
      <c r="B19" s="12"/>
      <c r="C19" s="145"/>
      <c r="D19" s="145"/>
      <c r="E19" s="145"/>
      <c r="F19" s="145"/>
      <c r="G19" s="145"/>
      <c r="H19" s="145"/>
      <c r="I19" s="145"/>
      <c r="J19" s="145"/>
      <c r="K19" s="145"/>
      <c r="L19" s="145"/>
      <c r="M19" s="145"/>
    </row>
    <row r="20" spans="1:14" s="2" customFormat="1">
      <c r="B20" s="12" t="s">
        <v>374</v>
      </c>
      <c r="C20" s="145"/>
      <c r="D20" s="145"/>
      <c r="E20" s="145"/>
      <c r="F20" s="145"/>
      <c r="G20" s="145"/>
      <c r="H20" s="145"/>
      <c r="I20" s="145"/>
      <c r="J20" s="145"/>
      <c r="K20" s="145"/>
      <c r="L20" s="145"/>
      <c r="M20" s="145"/>
    </row>
    <row r="21" spans="1:14" s="2" customFormat="1">
      <c r="A21" s="3" t="str">
        <f>A11</f>
        <v>a</v>
      </c>
      <c r="B21" s="855" t="s">
        <v>604</v>
      </c>
      <c r="C21" s="855"/>
      <c r="D21" s="855"/>
      <c r="E21" s="855"/>
      <c r="F21" s="855"/>
      <c r="G21" s="855"/>
      <c r="H21" s="855"/>
      <c r="I21" s="855"/>
      <c r="J21" s="855"/>
      <c r="K21" s="855"/>
      <c r="L21" s="855"/>
      <c r="M21" s="855"/>
    </row>
    <row r="22" spans="1:14" s="2" customFormat="1">
      <c r="A22" s="3" t="str">
        <f>A12</f>
        <v>b</v>
      </c>
      <c r="B22" s="855"/>
      <c r="C22" s="855"/>
      <c r="D22" s="855"/>
      <c r="E22" s="855"/>
      <c r="F22" s="855"/>
      <c r="G22" s="855"/>
      <c r="H22" s="855"/>
      <c r="I22" s="855"/>
      <c r="J22" s="855"/>
      <c r="K22" s="855"/>
      <c r="L22" s="855"/>
      <c r="M22" s="855"/>
    </row>
    <row r="23" spans="1:14" s="2" customFormat="1">
      <c r="A23" s="3" t="str">
        <f>A13</f>
        <v>c</v>
      </c>
      <c r="B23" s="855"/>
      <c r="C23" s="855"/>
      <c r="D23" s="855"/>
      <c r="E23" s="855"/>
      <c r="F23" s="855"/>
      <c r="G23" s="855"/>
      <c r="H23" s="855"/>
      <c r="I23" s="855"/>
      <c r="J23" s="855"/>
      <c r="K23" s="855"/>
      <c r="L23" s="855"/>
      <c r="M23" s="855"/>
    </row>
    <row r="24" spans="1:14" s="2" customFormat="1">
      <c r="A24" s="3" t="str">
        <f>A14</f>
        <v>d</v>
      </c>
      <c r="B24" s="855"/>
      <c r="C24" s="855"/>
      <c r="D24" s="855"/>
      <c r="E24" s="855"/>
      <c r="F24" s="855"/>
      <c r="G24" s="855"/>
      <c r="H24" s="855"/>
      <c r="I24" s="855"/>
      <c r="J24" s="855"/>
      <c r="K24" s="855"/>
      <c r="L24" s="855"/>
      <c r="M24" s="855"/>
    </row>
    <row r="25" spans="1:14" s="2" customFormat="1">
      <c r="A25" s="3" t="str">
        <f>A15</f>
        <v>e</v>
      </c>
      <c r="B25" s="855"/>
      <c r="C25" s="855"/>
      <c r="D25" s="855"/>
      <c r="E25" s="855"/>
      <c r="F25" s="855"/>
      <c r="G25" s="855"/>
      <c r="H25" s="855"/>
      <c r="I25" s="855"/>
      <c r="J25" s="855"/>
      <c r="K25" s="855"/>
      <c r="L25" s="855"/>
      <c r="M25" s="855"/>
    </row>
    <row r="26" spans="1:14" s="2" customFormat="1">
      <c r="A26" s="3" t="s">
        <v>169</v>
      </c>
      <c r="B26" s="447"/>
      <c r="C26" s="447"/>
      <c r="D26" s="447"/>
      <c r="E26" s="447"/>
      <c r="F26" s="447"/>
      <c r="G26" s="447"/>
      <c r="H26" s="447"/>
      <c r="I26" s="447"/>
      <c r="J26" s="447"/>
      <c r="K26" s="447"/>
      <c r="L26" s="447"/>
      <c r="M26" s="447"/>
    </row>
    <row r="27" spans="1:14" s="2" customFormat="1">
      <c r="A27" s="3" t="s">
        <v>477</v>
      </c>
      <c r="B27" s="447"/>
      <c r="C27" s="447"/>
      <c r="D27" s="447"/>
      <c r="E27" s="447"/>
      <c r="F27" s="447"/>
      <c r="G27" s="447"/>
      <c r="H27" s="447"/>
      <c r="I27" s="447"/>
      <c r="J27" s="447"/>
      <c r="K27" s="447"/>
      <c r="L27" s="447"/>
      <c r="M27" s="447"/>
    </row>
    <row r="28" spans="1:14" s="307" customFormat="1">
      <c r="A28" s="35"/>
      <c r="B28" s="464"/>
      <c r="C28" s="464"/>
      <c r="D28" s="464"/>
      <c r="E28" s="464"/>
      <c r="F28" s="464"/>
      <c r="G28" s="464"/>
      <c r="H28" s="464"/>
      <c r="I28" s="464"/>
      <c r="J28" s="464"/>
      <c r="K28" s="464"/>
      <c r="L28" s="464"/>
      <c r="M28" s="464"/>
    </row>
    <row r="29" spans="1:14" s="2" customFormat="1">
      <c r="B29" s="12"/>
      <c r="C29" s="127"/>
      <c r="D29" s="47"/>
      <c r="E29" s="47"/>
      <c r="F29" s="47"/>
      <c r="G29" s="47"/>
      <c r="H29" s="47"/>
      <c r="I29" s="47"/>
      <c r="J29" s="47"/>
      <c r="K29" s="47"/>
    </row>
    <row r="30" spans="1:14" s="2" customFormat="1">
      <c r="B30" s="107" t="s">
        <v>199</v>
      </c>
      <c r="C30" s="140"/>
      <c r="D30" s="72"/>
      <c r="E30" s="72"/>
      <c r="F30" s="72"/>
      <c r="G30" s="72"/>
      <c r="H30" s="72"/>
      <c r="I30" s="72"/>
      <c r="J30" s="72"/>
      <c r="K30" s="72"/>
      <c r="L30" s="72"/>
      <c r="M30" s="72"/>
      <c r="N30" s="72"/>
    </row>
    <row r="31" spans="1:14" s="2" customFormat="1"/>
    <row r="32" spans="1:14" s="2" customFormat="1">
      <c r="B32" s="321" t="s">
        <v>210</v>
      </c>
      <c r="C32" s="259"/>
      <c r="D32" s="261"/>
      <c r="E32" s="261"/>
      <c r="F32" s="261"/>
      <c r="G32" s="261"/>
      <c r="H32" s="261"/>
      <c r="I32" s="261"/>
      <c r="J32" s="261"/>
      <c r="K32" s="261"/>
      <c r="L32" s="261"/>
      <c r="M32" s="261"/>
      <c r="N32" s="261"/>
    </row>
    <row r="33" spans="1:14" s="2" customFormat="1">
      <c r="B33" s="322" t="s">
        <v>240</v>
      </c>
      <c r="C33" s="259"/>
      <c r="D33" s="261"/>
      <c r="E33" s="261"/>
      <c r="F33" s="261"/>
      <c r="G33" s="261"/>
      <c r="H33" s="261"/>
      <c r="I33" s="261"/>
      <c r="J33" s="261"/>
      <c r="K33" s="261"/>
      <c r="L33" s="261"/>
      <c r="M33" s="261"/>
      <c r="N33" s="261"/>
    </row>
    <row r="34" spans="1:14" s="2" customFormat="1">
      <c r="B34" s="322" t="s">
        <v>478</v>
      </c>
      <c r="C34" s="259"/>
      <c r="D34" s="261"/>
      <c r="E34" s="261"/>
      <c r="F34" s="261"/>
      <c r="G34" s="261"/>
      <c r="H34" s="261"/>
      <c r="I34" s="261"/>
      <c r="J34" s="261"/>
      <c r="K34" s="261"/>
      <c r="L34" s="261"/>
      <c r="M34" s="261"/>
      <c r="N34" s="261"/>
    </row>
    <row r="35" spans="1:14" s="2" customFormat="1">
      <c r="B35" s="322" t="s">
        <v>208</v>
      </c>
      <c r="C35" s="259"/>
      <c r="D35" s="261"/>
      <c r="E35" s="261"/>
      <c r="F35" s="261"/>
      <c r="G35" s="261"/>
      <c r="H35" s="261"/>
      <c r="I35" s="261"/>
      <c r="J35" s="261"/>
      <c r="K35" s="261"/>
      <c r="L35" s="261"/>
      <c r="M35" s="261"/>
      <c r="N35" s="261"/>
    </row>
    <row r="36" spans="1:14" s="2" customFormat="1">
      <c r="B36" s="322" t="s">
        <v>201</v>
      </c>
      <c r="C36" s="259"/>
      <c r="D36" s="261"/>
      <c r="E36" s="261"/>
      <c r="F36" s="261"/>
      <c r="G36" s="261"/>
      <c r="H36" s="261"/>
      <c r="I36" s="261"/>
      <c r="J36" s="261"/>
      <c r="K36" s="261"/>
      <c r="L36" s="261"/>
      <c r="M36" s="261"/>
      <c r="N36" s="261"/>
    </row>
    <row r="37" spans="1:14" s="2" customFormat="1">
      <c r="B37" s="322" t="s">
        <v>207</v>
      </c>
      <c r="C37" s="259"/>
      <c r="D37" s="261"/>
      <c r="E37" s="261"/>
      <c r="F37" s="261"/>
      <c r="G37" s="261"/>
      <c r="H37" s="261"/>
      <c r="I37" s="261"/>
      <c r="J37" s="261"/>
      <c r="K37" s="261"/>
      <c r="L37" s="261"/>
      <c r="M37" s="261"/>
      <c r="N37" s="261"/>
    </row>
    <row r="38" spans="1:14" s="2" customFormat="1">
      <c r="B38" s="12"/>
      <c r="C38" s="127"/>
    </row>
    <row r="39" spans="1:14" s="2" customFormat="1">
      <c r="A39" s="146" t="str">
        <f t="shared" ref="A39:A45" si="3">A11</f>
        <v>a</v>
      </c>
      <c r="B39" s="2" t="str">
        <f>$B$11&amp;""</f>
        <v>Broad measure of customer service</v>
      </c>
      <c r="C39" s="57" t="str">
        <f>'RFPR cover'!$C$14</f>
        <v>£m 12/13</v>
      </c>
      <c r="D39" s="588">
        <f>D51</f>
        <v>0.97674594335115539</v>
      </c>
      <c r="E39" s="588">
        <f t="shared" ref="E39:K39" si="4">E51</f>
        <v>1.6263829867298503</v>
      </c>
      <c r="F39" s="588">
        <f t="shared" si="4"/>
        <v>1.8585919621036557</v>
      </c>
      <c r="G39" s="588">
        <f t="shared" si="4"/>
        <v>1.8086444248287488</v>
      </c>
      <c r="H39" s="588">
        <f t="shared" si="4"/>
        <v>2.1101310000000009</v>
      </c>
      <c r="I39" s="588">
        <f t="shared" si="4"/>
        <v>2.0429819999999999</v>
      </c>
      <c r="J39" s="588">
        <f t="shared" si="4"/>
        <v>0.51555300000000015</v>
      </c>
      <c r="K39" s="588">
        <f t="shared" si="4"/>
        <v>1.1083690830456303</v>
      </c>
      <c r="L39" s="588">
        <f>SUM(D39:INDEX(D39:K39,0,MATCH('RFPR cover'!$C$7,$D$6:$K$6,0)))</f>
        <v>12.047400400059043</v>
      </c>
      <c r="M39" s="589">
        <f t="shared" ref="M39:M45" si="5">SUM(D39:K39)</f>
        <v>12.047400400059043</v>
      </c>
    </row>
    <row r="40" spans="1:14" s="2" customFormat="1">
      <c r="A40" s="146" t="str">
        <f t="shared" si="3"/>
        <v>b</v>
      </c>
      <c r="B40" s="2" t="str">
        <f>$B$12&amp;""</f>
        <v>Interruptions-related quality of service</v>
      </c>
      <c r="C40" s="57" t="str">
        <f>'RFPR cover'!$C$14</f>
        <v>£m 12/13</v>
      </c>
      <c r="D40" s="588">
        <f>D55</f>
        <v>6.0496742952869536</v>
      </c>
      <c r="E40" s="588">
        <f t="shared" ref="E40:K40" si="6">E55</f>
        <v>7.7553440431650298</v>
      </c>
      <c r="F40" s="588">
        <f t="shared" si="6"/>
        <v>7.1655573520760774</v>
      </c>
      <c r="G40" s="588">
        <f t="shared" si="6"/>
        <v>4.6894811684018407</v>
      </c>
      <c r="H40" s="588">
        <f t="shared" si="6"/>
        <v>6.1340243327328805</v>
      </c>
      <c r="I40" s="588">
        <f t="shared" si="6"/>
        <v>8.1000000000000014</v>
      </c>
      <c r="J40" s="588">
        <f t="shared" si="6"/>
        <v>3.4513026891072291</v>
      </c>
      <c r="K40" s="588">
        <f t="shared" si="6"/>
        <v>3.5518559738345337</v>
      </c>
      <c r="L40" s="592">
        <f>SUM(D40:INDEX(D40:K40,0,MATCH('RFPR cover'!$C$7,$D$6:$K$6,0)))</f>
        <v>46.89723985460455</v>
      </c>
      <c r="M40" s="593">
        <f t="shared" si="5"/>
        <v>46.89723985460455</v>
      </c>
    </row>
    <row r="41" spans="1:14" s="2" customFormat="1">
      <c r="A41" s="146" t="str">
        <f t="shared" si="3"/>
        <v>c</v>
      </c>
      <c r="B41" s="2" t="str">
        <f>$B$13&amp;""</f>
        <v>Incentive on connections engagement</v>
      </c>
      <c r="C41" s="57" t="str">
        <f>'RFPR cover'!$C$14</f>
        <v>£m 12/13</v>
      </c>
      <c r="D41" s="588">
        <f>D59</f>
        <v>0</v>
      </c>
      <c r="E41" s="588">
        <f t="shared" ref="E41:K41" si="7">E59</f>
        <v>0</v>
      </c>
      <c r="F41" s="588">
        <f t="shared" si="7"/>
        <v>0</v>
      </c>
      <c r="G41" s="588">
        <f t="shared" si="7"/>
        <v>0</v>
      </c>
      <c r="H41" s="588">
        <f t="shared" si="7"/>
        <v>0</v>
      </c>
      <c r="I41" s="588">
        <f t="shared" si="7"/>
        <v>0</v>
      </c>
      <c r="J41" s="588">
        <f t="shared" si="7"/>
        <v>0</v>
      </c>
      <c r="K41" s="588">
        <f t="shared" si="7"/>
        <v>0</v>
      </c>
      <c r="L41" s="592">
        <f>SUM(D41:INDEX(D41:K41,0,MATCH('RFPR cover'!$C$7,$D$6:$K$6,0)))</f>
        <v>0</v>
      </c>
      <c r="M41" s="593">
        <f t="shared" si="5"/>
        <v>0</v>
      </c>
    </row>
    <row r="42" spans="1:14" s="2" customFormat="1">
      <c r="A42" s="146" t="str">
        <f t="shared" si="3"/>
        <v>d</v>
      </c>
      <c r="B42" s="2" t="str">
        <f>$B$14&amp;""</f>
        <v>Time to Connect Incentive</v>
      </c>
      <c r="C42" s="57" t="str">
        <f>'RFPR cover'!$C$14</f>
        <v>£m 12/13</v>
      </c>
      <c r="D42" s="588">
        <f>D63</f>
        <v>0.44569441301727608</v>
      </c>
      <c r="E42" s="588">
        <f t="shared" ref="E42:K42" si="8">E63</f>
        <v>0.32400000000000007</v>
      </c>
      <c r="F42" s="588">
        <f t="shared" si="8"/>
        <v>2.3166000000000068E-2</v>
      </c>
      <c r="G42" s="588">
        <f t="shared" si="8"/>
        <v>0.24721200000000004</v>
      </c>
      <c r="H42" s="588">
        <f t="shared" si="8"/>
        <v>0</v>
      </c>
      <c r="I42" s="588">
        <f t="shared" si="8"/>
        <v>0</v>
      </c>
      <c r="J42" s="588">
        <f t="shared" si="8"/>
        <v>0</v>
      </c>
      <c r="K42" s="588">
        <f t="shared" si="8"/>
        <v>0</v>
      </c>
      <c r="L42" s="592">
        <f>SUM(D42:INDEX(D42:K42,0,MATCH('RFPR cover'!$C$7,$D$6:$K$6,0)))</f>
        <v>1.0400724130172763</v>
      </c>
      <c r="M42" s="593">
        <f t="shared" si="5"/>
        <v>1.0400724130172763</v>
      </c>
    </row>
    <row r="43" spans="1:14" s="2" customFormat="1">
      <c r="A43" s="146" t="str">
        <f t="shared" si="3"/>
        <v>e</v>
      </c>
      <c r="B43" s="2" t="str">
        <f>$B$15&amp;""</f>
        <v>Losses discretionary reward scheme</v>
      </c>
      <c r="C43" s="57" t="str">
        <f>'RFPR cover'!$C$14</f>
        <v>£m 12/13</v>
      </c>
      <c r="D43" s="588">
        <f>D67</f>
        <v>0</v>
      </c>
      <c r="E43" s="588">
        <f t="shared" ref="E43:K43" si="9">E67</f>
        <v>0.14174999999999999</v>
      </c>
      <c r="F43" s="588">
        <f t="shared" si="9"/>
        <v>0</v>
      </c>
      <c r="G43" s="588">
        <f t="shared" si="9"/>
        <v>0</v>
      </c>
      <c r="H43" s="588">
        <f t="shared" si="9"/>
        <v>0</v>
      </c>
      <c r="I43" s="588">
        <f t="shared" si="9"/>
        <v>0</v>
      </c>
      <c r="J43" s="588">
        <f t="shared" si="9"/>
        <v>0</v>
      </c>
      <c r="K43" s="588">
        <f t="shared" si="9"/>
        <v>0</v>
      </c>
      <c r="L43" s="592">
        <f>SUM(D43:INDEX(D43:K43,0,MATCH('RFPR cover'!$C$7,$D$6:$K$6,0)))</f>
        <v>0.14174999999999999</v>
      </c>
      <c r="M43" s="593">
        <f t="shared" si="5"/>
        <v>0.14174999999999999</v>
      </c>
    </row>
    <row r="44" spans="1:14" s="2" customFormat="1">
      <c r="A44" s="146" t="str">
        <f t="shared" si="3"/>
        <v>f</v>
      </c>
      <c r="B44" s="2" t="str">
        <f>$B$16&amp;""</f>
        <v/>
      </c>
      <c r="C44" s="57" t="str">
        <f>'RFPR cover'!$C$14</f>
        <v>£m 12/13</v>
      </c>
      <c r="D44" s="588">
        <f>D71</f>
        <v>0</v>
      </c>
      <c r="E44" s="588">
        <f t="shared" ref="E44:K44" si="10">E71</f>
        <v>0</v>
      </c>
      <c r="F44" s="588">
        <f t="shared" si="10"/>
        <v>0</v>
      </c>
      <c r="G44" s="588">
        <f t="shared" si="10"/>
        <v>0</v>
      </c>
      <c r="H44" s="588">
        <f t="shared" si="10"/>
        <v>0</v>
      </c>
      <c r="I44" s="588">
        <f t="shared" si="10"/>
        <v>0</v>
      </c>
      <c r="J44" s="588">
        <f t="shared" si="10"/>
        <v>0</v>
      </c>
      <c r="K44" s="588">
        <f t="shared" si="10"/>
        <v>0</v>
      </c>
      <c r="L44" s="592">
        <f>SUM(D44:INDEX(D44:K44,0,MATCH('RFPR cover'!$C$7,$D$6:$K$6,0)))</f>
        <v>0</v>
      </c>
      <c r="M44" s="593">
        <f t="shared" si="5"/>
        <v>0</v>
      </c>
    </row>
    <row r="45" spans="1:14" s="2" customFormat="1">
      <c r="A45" s="146" t="str">
        <f t="shared" si="3"/>
        <v>g</v>
      </c>
      <c r="B45" s="2" t="str">
        <f>$B$17&amp;""</f>
        <v/>
      </c>
      <c r="C45" s="57" t="str">
        <f>'RFPR cover'!$C$14</f>
        <v>£m 12/13</v>
      </c>
      <c r="D45" s="588">
        <f>D75</f>
        <v>0</v>
      </c>
      <c r="E45" s="588">
        <f t="shared" ref="E45:K45" si="11">E75</f>
        <v>0</v>
      </c>
      <c r="F45" s="588">
        <f t="shared" si="11"/>
        <v>0</v>
      </c>
      <c r="G45" s="588">
        <f t="shared" si="11"/>
        <v>0</v>
      </c>
      <c r="H45" s="588">
        <f t="shared" si="11"/>
        <v>0</v>
      </c>
      <c r="I45" s="588">
        <f t="shared" si="11"/>
        <v>0</v>
      </c>
      <c r="J45" s="588">
        <f t="shared" si="11"/>
        <v>0</v>
      </c>
      <c r="K45" s="588">
        <f t="shared" si="11"/>
        <v>0</v>
      </c>
      <c r="L45" s="592">
        <f>SUM(D45:INDEX(D45:K45,0,MATCH('RFPR cover'!$C$7,$D$6:$K$6,0)))</f>
        <v>0</v>
      </c>
      <c r="M45" s="593">
        <f t="shared" si="5"/>
        <v>0</v>
      </c>
    </row>
    <row r="46" spans="1:14" s="2" customFormat="1">
      <c r="B46" s="12" t="s">
        <v>203</v>
      </c>
      <c r="C46" s="145" t="str">
        <f>'RFPR cover'!$C$14</f>
        <v>£m 12/13</v>
      </c>
      <c r="D46" s="534">
        <f>SUM(D39:D45)</f>
        <v>7.4721146516553851</v>
      </c>
      <c r="E46" s="534">
        <f t="shared" ref="E46:M46" si="12">SUM(E39:E45)</f>
        <v>9.8474770298948791</v>
      </c>
      <c r="F46" s="534">
        <f t="shared" si="12"/>
        <v>9.0473153141797322</v>
      </c>
      <c r="G46" s="534">
        <f t="shared" si="12"/>
        <v>6.7453375932305901</v>
      </c>
      <c r="H46" s="535">
        <f t="shared" si="12"/>
        <v>8.2441553327328805</v>
      </c>
      <c r="I46" s="535">
        <f t="shared" si="12"/>
        <v>10.142982000000002</v>
      </c>
      <c r="J46" s="535">
        <f t="shared" si="12"/>
        <v>3.9668556891072293</v>
      </c>
      <c r="K46" s="535">
        <f t="shared" si="12"/>
        <v>4.6602250568801642</v>
      </c>
      <c r="L46" s="534">
        <f t="shared" si="12"/>
        <v>60.126462667680876</v>
      </c>
      <c r="M46" s="534">
        <f t="shared" si="12"/>
        <v>60.126462667680876</v>
      </c>
    </row>
    <row r="47" spans="1:14" s="2" customFormat="1">
      <c r="B47" s="12"/>
      <c r="C47" s="145"/>
      <c r="D47" s="145"/>
      <c r="E47" s="145"/>
      <c r="F47" s="145"/>
      <c r="G47" s="145"/>
      <c r="H47" s="145"/>
      <c r="I47" s="145"/>
      <c r="J47" s="145"/>
      <c r="K47" s="145"/>
      <c r="L47" s="145"/>
      <c r="M47" s="145"/>
    </row>
    <row r="48" spans="1:14" s="2" customFormat="1">
      <c r="B48" s="12"/>
      <c r="C48" s="145"/>
      <c r="D48" s="147"/>
      <c r="E48" s="145"/>
      <c r="F48" s="145"/>
      <c r="G48" s="145"/>
      <c r="H48" s="145"/>
      <c r="I48" s="145"/>
      <c r="J48" s="145"/>
      <c r="K48" s="145"/>
      <c r="L48" s="145"/>
      <c r="M48" s="145"/>
    </row>
    <row r="49" spans="1:13" s="2" customFormat="1">
      <c r="A49" s="146" t="str">
        <f>$A$11</f>
        <v>a</v>
      </c>
      <c r="B49" s="2" t="str">
        <f>INDEX($B$11:$B$15,MATCH($A49,$A$11:$A$15,0),0)&amp;""</f>
        <v>Broad measure of customer service</v>
      </c>
      <c r="C49" s="57" t="str">
        <f>'RFPR cover'!$C$14</f>
        <v>£m 12/13</v>
      </c>
      <c r="D49" s="679">
        <f>INDEX($D$11:$K$17,MATCH($A49,$A$11:$A$17,0),0)</f>
        <v>1.205859189322414</v>
      </c>
      <c r="E49" s="679">
        <f t="shared" ref="E49:K49" si="13">INDEX($D$11:$K$17,MATCH($A49,$A$11:$A$17,0),0)</f>
        <v>2.0078802305306791</v>
      </c>
      <c r="F49" s="679">
        <f t="shared" si="13"/>
        <v>2.2945579779057477</v>
      </c>
      <c r="G49" s="679">
        <f t="shared" si="13"/>
        <v>2.2328943516404305</v>
      </c>
      <c r="H49" s="679">
        <f t="shared" si="13"/>
        <v>2.6051000000000006</v>
      </c>
      <c r="I49" s="679">
        <f t="shared" si="13"/>
        <v>2.5221999999999998</v>
      </c>
      <c r="J49" s="679">
        <f t="shared" si="13"/>
        <v>0.68740400000000024</v>
      </c>
      <c r="K49" s="679">
        <f t="shared" si="13"/>
        <v>1.4778254440608405</v>
      </c>
      <c r="L49" s="679">
        <f>SUM(D49:INDEX(D49:K49,0,MATCH('RFPR cover'!$C$7,$D$6:$K$6,0)))</f>
        <v>15.033721193460114</v>
      </c>
      <c r="M49" s="680">
        <f>SUM(D49:K49)</f>
        <v>15.033721193460114</v>
      </c>
    </row>
    <row r="50" spans="1:13" s="2" customFormat="1">
      <c r="A50" s="146"/>
      <c r="B50" s="2" t="s">
        <v>200</v>
      </c>
      <c r="C50" s="262" t="s">
        <v>201</v>
      </c>
      <c r="D50" s="750">
        <f>IF($C50=$B$33,$B$33,INDEX(Data!$G$14:$G$30,MATCH('R5 - Output Incentives'!D$6+RIGHT('R5 - Output Incentives'!$C50,2),Data!$C$14:$C$30,0),0))</f>
        <v>0.19</v>
      </c>
      <c r="E50" s="751">
        <f>IF($C50=$B$33,$B$33,INDEX(Data!$G$14:$G$30,MATCH('R5 - Output Incentives'!E$6+RIGHT('R5 - Output Incentives'!$C50,2),Data!$C$14:$C$30,0),0))</f>
        <v>0.19</v>
      </c>
      <c r="F50" s="751">
        <f>IF($C50=$B$33,$B$33,INDEX(Data!$G$14:$G$30,MATCH('R5 - Output Incentives'!F$6+RIGHT('R5 - Output Incentives'!$C50,2),Data!$C$14:$C$30,0),0))</f>
        <v>0.19</v>
      </c>
      <c r="G50" s="751">
        <f>IF($C50=$B$33,$B$33,INDEX(Data!$G$14:$G$30,MATCH('R5 - Output Incentives'!G$6+RIGHT('R5 - Output Incentives'!$C50,2),Data!$C$14:$C$30,0),0))</f>
        <v>0.19</v>
      </c>
      <c r="H50" s="751">
        <f>IF($C50=$B$33,$B$33,INDEX(Data!$G$14:$G$30,MATCH('R5 - Output Incentives'!H$6+RIGHT('R5 - Output Incentives'!$C50,2),Data!$C$14:$C$30,0),0))</f>
        <v>0.19</v>
      </c>
      <c r="I50" s="751">
        <f>IF($C50=$B$33,$B$33,INDEX(Data!$G$14:$G$30,MATCH('R5 - Output Incentives'!I$6+RIGHT('R5 - Output Incentives'!$C50,2),Data!$C$14:$C$30,0),0))</f>
        <v>0.19</v>
      </c>
      <c r="J50" s="751">
        <f>IF($C50=$B$33,$B$33,INDEX(Data!$G$14:$G$30,MATCH('R5 - Output Incentives'!J$6+RIGHT('R5 - Output Incentives'!$C50,2),Data!$C$14:$C$30,0),0))</f>
        <v>0.25</v>
      </c>
      <c r="K50" s="752">
        <f>IF($C50=$B$33,$B$33,INDEX(Data!$G$14:$G$30,MATCH('R5 - Output Incentives'!K$6+RIGHT('R5 - Output Incentives'!$C50,2),Data!$C$14:$C$30,0),0))</f>
        <v>0.25</v>
      </c>
      <c r="L50" s="681"/>
      <c r="M50" s="682"/>
    </row>
    <row r="51" spans="1:13" s="2" customFormat="1">
      <c r="A51" s="146"/>
      <c r="B51" s="2" t="s">
        <v>209</v>
      </c>
      <c r="C51" s="57"/>
      <c r="D51" s="534">
        <f>IFERROR(D49*(1-D50),0)</f>
        <v>0.97674594335115539</v>
      </c>
      <c r="E51" s="535">
        <f t="shared" ref="E51:K51" si="14">IFERROR(E49*(1-E50),0)</f>
        <v>1.6263829867298503</v>
      </c>
      <c r="F51" s="535">
        <f t="shared" si="14"/>
        <v>1.8585919621036557</v>
      </c>
      <c r="G51" s="535">
        <f t="shared" si="14"/>
        <v>1.8086444248287488</v>
      </c>
      <c r="H51" s="535">
        <f t="shared" si="14"/>
        <v>2.1101310000000009</v>
      </c>
      <c r="I51" s="535">
        <f t="shared" si="14"/>
        <v>2.0429819999999999</v>
      </c>
      <c r="J51" s="535">
        <f t="shared" si="14"/>
        <v>0.51555300000000015</v>
      </c>
      <c r="K51" s="535">
        <f t="shared" si="14"/>
        <v>1.1083690830456303</v>
      </c>
      <c r="L51" s="586">
        <f>SUM(D51:INDEX(D51:K51,0,MATCH('RFPR cover'!$C$7,$D$6:$K$6,0)))</f>
        <v>12.047400400059043</v>
      </c>
      <c r="M51" s="587">
        <f>SUM(D51:K51)</f>
        <v>12.047400400059043</v>
      </c>
    </row>
    <row r="52" spans="1:13" s="2" customFormat="1">
      <c r="A52" s="146"/>
      <c r="B52" s="12"/>
      <c r="C52" s="145"/>
      <c r="D52" s="145"/>
      <c r="E52" s="145"/>
      <c r="F52" s="145"/>
      <c r="G52" s="145"/>
      <c r="H52" s="145"/>
      <c r="I52" s="145"/>
      <c r="J52" s="145"/>
      <c r="K52" s="145"/>
      <c r="L52" s="145"/>
      <c r="M52" s="145"/>
    </row>
    <row r="53" spans="1:13" s="2" customFormat="1">
      <c r="A53" s="146" t="str">
        <f>$A$12</f>
        <v>b</v>
      </c>
      <c r="B53" s="2" t="str">
        <f>INDEX($B$11:$B$15,MATCH($A53,$A$11:$A$15,0),0)&amp;""</f>
        <v>Interruptions-related quality of service</v>
      </c>
      <c r="C53" s="57" t="str">
        <f>'RFPR cover'!$C$14</f>
        <v>£m 12/13</v>
      </c>
      <c r="D53" s="679">
        <f>INDEX($D$11:$K$17,MATCH($A53,$A$11:$A$17,0),0)</f>
        <v>7.4687336978851278</v>
      </c>
      <c r="E53" s="679">
        <f t="shared" ref="E53:K53" si="15">INDEX($D$11:$K$17,MATCH($A53,$A$11:$A$17,0),0)</f>
        <v>9.5744988187222582</v>
      </c>
      <c r="F53" s="679">
        <f t="shared" si="15"/>
        <v>8.8463671013284895</v>
      </c>
      <c r="G53" s="679">
        <f t="shared" si="15"/>
        <v>5.7894829239528889</v>
      </c>
      <c r="H53" s="679">
        <f t="shared" si="15"/>
        <v>7.572869546583803</v>
      </c>
      <c r="I53" s="679">
        <f t="shared" si="15"/>
        <v>10</v>
      </c>
      <c r="J53" s="679">
        <f t="shared" si="15"/>
        <v>4.6017369188096389</v>
      </c>
      <c r="K53" s="679">
        <f t="shared" si="15"/>
        <v>4.7358079651127118</v>
      </c>
      <c r="L53" s="588">
        <f>SUM(D53:INDEX(D53:K53,0,MATCH('RFPR cover'!$C$7,$D$6:$K$6,0)))</f>
        <v>58.589496972394912</v>
      </c>
      <c r="M53" s="589">
        <f>SUM(D53:K53)</f>
        <v>58.589496972394912</v>
      </c>
    </row>
    <row r="54" spans="1:13" s="2" customFormat="1">
      <c r="A54" s="146"/>
      <c r="B54" s="2" t="s">
        <v>200</v>
      </c>
      <c r="C54" s="262" t="s">
        <v>201</v>
      </c>
      <c r="D54" s="750">
        <f>IF($C54=$B$33,$B$33,INDEX(Data!$G$14:$G$30,MATCH('R5 - Output Incentives'!D$6+RIGHT('R5 - Output Incentives'!$C54,2),Data!$C$14:$C$30,0),0))</f>
        <v>0.19</v>
      </c>
      <c r="E54" s="751">
        <f>IF($C54=$B$33,$B$33,INDEX(Data!$G$14:$G$30,MATCH('R5 - Output Incentives'!E$6+RIGHT('R5 - Output Incentives'!$C54,2),Data!$C$14:$C$30,0),0))</f>
        <v>0.19</v>
      </c>
      <c r="F54" s="751">
        <f>IF($C54=$B$33,$B$33,INDEX(Data!$G$14:$G$30,MATCH('R5 - Output Incentives'!F$6+RIGHT('R5 - Output Incentives'!$C54,2),Data!$C$14:$C$30,0),0))</f>
        <v>0.19</v>
      </c>
      <c r="G54" s="751">
        <f>IF($C54=$B$33,$B$33,INDEX(Data!$G$14:$G$30,MATCH('R5 - Output Incentives'!G$6+RIGHT('R5 - Output Incentives'!$C54,2),Data!$C$14:$C$30,0),0))</f>
        <v>0.19</v>
      </c>
      <c r="H54" s="751">
        <f>IF($C54=$B$33,$B$33,INDEX(Data!$G$14:$G$30,MATCH('R5 - Output Incentives'!H$6+RIGHT('R5 - Output Incentives'!$C54,2),Data!$C$14:$C$30,0),0))</f>
        <v>0.19</v>
      </c>
      <c r="I54" s="751">
        <f>IF($C54=$B$33,$B$33,INDEX(Data!$G$14:$G$30,MATCH('R5 - Output Incentives'!I$6+RIGHT('R5 - Output Incentives'!$C54,2),Data!$C$14:$C$30,0),0))</f>
        <v>0.19</v>
      </c>
      <c r="J54" s="751">
        <f>IF($C54=$B$33,$B$33,INDEX(Data!$G$14:$G$30,MATCH('R5 - Output Incentives'!J$6+RIGHT('R5 - Output Incentives'!$C54,2),Data!$C$14:$C$30,0),0))</f>
        <v>0.25</v>
      </c>
      <c r="K54" s="752">
        <f>IF($C54=$B$33,$B$33,INDEX(Data!$G$14:$G$30,MATCH('R5 - Output Incentives'!K$6+RIGHT('R5 - Output Incentives'!$C54,2),Data!$C$14:$C$30,0),0))</f>
        <v>0.25</v>
      </c>
      <c r="L54" s="681"/>
      <c r="M54" s="682"/>
    </row>
    <row r="55" spans="1:13" s="2" customFormat="1">
      <c r="A55" s="146"/>
      <c r="B55" s="2" t="s">
        <v>209</v>
      </c>
      <c r="C55" s="57"/>
      <c r="D55" s="534">
        <f>IFERROR(D53*(1-D54),0)</f>
        <v>6.0496742952869536</v>
      </c>
      <c r="E55" s="535">
        <f t="shared" ref="E55:K55" si="16">IFERROR(E53*(1-E54),0)</f>
        <v>7.7553440431650298</v>
      </c>
      <c r="F55" s="535">
        <f t="shared" si="16"/>
        <v>7.1655573520760774</v>
      </c>
      <c r="G55" s="535">
        <f t="shared" si="16"/>
        <v>4.6894811684018407</v>
      </c>
      <c r="H55" s="535">
        <f t="shared" si="16"/>
        <v>6.1340243327328805</v>
      </c>
      <c r="I55" s="535">
        <f t="shared" si="16"/>
        <v>8.1000000000000014</v>
      </c>
      <c r="J55" s="535">
        <f t="shared" si="16"/>
        <v>3.4513026891072291</v>
      </c>
      <c r="K55" s="535">
        <f t="shared" si="16"/>
        <v>3.5518559738345337</v>
      </c>
      <c r="L55" s="586">
        <f>SUM(D55:INDEX(D55:K55,0,MATCH('RFPR cover'!$C$7,$D$6:$K$6,0)))</f>
        <v>46.89723985460455</v>
      </c>
      <c r="M55" s="587">
        <f>SUM(D55:K55)</f>
        <v>46.89723985460455</v>
      </c>
    </row>
    <row r="56" spans="1:13" s="2" customFormat="1">
      <c r="A56" s="146"/>
      <c r="B56" s="12"/>
      <c r="C56" s="145"/>
      <c r="D56" s="145"/>
      <c r="E56" s="145"/>
      <c r="F56" s="145"/>
      <c r="G56" s="145"/>
      <c r="H56" s="145"/>
      <c r="I56" s="145"/>
      <c r="J56" s="145"/>
      <c r="K56" s="145"/>
      <c r="L56" s="145"/>
      <c r="M56" s="145"/>
    </row>
    <row r="57" spans="1:13" s="2" customFormat="1">
      <c r="A57" s="146" t="str">
        <f>$A$13</f>
        <v>c</v>
      </c>
      <c r="B57" s="2" t="str">
        <f>INDEX($B$11:$B$15,MATCH($A57,$A$11:$A$15,0),0)&amp;""</f>
        <v>Incentive on connections engagement</v>
      </c>
      <c r="C57" s="57" t="str">
        <f>'RFPR cover'!$C$14</f>
        <v>£m 12/13</v>
      </c>
      <c r="D57" s="679">
        <f>INDEX($D$11:$K$17,MATCH($A57,$A$11:$A$17,0),0)</f>
        <v>0</v>
      </c>
      <c r="E57" s="679">
        <f t="shared" ref="E57:K57" si="17">INDEX($D$11:$K$17,MATCH($A57,$A$11:$A$17,0),0)</f>
        <v>0</v>
      </c>
      <c r="F57" s="679">
        <f t="shared" si="17"/>
        <v>0</v>
      </c>
      <c r="G57" s="679">
        <f t="shared" si="17"/>
        <v>0</v>
      </c>
      <c r="H57" s="679">
        <f t="shared" si="17"/>
        <v>0</v>
      </c>
      <c r="I57" s="679">
        <f t="shared" si="17"/>
        <v>0</v>
      </c>
      <c r="J57" s="679">
        <f t="shared" si="17"/>
        <v>0</v>
      </c>
      <c r="K57" s="679">
        <f t="shared" si="17"/>
        <v>0</v>
      </c>
      <c r="L57" s="588">
        <f>SUM(D57:INDEX(D57:K57,0,MATCH('RFPR cover'!$C$7,$D$6:$K$6,0)))</f>
        <v>0</v>
      </c>
      <c r="M57" s="589">
        <f>SUM(D57:K57)</f>
        <v>0</v>
      </c>
    </row>
    <row r="58" spans="1:13" s="2" customFormat="1">
      <c r="A58" s="146"/>
      <c r="B58" s="2" t="s">
        <v>200</v>
      </c>
      <c r="C58" s="262" t="s">
        <v>207</v>
      </c>
      <c r="D58" s="750">
        <f>IF($C58=$B$33,$B$33,INDEX(Data!$G$14:$G$30,MATCH('R5 - Output Incentives'!D$6+RIGHT('R5 - Output Incentives'!$C58,2),Data!$C$14:$C$30,0),0))</f>
        <v>0.19</v>
      </c>
      <c r="E58" s="751">
        <f>IF($C58=$B$33,$B$33,INDEX(Data!$G$14:$G$30,MATCH('R5 - Output Incentives'!E$6+RIGHT('R5 - Output Incentives'!$C58,2),Data!$C$14:$C$30,0),0))</f>
        <v>0.19</v>
      </c>
      <c r="F58" s="751">
        <f>IF($C58=$B$33,$B$33,INDEX(Data!$G$14:$G$30,MATCH('R5 - Output Incentives'!F$6+RIGHT('R5 - Output Incentives'!$C58,2),Data!$C$14:$C$30,0),0))</f>
        <v>0.19</v>
      </c>
      <c r="G58" s="751">
        <f>IF($C58=$B$33,$B$33,INDEX(Data!$G$14:$G$30,MATCH('R5 - Output Incentives'!G$6+RIGHT('R5 - Output Incentives'!$C58,2),Data!$C$14:$C$30,0),0))</f>
        <v>0.19</v>
      </c>
      <c r="H58" s="751">
        <f>IF($C58=$B$33,$B$33,INDEX(Data!$G$14:$G$30,MATCH('R5 - Output Incentives'!H$6+RIGHT('R5 - Output Incentives'!$C58,2),Data!$C$14:$C$30,0),0))</f>
        <v>0.19</v>
      </c>
      <c r="I58" s="751">
        <f>IF($C58=$B$33,$B$33,INDEX(Data!$G$14:$G$30,MATCH('R5 - Output Incentives'!I$6+RIGHT('R5 - Output Incentives'!$C58,2),Data!$C$14:$C$30,0),0))</f>
        <v>0.25</v>
      </c>
      <c r="J58" s="751">
        <f>IF($C58=$B$33,$B$33,INDEX(Data!$G$14:$G$30,MATCH('R5 - Output Incentives'!J$6+RIGHT('R5 - Output Incentives'!$C58,2),Data!$C$14:$C$30,0),0))</f>
        <v>0.25</v>
      </c>
      <c r="K58" s="752">
        <f>IF($C58=$B$33,$B$33,INDEX(Data!$G$14:$G$30,MATCH('R5 - Output Incentives'!K$6+RIGHT('R5 - Output Incentives'!$C58,2),Data!$C$14:$C$30,0),0))</f>
        <v>0.25</v>
      </c>
      <c r="L58" s="681"/>
      <c r="M58" s="682"/>
    </row>
    <row r="59" spans="1:13" s="2" customFormat="1">
      <c r="A59" s="146"/>
      <c r="B59" s="2" t="s">
        <v>209</v>
      </c>
      <c r="C59" s="57"/>
      <c r="D59" s="534">
        <f>IFERROR(D57*(1-D58),0)</f>
        <v>0</v>
      </c>
      <c r="E59" s="535">
        <f t="shared" ref="E59:K59" si="18">IFERROR(E57*(1-E58),0)</f>
        <v>0</v>
      </c>
      <c r="F59" s="535">
        <f t="shared" si="18"/>
        <v>0</v>
      </c>
      <c r="G59" s="535">
        <f t="shared" si="18"/>
        <v>0</v>
      </c>
      <c r="H59" s="535">
        <f t="shared" si="18"/>
        <v>0</v>
      </c>
      <c r="I59" s="535">
        <f t="shared" si="18"/>
        <v>0</v>
      </c>
      <c r="J59" s="535">
        <f t="shared" si="18"/>
        <v>0</v>
      </c>
      <c r="K59" s="535">
        <f t="shared" si="18"/>
        <v>0</v>
      </c>
      <c r="L59" s="586">
        <f>SUM(D59:INDEX(D59:K59,0,MATCH('RFPR cover'!$C$7,$D$6:$K$6,0)))</f>
        <v>0</v>
      </c>
      <c r="M59" s="587">
        <f>SUM(D59:K59)</f>
        <v>0</v>
      </c>
    </row>
    <row r="60" spans="1:13" s="2" customFormat="1">
      <c r="A60" s="146"/>
      <c r="B60" s="12"/>
      <c r="C60" s="145"/>
      <c r="D60" s="145"/>
      <c r="E60" s="145"/>
      <c r="F60" s="145"/>
      <c r="G60" s="145"/>
      <c r="H60" s="145"/>
      <c r="I60" s="145"/>
      <c r="J60" s="145"/>
      <c r="K60" s="145"/>
      <c r="L60" s="145"/>
      <c r="M60" s="145"/>
    </row>
    <row r="61" spans="1:13" s="2" customFormat="1">
      <c r="A61" s="146" t="str">
        <f>$A$14</f>
        <v>d</v>
      </c>
      <c r="B61" s="2" t="str">
        <f>INDEX($B$11:$B$15,MATCH($A61,$A$11:$A$15,0),0)&amp;""</f>
        <v>Time to Connect Incentive</v>
      </c>
      <c r="C61" s="57" t="str">
        <f>'RFPR cover'!$C$14</f>
        <v>£m 12/13</v>
      </c>
      <c r="D61" s="679">
        <f>INDEX($D$11:$K$17,MATCH($A61,$A$11:$A$17,0),0)</f>
        <v>0.55024001607071116</v>
      </c>
      <c r="E61" s="679">
        <f t="shared" ref="E61:K61" si="19">INDEX($D$11:$K$17,MATCH($A61,$A$11:$A$17,0),0)</f>
        <v>0.4</v>
      </c>
      <c r="F61" s="679">
        <f t="shared" si="19"/>
        <v>2.8600000000000084E-2</v>
      </c>
      <c r="G61" s="679">
        <f t="shared" si="19"/>
        <v>0.30520000000000003</v>
      </c>
      <c r="H61" s="679">
        <f t="shared" si="19"/>
        <v>0</v>
      </c>
      <c r="I61" s="679">
        <f t="shared" si="19"/>
        <v>0</v>
      </c>
      <c r="J61" s="679">
        <f t="shared" si="19"/>
        <v>0</v>
      </c>
      <c r="K61" s="679">
        <f t="shared" si="19"/>
        <v>0</v>
      </c>
      <c r="L61" s="588">
        <f>SUM(D61:INDEX(D61:K61,0,MATCH('RFPR cover'!$C$7,$D$6:$K$6,0)))</f>
        <v>1.2840400160707113</v>
      </c>
      <c r="M61" s="589">
        <f>SUM(D61:K61)</f>
        <v>1.2840400160707113</v>
      </c>
    </row>
    <row r="62" spans="1:13" s="2" customFormat="1">
      <c r="A62" s="146"/>
      <c r="B62" s="2" t="s">
        <v>200</v>
      </c>
      <c r="C62" s="262" t="s">
        <v>201</v>
      </c>
      <c r="D62" s="750">
        <f>IF($C62=$B$33,$B$33,INDEX(Data!$G$14:$G$30,MATCH('R5 - Output Incentives'!D$6+RIGHT('R5 - Output Incentives'!$C62,2),Data!$C$14:$C$30,0),0))</f>
        <v>0.19</v>
      </c>
      <c r="E62" s="751">
        <f>IF($C62=$B$33,$B$33,INDEX(Data!$G$14:$G$30,MATCH('R5 - Output Incentives'!E$6+RIGHT('R5 - Output Incentives'!$C62,2),Data!$C$14:$C$30,0),0))</f>
        <v>0.19</v>
      </c>
      <c r="F62" s="751">
        <f>IF($C62=$B$33,$B$33,INDEX(Data!$G$14:$G$30,MATCH('R5 - Output Incentives'!F$6+RIGHT('R5 - Output Incentives'!$C62,2),Data!$C$14:$C$30,0),0))</f>
        <v>0.19</v>
      </c>
      <c r="G62" s="751">
        <f>IF($C62=$B$33,$B$33,INDEX(Data!$G$14:$G$30,MATCH('R5 - Output Incentives'!G$6+RIGHT('R5 - Output Incentives'!$C62,2),Data!$C$14:$C$30,0),0))</f>
        <v>0.19</v>
      </c>
      <c r="H62" s="751">
        <f>IF($C62=$B$33,$B$33,INDEX(Data!$G$14:$G$30,MATCH('R5 - Output Incentives'!H$6+RIGHT('R5 - Output Incentives'!$C62,2),Data!$C$14:$C$30,0),0))</f>
        <v>0.19</v>
      </c>
      <c r="I62" s="751">
        <f>IF($C62=$B$33,$B$33,INDEX(Data!$G$14:$G$30,MATCH('R5 - Output Incentives'!I$6+RIGHT('R5 - Output Incentives'!$C62,2),Data!$C$14:$C$30,0),0))</f>
        <v>0.19</v>
      </c>
      <c r="J62" s="751">
        <f>IF($C62=$B$33,$B$33,INDEX(Data!$G$14:$G$30,MATCH('R5 - Output Incentives'!J$6+RIGHT('R5 - Output Incentives'!$C62,2),Data!$C$14:$C$30,0),0))</f>
        <v>0.25</v>
      </c>
      <c r="K62" s="752">
        <f>IF($C62=$B$33,$B$33,INDEX(Data!$G$14:$G$30,MATCH('R5 - Output Incentives'!K$6+RIGHT('R5 - Output Incentives'!$C62,2),Data!$C$14:$C$30,0),0))</f>
        <v>0.25</v>
      </c>
      <c r="L62" s="681"/>
      <c r="M62" s="682"/>
    </row>
    <row r="63" spans="1:13" s="2" customFormat="1">
      <c r="A63" s="146"/>
      <c r="B63" s="2" t="s">
        <v>209</v>
      </c>
      <c r="C63" s="57"/>
      <c r="D63" s="534">
        <f>IFERROR(D61*(1-D62),0)</f>
        <v>0.44569441301727608</v>
      </c>
      <c r="E63" s="535">
        <f t="shared" ref="E63:K63" si="20">IFERROR(E61*(1-E62),0)</f>
        <v>0.32400000000000007</v>
      </c>
      <c r="F63" s="535">
        <f t="shared" si="20"/>
        <v>2.3166000000000068E-2</v>
      </c>
      <c r="G63" s="535">
        <f t="shared" si="20"/>
        <v>0.24721200000000004</v>
      </c>
      <c r="H63" s="535">
        <f t="shared" si="20"/>
        <v>0</v>
      </c>
      <c r="I63" s="535">
        <f t="shared" si="20"/>
        <v>0</v>
      </c>
      <c r="J63" s="535">
        <f t="shared" si="20"/>
        <v>0</v>
      </c>
      <c r="K63" s="535">
        <f t="shared" si="20"/>
        <v>0</v>
      </c>
      <c r="L63" s="586">
        <f>SUM(D63:INDEX(D63:K63,0,MATCH('RFPR cover'!$C$7,$D$6:$K$6,0)))</f>
        <v>1.0400724130172763</v>
      </c>
      <c r="M63" s="587">
        <f>SUM(D63:K63)</f>
        <v>1.0400724130172763</v>
      </c>
    </row>
    <row r="64" spans="1:13" s="2" customFormat="1">
      <c r="A64" s="146"/>
      <c r="B64" s="12"/>
      <c r="C64" s="145"/>
      <c r="D64" s="145"/>
      <c r="E64" s="145"/>
      <c r="F64" s="145"/>
      <c r="G64" s="145"/>
      <c r="H64" s="145"/>
      <c r="I64" s="145"/>
      <c r="J64" s="145"/>
      <c r="K64" s="145"/>
      <c r="L64" s="145"/>
      <c r="M64" s="145"/>
    </row>
    <row r="65" spans="1:14" s="2" customFormat="1">
      <c r="A65" s="146" t="str">
        <f>$A$15</f>
        <v>e</v>
      </c>
      <c r="B65" s="2" t="str">
        <f>INDEX($B$11:$B$15,MATCH($A65,$A$11:$A$15,0),0)&amp;""</f>
        <v>Losses discretionary reward scheme</v>
      </c>
      <c r="C65" s="57" t="str">
        <f>'RFPR cover'!$C$14</f>
        <v>£m 12/13</v>
      </c>
      <c r="D65" s="679">
        <f>INDEX($D$11:$K$17,MATCH($A65,$A$11:$A$17,0),0)</f>
        <v>0</v>
      </c>
      <c r="E65" s="679">
        <f t="shared" ref="E65:K65" si="21">INDEX($D$11:$K$17,MATCH($A65,$A$11:$A$17,0),0)</f>
        <v>0.17499999999999999</v>
      </c>
      <c r="F65" s="679">
        <f t="shared" si="21"/>
        <v>0</v>
      </c>
      <c r="G65" s="679">
        <f t="shared" si="21"/>
        <v>0</v>
      </c>
      <c r="H65" s="679">
        <f t="shared" si="21"/>
        <v>0</v>
      </c>
      <c r="I65" s="679">
        <f t="shared" si="21"/>
        <v>0</v>
      </c>
      <c r="J65" s="679">
        <f t="shared" si="21"/>
        <v>0</v>
      </c>
      <c r="K65" s="679">
        <f t="shared" si="21"/>
        <v>0</v>
      </c>
      <c r="L65" s="588">
        <f>SUM(D65:INDEX(D65:K65,0,MATCH('RFPR cover'!$C$7,$D$6:$K$6,0)))</f>
        <v>0.17499999999999999</v>
      </c>
      <c r="M65" s="589">
        <f>SUM(D65:K65)</f>
        <v>0.17499999999999999</v>
      </c>
    </row>
    <row r="66" spans="1:14" s="2" customFormat="1">
      <c r="A66" s="146"/>
      <c r="B66" s="2" t="s">
        <v>200</v>
      </c>
      <c r="C66" s="262" t="s">
        <v>208</v>
      </c>
      <c r="D66" s="750">
        <f>IF($C66=$B$33,$B$33,INDEX(Data!$G$14:$G$30,MATCH('R5 - Output Incentives'!D$6+RIGHT('R5 - Output Incentives'!$C66,2),Data!$C$14:$C$30,0),0))</f>
        <v>0.2</v>
      </c>
      <c r="E66" s="751">
        <f>IF($C66=$B$33,$B$33,INDEX(Data!$G$14:$G$30,MATCH('R5 - Output Incentives'!E$6+RIGHT('R5 - Output Incentives'!$C66,2),Data!$C$14:$C$30,0),0))</f>
        <v>0.19</v>
      </c>
      <c r="F66" s="751">
        <f>IF($C66=$B$33,$B$33,INDEX(Data!$G$14:$G$30,MATCH('R5 - Output Incentives'!F$6+RIGHT('R5 - Output Incentives'!$C66,2),Data!$C$14:$C$30,0),0))</f>
        <v>0.19</v>
      </c>
      <c r="G66" s="751">
        <f>IF($C66=$B$33,$B$33,INDEX(Data!$G$14:$G$30,MATCH('R5 - Output Incentives'!G$6+RIGHT('R5 - Output Incentives'!$C66,2),Data!$C$14:$C$30,0),0))</f>
        <v>0.19</v>
      </c>
      <c r="H66" s="751">
        <f>IF($C66=$B$33,$B$33,INDEX(Data!$G$14:$G$30,MATCH('R5 - Output Incentives'!H$6+RIGHT('R5 - Output Incentives'!$C66,2),Data!$C$14:$C$30,0),0))</f>
        <v>0.19</v>
      </c>
      <c r="I66" s="751">
        <f>IF($C66=$B$33,$B$33,INDEX(Data!$G$14:$G$30,MATCH('R5 - Output Incentives'!I$6+RIGHT('R5 - Output Incentives'!$C66,2),Data!$C$14:$C$30,0),0))</f>
        <v>0.19</v>
      </c>
      <c r="J66" s="751">
        <f>IF($C66=$B$33,$B$33,INDEX(Data!$G$14:$G$30,MATCH('R5 - Output Incentives'!J$6+RIGHT('R5 - Output Incentives'!$C66,2),Data!$C$14:$C$30,0),0))</f>
        <v>0.19</v>
      </c>
      <c r="K66" s="752">
        <f>IF($C66=$B$33,$B$33,INDEX(Data!$G$14:$G$30,MATCH('R5 - Output Incentives'!K$6+RIGHT('R5 - Output Incentives'!$C66,2),Data!$C$14:$C$30,0),0))</f>
        <v>0.25</v>
      </c>
      <c r="L66" s="681"/>
      <c r="M66" s="682"/>
    </row>
    <row r="67" spans="1:14" s="2" customFormat="1">
      <c r="A67" s="146"/>
      <c r="B67" s="2" t="s">
        <v>209</v>
      </c>
      <c r="C67" s="57"/>
      <c r="D67" s="534">
        <f>IFERROR(D65*(1-D66),0)</f>
        <v>0</v>
      </c>
      <c r="E67" s="535">
        <f t="shared" ref="E67:K67" si="22">IFERROR(E65*(1-E66),0)</f>
        <v>0.14174999999999999</v>
      </c>
      <c r="F67" s="535">
        <f t="shared" si="22"/>
        <v>0</v>
      </c>
      <c r="G67" s="535">
        <f t="shared" si="22"/>
        <v>0</v>
      </c>
      <c r="H67" s="535">
        <f t="shared" si="22"/>
        <v>0</v>
      </c>
      <c r="I67" s="535">
        <f t="shared" si="22"/>
        <v>0</v>
      </c>
      <c r="J67" s="535">
        <f t="shared" si="22"/>
        <v>0</v>
      </c>
      <c r="K67" s="535">
        <f t="shared" si="22"/>
        <v>0</v>
      </c>
      <c r="L67" s="586">
        <f>SUM(D67:INDEX(D67:K67,0,MATCH('RFPR cover'!$C$7,$D$6:$K$6,0)))</f>
        <v>0.14174999999999999</v>
      </c>
      <c r="M67" s="587">
        <f>SUM(D67:K67)</f>
        <v>0.14174999999999999</v>
      </c>
    </row>
    <row r="68" spans="1:14" s="2" customFormat="1">
      <c r="A68" s="146"/>
      <c r="B68" s="12"/>
      <c r="C68" s="145"/>
      <c r="D68" s="145"/>
      <c r="E68" s="145"/>
      <c r="F68" s="145"/>
      <c r="G68" s="145"/>
      <c r="H68" s="145"/>
      <c r="I68" s="145"/>
      <c r="J68" s="145"/>
      <c r="K68" s="145"/>
      <c r="L68" s="145"/>
      <c r="M68" s="145"/>
    </row>
    <row r="69" spans="1:14" s="2" customFormat="1">
      <c r="A69" s="146" t="str">
        <f>$A$16</f>
        <v>f</v>
      </c>
      <c r="B69" s="2" t="str">
        <f>INDEX($B$11:$B$17,MATCH($A69,$A$11:$A$17,0),0)&amp;""</f>
        <v/>
      </c>
      <c r="C69" s="57" t="str">
        <f>'RFPR cover'!$C$14</f>
        <v>£m 12/13</v>
      </c>
      <c r="D69" s="679">
        <f>INDEX($D$11:$K$17,MATCH($A69,$A$11:$A$17,0),0)</f>
        <v>0</v>
      </c>
      <c r="E69" s="679">
        <f t="shared" ref="E69:K69" si="23">INDEX($D$11:$K$17,MATCH($A69,$A$11:$A$17,0),0)</f>
        <v>0</v>
      </c>
      <c r="F69" s="679">
        <f t="shared" si="23"/>
        <v>0</v>
      </c>
      <c r="G69" s="679">
        <f t="shared" si="23"/>
        <v>0</v>
      </c>
      <c r="H69" s="679">
        <f t="shared" si="23"/>
        <v>0</v>
      </c>
      <c r="I69" s="679">
        <f t="shared" si="23"/>
        <v>0</v>
      </c>
      <c r="J69" s="679">
        <f t="shared" si="23"/>
        <v>0</v>
      </c>
      <c r="K69" s="679">
        <f t="shared" si="23"/>
        <v>0</v>
      </c>
      <c r="L69" s="588">
        <f>SUM(D69:INDEX(D69:K69,0,MATCH('RFPR cover'!$C$7,$D$6:$K$6,0)))</f>
        <v>0</v>
      </c>
      <c r="M69" s="589">
        <f>SUM(D69:K69)</f>
        <v>0</v>
      </c>
    </row>
    <row r="70" spans="1:14" s="2" customFormat="1">
      <c r="A70" s="146"/>
      <c r="B70" s="2" t="s">
        <v>200</v>
      </c>
      <c r="C70" s="262" t="s">
        <v>240</v>
      </c>
      <c r="D70" s="750" t="str">
        <f>IF($C70=$B$33,$B$33,INDEX(Data!$G$14:$G$30,MATCH('R5 - Output Incentives'!D$6+RIGHT('R5 - Output Incentives'!$C70,2),Data!$C$14:$C$30,0),0))</f>
        <v>-</v>
      </c>
      <c r="E70" s="751" t="str">
        <f>IF($C70=$B$33,$B$33,INDEX(Data!$G$14:$G$30,MATCH('R5 - Output Incentives'!E$6+RIGHT('R5 - Output Incentives'!$C70,2),Data!$C$14:$C$30,0),0))</f>
        <v>-</v>
      </c>
      <c r="F70" s="751" t="str">
        <f>IF($C70=$B$33,$B$33,INDEX(Data!$G$14:$G$30,MATCH('R5 - Output Incentives'!F$6+RIGHT('R5 - Output Incentives'!$C70,2),Data!$C$14:$C$30,0),0))</f>
        <v>-</v>
      </c>
      <c r="G70" s="751" t="str">
        <f>IF($C70=$B$33,$B$33,INDEX(Data!$G$14:$G$30,MATCH('R5 - Output Incentives'!G$6+RIGHT('R5 - Output Incentives'!$C70,2),Data!$C$14:$C$30,0),0))</f>
        <v>-</v>
      </c>
      <c r="H70" s="751" t="str">
        <f>IF($C70=$B$33,$B$33,INDEX(Data!$G$14:$G$30,MATCH('R5 - Output Incentives'!H$6+RIGHT('R5 - Output Incentives'!$C70,2),Data!$C$14:$C$30,0),0))</f>
        <v>-</v>
      </c>
      <c r="I70" s="751" t="str">
        <f>IF($C70=$B$33,$B$33,INDEX(Data!$G$14:$G$30,MATCH('R5 - Output Incentives'!I$6+RIGHT('R5 - Output Incentives'!$C70,2),Data!$C$14:$C$30,0),0))</f>
        <v>-</v>
      </c>
      <c r="J70" s="751" t="str">
        <f>IF($C70=$B$33,$B$33,INDEX(Data!$G$14:$G$30,MATCH('R5 - Output Incentives'!J$6+RIGHT('R5 - Output Incentives'!$C70,2),Data!$C$14:$C$30,0),0))</f>
        <v>-</v>
      </c>
      <c r="K70" s="752" t="str">
        <f>IF($C70=$B$33,$B$33,INDEX(Data!$G$14:$G$30,MATCH('R5 - Output Incentives'!K$6+RIGHT('R5 - Output Incentives'!$C70,2),Data!$C$14:$C$30,0),0))</f>
        <v>-</v>
      </c>
      <c r="L70" s="681"/>
      <c r="M70" s="682"/>
    </row>
    <row r="71" spans="1:14" s="2" customFormat="1">
      <c r="A71" s="146"/>
      <c r="B71" s="2" t="s">
        <v>209</v>
      </c>
      <c r="C71" s="57"/>
      <c r="D71" s="534">
        <f>IFERROR(D69*(1-D70),0)</f>
        <v>0</v>
      </c>
      <c r="E71" s="535">
        <f t="shared" ref="E71:K71" si="24">IFERROR(E69*(1-E70),0)</f>
        <v>0</v>
      </c>
      <c r="F71" s="535">
        <f t="shared" si="24"/>
        <v>0</v>
      </c>
      <c r="G71" s="535">
        <f t="shared" si="24"/>
        <v>0</v>
      </c>
      <c r="H71" s="535">
        <f t="shared" si="24"/>
        <v>0</v>
      </c>
      <c r="I71" s="535">
        <f t="shared" si="24"/>
        <v>0</v>
      </c>
      <c r="J71" s="535">
        <f t="shared" si="24"/>
        <v>0</v>
      </c>
      <c r="K71" s="535">
        <f t="shared" si="24"/>
        <v>0</v>
      </c>
      <c r="L71" s="586">
        <f>SUM(D71:INDEX(D71:K71,0,MATCH('RFPR cover'!$C$7,$D$6:$K$6,0)))</f>
        <v>0</v>
      </c>
      <c r="M71" s="587">
        <f>SUM(D71:K71)</f>
        <v>0</v>
      </c>
    </row>
    <row r="72" spans="1:14" s="2" customFormat="1">
      <c r="A72" s="146"/>
      <c r="B72" s="12"/>
      <c r="C72" s="145"/>
      <c r="D72" s="145"/>
      <c r="E72" s="145"/>
      <c r="F72" s="145"/>
      <c r="G72" s="145"/>
      <c r="H72" s="145"/>
      <c r="I72" s="145"/>
      <c r="J72" s="145"/>
      <c r="K72" s="145"/>
      <c r="L72" s="145"/>
      <c r="M72" s="145"/>
    </row>
    <row r="73" spans="1:14" s="2" customFormat="1">
      <c r="A73" s="146" t="s">
        <v>477</v>
      </c>
      <c r="B73" s="2" t="str">
        <f>INDEX($B$11:$B$17,MATCH($A73,$A$11:$A$17,0),0)&amp;""</f>
        <v/>
      </c>
      <c r="C73" s="57" t="str">
        <f>'RFPR cover'!$C$14</f>
        <v>£m 12/13</v>
      </c>
      <c r="D73" s="679">
        <f>INDEX($D$11:$K$17,MATCH($A73,$A$11:$A$17,0),0)</f>
        <v>0</v>
      </c>
      <c r="E73" s="679">
        <f t="shared" ref="E73:K73" si="25">INDEX($D$11:$K$17,MATCH($A73,$A$11:$A$17,0),0)</f>
        <v>0</v>
      </c>
      <c r="F73" s="679">
        <f t="shared" si="25"/>
        <v>0</v>
      </c>
      <c r="G73" s="679">
        <f t="shared" si="25"/>
        <v>0</v>
      </c>
      <c r="H73" s="679">
        <f t="shared" si="25"/>
        <v>0</v>
      </c>
      <c r="I73" s="679">
        <f t="shared" si="25"/>
        <v>0</v>
      </c>
      <c r="J73" s="679">
        <f t="shared" si="25"/>
        <v>0</v>
      </c>
      <c r="K73" s="679">
        <f t="shared" si="25"/>
        <v>0</v>
      </c>
      <c r="L73" s="588">
        <f>SUM(D73:INDEX(D73:K73,0,MATCH('RFPR cover'!$C$7,$D$6:$K$6,0)))</f>
        <v>0</v>
      </c>
      <c r="M73" s="589">
        <f>SUM(D73:K73)</f>
        <v>0</v>
      </c>
    </row>
    <row r="74" spans="1:14" s="2" customFormat="1">
      <c r="A74" s="146"/>
      <c r="B74" s="2" t="s">
        <v>200</v>
      </c>
      <c r="C74" s="262" t="s">
        <v>240</v>
      </c>
      <c r="D74" s="750" t="str">
        <f>IF($C74=$B$33,$B$33,INDEX(Data!$G$14:$G$30,MATCH('R5 - Output Incentives'!D$6+RIGHT('R5 - Output Incentives'!$C74,2),Data!$C$14:$C$30,0),0))</f>
        <v>-</v>
      </c>
      <c r="E74" s="751" t="str">
        <f>IF($C74=$B$33,$B$33,INDEX(Data!$G$14:$G$30,MATCH('R5 - Output Incentives'!E$6+RIGHT('R5 - Output Incentives'!$C74,2),Data!$C$14:$C$30,0),0))</f>
        <v>-</v>
      </c>
      <c r="F74" s="751" t="str">
        <f>IF($C74=$B$33,$B$33,INDEX(Data!$G$14:$G$30,MATCH('R5 - Output Incentives'!F$6+RIGHT('R5 - Output Incentives'!$C74,2),Data!$C$14:$C$30,0),0))</f>
        <v>-</v>
      </c>
      <c r="G74" s="751" t="str">
        <f>IF($C74=$B$33,$B$33,INDEX(Data!$G$14:$G$30,MATCH('R5 - Output Incentives'!G$6+RIGHT('R5 - Output Incentives'!$C74,2),Data!$C$14:$C$30,0),0))</f>
        <v>-</v>
      </c>
      <c r="H74" s="751" t="str">
        <f>IF($C74=$B$33,$B$33,INDEX(Data!$G$14:$G$30,MATCH('R5 - Output Incentives'!H$6+RIGHT('R5 - Output Incentives'!$C74,2),Data!$C$14:$C$30,0),0))</f>
        <v>-</v>
      </c>
      <c r="I74" s="751" t="str">
        <f>IF($C74=$B$33,$B$33,INDEX(Data!$G$14:$G$30,MATCH('R5 - Output Incentives'!I$6+RIGHT('R5 - Output Incentives'!$C74,2),Data!$C$14:$C$30,0),0))</f>
        <v>-</v>
      </c>
      <c r="J74" s="751" t="str">
        <f>IF($C74=$B$33,$B$33,INDEX(Data!$G$14:$G$30,MATCH('R5 - Output Incentives'!J$6+RIGHT('R5 - Output Incentives'!$C74,2),Data!$C$14:$C$30,0),0))</f>
        <v>-</v>
      </c>
      <c r="K74" s="752" t="str">
        <f>IF($C74=$B$33,$B$33,INDEX(Data!$G$14:$G$30,MATCH('R5 - Output Incentives'!K$6+RIGHT('R5 - Output Incentives'!$C74,2),Data!$C$14:$C$30,0),0))</f>
        <v>-</v>
      </c>
      <c r="L74" s="681"/>
      <c r="M74" s="682"/>
    </row>
    <row r="75" spans="1:14" s="2" customFormat="1">
      <c r="A75" s="146"/>
      <c r="B75" s="2" t="s">
        <v>209</v>
      </c>
      <c r="C75" s="57"/>
      <c r="D75" s="534">
        <f>IFERROR(D73*(1-D74),0)</f>
        <v>0</v>
      </c>
      <c r="E75" s="535">
        <f t="shared" ref="E75:K75" si="26">IFERROR(E73*(1-E74),0)</f>
        <v>0</v>
      </c>
      <c r="F75" s="535">
        <f t="shared" si="26"/>
        <v>0</v>
      </c>
      <c r="G75" s="535">
        <f t="shared" si="26"/>
        <v>0</v>
      </c>
      <c r="H75" s="535">
        <f t="shared" si="26"/>
        <v>0</v>
      </c>
      <c r="I75" s="535">
        <f t="shared" si="26"/>
        <v>0</v>
      </c>
      <c r="J75" s="535">
        <f t="shared" si="26"/>
        <v>0</v>
      </c>
      <c r="K75" s="535">
        <f t="shared" si="26"/>
        <v>0</v>
      </c>
      <c r="L75" s="586">
        <f>SUM(D75:INDEX(D75:K75,0,MATCH('RFPR cover'!$C$7,$D$6:$K$6,0)))</f>
        <v>0</v>
      </c>
      <c r="M75" s="587">
        <f>SUM(D75:K75)</f>
        <v>0</v>
      </c>
    </row>
    <row r="76" spans="1:14" s="307" customFormat="1" ht="14.25" customHeight="1">
      <c r="A76" s="460"/>
      <c r="C76" s="461"/>
      <c r="D76" s="462"/>
      <c r="E76" s="462"/>
      <c r="F76" s="462"/>
      <c r="G76" s="462"/>
      <c r="H76" s="462"/>
      <c r="I76" s="462"/>
      <c r="J76" s="462"/>
      <c r="K76" s="462"/>
      <c r="L76" s="463"/>
      <c r="M76" s="463"/>
    </row>
    <row r="77" spans="1:14" s="2" customFormat="1">
      <c r="B77" s="107" t="s">
        <v>397</v>
      </c>
      <c r="C77" s="140"/>
      <c r="D77" s="124"/>
      <c r="E77" s="124"/>
      <c r="F77" s="124"/>
      <c r="G77" s="124"/>
      <c r="H77" s="124"/>
      <c r="I77" s="124"/>
      <c r="J77" s="124"/>
      <c r="K77" s="124"/>
      <c r="L77" s="72"/>
      <c r="M77" s="72"/>
      <c r="N77" s="72"/>
    </row>
    <row r="78" spans="1:14" s="2" customFormat="1">
      <c r="B78" s="321" t="s">
        <v>396</v>
      </c>
      <c r="C78" s="259"/>
      <c r="D78" s="260"/>
      <c r="E78" s="260"/>
      <c r="F78" s="260"/>
      <c r="G78" s="260"/>
      <c r="H78" s="260"/>
      <c r="I78" s="260"/>
      <c r="J78" s="260"/>
      <c r="K78" s="260"/>
      <c r="L78" s="261"/>
      <c r="M78" s="261"/>
      <c r="N78" s="261"/>
    </row>
    <row r="79" spans="1:14" s="2" customFormat="1">
      <c r="B79" s="321" t="s">
        <v>398</v>
      </c>
      <c r="C79" s="259"/>
      <c r="D79" s="260"/>
      <c r="E79" s="260"/>
      <c r="F79" s="260"/>
      <c r="G79" s="260"/>
      <c r="H79" s="260"/>
      <c r="I79" s="260"/>
      <c r="J79" s="260"/>
      <c r="K79" s="260"/>
      <c r="L79" s="261"/>
      <c r="M79" s="261"/>
      <c r="N79" s="261"/>
    </row>
    <row r="80" spans="1:14" s="307" customFormat="1">
      <c r="B80" s="465"/>
      <c r="C80" s="466"/>
      <c r="D80" s="467"/>
      <c r="E80" s="467"/>
      <c r="F80" s="467"/>
      <c r="G80" s="467"/>
      <c r="H80" s="467"/>
      <c r="I80" s="467"/>
      <c r="J80" s="467"/>
      <c r="K80" s="467"/>
    </row>
    <row r="81" spans="1:12" s="2" customFormat="1">
      <c r="B81" s="12"/>
      <c r="C81" s="468" t="s">
        <v>399</v>
      </c>
      <c r="D81" s="469" t="str">
        <f t="shared" ref="D81:K81" si="27">IF($C50=$B$33,D$6,IF(D$6-RIGHT($C50,1)&lt;$D$6,"Pre-RIIO",D$6-RIGHT($C50,1)))</f>
        <v>Pre-RIIO</v>
      </c>
      <c r="E81" s="470" t="str">
        <f t="shared" si="27"/>
        <v>Pre-RIIO</v>
      </c>
      <c r="F81" s="470">
        <f t="shared" si="27"/>
        <v>2016</v>
      </c>
      <c r="G81" s="470">
        <f t="shared" si="27"/>
        <v>2017</v>
      </c>
      <c r="H81" s="470">
        <f t="shared" si="27"/>
        <v>2018</v>
      </c>
      <c r="I81" s="470">
        <f t="shared" si="27"/>
        <v>2019</v>
      </c>
      <c r="J81" s="470">
        <f t="shared" si="27"/>
        <v>2020</v>
      </c>
      <c r="K81" s="471">
        <f t="shared" si="27"/>
        <v>2021</v>
      </c>
    </row>
    <row r="82" spans="1:12" s="2" customFormat="1">
      <c r="A82" s="3" t="str">
        <f>A11</f>
        <v>a</v>
      </c>
      <c r="B82" s="120" t="str">
        <f>B11&amp;""</f>
        <v>Broad measure of customer service</v>
      </c>
      <c r="C82" s="127" t="s">
        <v>127</v>
      </c>
      <c r="D82" s="555">
        <v>-0.44441376570126251</v>
      </c>
      <c r="E82" s="556">
        <v>-1.0725773675020127</v>
      </c>
      <c r="F82" s="556">
        <v>1.2785926926064446</v>
      </c>
      <c r="G82" s="556">
        <v>2.1746079413458088</v>
      </c>
      <c r="H82" s="521">
        <v>2.5780825363854634</v>
      </c>
      <c r="I82" s="521">
        <v>2.5854575783163258</v>
      </c>
      <c r="J82" s="521">
        <v>3.0916651055680253</v>
      </c>
      <c r="K82" s="521">
        <v>3.0323817611116781</v>
      </c>
    </row>
    <row r="83" spans="1:12" s="2" customFormat="1">
      <c r="A83" s="3"/>
      <c r="B83" s="120"/>
      <c r="C83" s="127"/>
      <c r="D83" s="127"/>
      <c r="E83" s="127"/>
      <c r="F83" s="127"/>
      <c r="G83" s="127"/>
      <c r="H83" s="127"/>
      <c r="I83" s="127"/>
      <c r="J83" s="127"/>
      <c r="K83" s="127"/>
      <c r="L83" s="127"/>
    </row>
    <row r="84" spans="1:12" s="2" customFormat="1">
      <c r="A84" s="3"/>
      <c r="B84" s="120"/>
      <c r="C84" s="468" t="s">
        <v>399</v>
      </c>
      <c r="D84" s="469" t="str">
        <f t="shared" ref="D84:K84" si="28">IF($C54=$B$33,D$6,IF(D$6-RIGHT($C54,1)&lt;$D$6,"Pre-RIIO",D$6-RIGHT($C54,1)))</f>
        <v>Pre-RIIO</v>
      </c>
      <c r="E84" s="470" t="str">
        <f t="shared" si="28"/>
        <v>Pre-RIIO</v>
      </c>
      <c r="F84" s="470">
        <f t="shared" si="28"/>
        <v>2016</v>
      </c>
      <c r="G84" s="470">
        <f t="shared" si="28"/>
        <v>2017</v>
      </c>
      <c r="H84" s="470">
        <f t="shared" si="28"/>
        <v>2018</v>
      </c>
      <c r="I84" s="470">
        <f t="shared" si="28"/>
        <v>2019</v>
      </c>
      <c r="J84" s="470">
        <f t="shared" si="28"/>
        <v>2020</v>
      </c>
      <c r="K84" s="471">
        <f t="shared" si="28"/>
        <v>2021</v>
      </c>
    </row>
    <row r="85" spans="1:12" s="2" customFormat="1">
      <c r="A85" s="3" t="str">
        <f>A12</f>
        <v>b</v>
      </c>
      <c r="B85" s="120" t="str">
        <f>B12&amp;""</f>
        <v>Interruptions-related quality of service</v>
      </c>
      <c r="C85" s="127" t="s">
        <v>127</v>
      </c>
      <c r="D85" s="555">
        <v>2.4040261948154087</v>
      </c>
      <c r="E85" s="556">
        <v>5.0318480941681285</v>
      </c>
      <c r="F85" s="556">
        <v>9.0061204758799693</v>
      </c>
      <c r="G85" s="556">
        <v>11.917267730006973</v>
      </c>
      <c r="H85" s="521">
        <v>11.357938097888395</v>
      </c>
      <c r="I85" s="521">
        <v>7.5332221485551427</v>
      </c>
      <c r="J85" s="521">
        <v>10.004195199934143</v>
      </c>
      <c r="K85" s="521">
        <v>14.070326773041002</v>
      </c>
    </row>
    <row r="86" spans="1:12" s="2" customFormat="1">
      <c r="A86" s="3"/>
      <c r="B86" s="120"/>
      <c r="C86" s="127"/>
      <c r="D86" s="127"/>
      <c r="E86" s="127"/>
      <c r="F86" s="127"/>
      <c r="G86" s="127"/>
      <c r="H86" s="127"/>
      <c r="I86" s="127"/>
      <c r="J86" s="127"/>
      <c r="K86" s="127"/>
      <c r="L86" s="127"/>
    </row>
    <row r="87" spans="1:12" s="2" customFormat="1">
      <c r="A87" s="3"/>
      <c r="B87" s="120"/>
      <c r="C87" s="468" t="s">
        <v>399</v>
      </c>
      <c r="D87" s="469" t="str">
        <f t="shared" ref="D87:K87" si="29">IF($C58=$B$33,D$6,IF(D$6-RIGHT($C58,1)&lt;$D$6,"Pre-RIIO",D$6-RIGHT($C58,1)))</f>
        <v>Pre-RIIO</v>
      </c>
      <c r="E87" s="470" t="str">
        <f t="shared" si="29"/>
        <v>Pre-RIIO</v>
      </c>
      <c r="F87" s="470" t="str">
        <f t="shared" si="29"/>
        <v>Pre-RIIO</v>
      </c>
      <c r="G87" s="470">
        <f t="shared" si="29"/>
        <v>2016</v>
      </c>
      <c r="H87" s="470">
        <f t="shared" si="29"/>
        <v>2017</v>
      </c>
      <c r="I87" s="470">
        <f t="shared" si="29"/>
        <v>2018</v>
      </c>
      <c r="J87" s="470">
        <f t="shared" si="29"/>
        <v>2019</v>
      </c>
      <c r="K87" s="471">
        <f t="shared" si="29"/>
        <v>2020</v>
      </c>
    </row>
    <row r="88" spans="1:12" s="2" customFormat="1">
      <c r="A88" s="3" t="str">
        <f>A13</f>
        <v>c</v>
      </c>
      <c r="B88" s="120" t="str">
        <f>B13&amp;""</f>
        <v>Incentive on connections engagement</v>
      </c>
      <c r="C88" s="127" t="s">
        <v>127</v>
      </c>
      <c r="D88" s="555">
        <v>0</v>
      </c>
      <c r="E88" s="556">
        <v>0</v>
      </c>
      <c r="F88" s="556">
        <v>0</v>
      </c>
      <c r="G88" s="556">
        <v>0</v>
      </c>
      <c r="H88" s="521">
        <v>0</v>
      </c>
      <c r="I88" s="521">
        <v>0</v>
      </c>
      <c r="J88" s="521">
        <v>0</v>
      </c>
      <c r="K88" s="521">
        <v>0</v>
      </c>
    </row>
    <row r="89" spans="1:12" s="2" customFormat="1">
      <c r="A89" s="3"/>
      <c r="B89" s="120"/>
      <c r="C89" s="127"/>
      <c r="D89" s="127"/>
      <c r="E89" s="127"/>
      <c r="F89" s="127"/>
      <c r="G89" s="127"/>
      <c r="H89" s="127"/>
      <c r="I89" s="127"/>
      <c r="J89" s="127"/>
      <c r="K89" s="127"/>
      <c r="L89" s="127"/>
    </row>
    <row r="90" spans="1:12" s="2" customFormat="1">
      <c r="A90" s="3"/>
      <c r="B90" s="120"/>
      <c r="C90" s="468" t="s">
        <v>399</v>
      </c>
      <c r="D90" s="469" t="str">
        <f t="shared" ref="D90:K90" si="30">IF($C62=$B$33,D$6,IF(D$6-RIGHT($C62,1)&lt;$D$6,"Pre-RIIO",D$6-RIGHT($C62,1)))</f>
        <v>Pre-RIIO</v>
      </c>
      <c r="E90" s="470" t="str">
        <f t="shared" si="30"/>
        <v>Pre-RIIO</v>
      </c>
      <c r="F90" s="470">
        <f t="shared" si="30"/>
        <v>2016</v>
      </c>
      <c r="G90" s="470">
        <f t="shared" si="30"/>
        <v>2017</v>
      </c>
      <c r="H90" s="470">
        <f t="shared" si="30"/>
        <v>2018</v>
      </c>
      <c r="I90" s="470">
        <f t="shared" si="30"/>
        <v>2019</v>
      </c>
      <c r="J90" s="470">
        <f t="shared" si="30"/>
        <v>2020</v>
      </c>
      <c r="K90" s="471">
        <f t="shared" si="30"/>
        <v>2021</v>
      </c>
    </row>
    <row r="91" spans="1:12" s="2" customFormat="1">
      <c r="A91" s="3" t="str">
        <f>A14</f>
        <v>d</v>
      </c>
      <c r="B91" s="120" t="str">
        <f>B14&amp;""</f>
        <v>Time to Connect Incentive</v>
      </c>
      <c r="C91" s="127" t="s">
        <v>127</v>
      </c>
      <c r="D91" s="555">
        <v>0</v>
      </c>
      <c r="E91" s="556">
        <v>0</v>
      </c>
      <c r="F91" s="556">
        <v>0.58342870374690015</v>
      </c>
      <c r="G91" s="556">
        <v>0.43321467252477786</v>
      </c>
      <c r="H91" s="521">
        <v>3.2133927863492479E-2</v>
      </c>
      <c r="I91" s="521">
        <v>0.3533896049862062</v>
      </c>
      <c r="J91" s="521">
        <v>0</v>
      </c>
      <c r="K91" s="521">
        <v>0</v>
      </c>
    </row>
    <row r="92" spans="1:12" s="2" customFormat="1">
      <c r="A92" s="3"/>
      <c r="B92" s="120"/>
      <c r="C92" s="127"/>
      <c r="D92" s="127"/>
      <c r="E92" s="127"/>
      <c r="F92" s="127"/>
      <c r="G92" s="127"/>
      <c r="H92" s="127"/>
      <c r="I92" s="127"/>
      <c r="J92" s="127"/>
      <c r="K92" s="127"/>
      <c r="L92" s="127"/>
    </row>
    <row r="93" spans="1:12" s="2" customFormat="1">
      <c r="A93" s="3"/>
      <c r="B93" s="120"/>
      <c r="C93" s="468" t="s">
        <v>399</v>
      </c>
      <c r="D93" s="469" t="str">
        <f>IF($C66=$B$33,D$6,IF(D$6-RIGHT($C66,1)&lt;$D$6,"Pre-RIIO",D$6-RIGHT($C66,1)))</f>
        <v>Pre-RIIO</v>
      </c>
      <c r="E93" s="470">
        <f t="shared" ref="E93:K93" si="31">IF($C66=$B$33,E$6,IF(E$6-RIGHT($C66,1)&lt;$D$6,"Pre-RIIO",E$6-RIGHT($C66,1)))</f>
        <v>2016</v>
      </c>
      <c r="F93" s="470">
        <f t="shared" si="31"/>
        <v>2017</v>
      </c>
      <c r="G93" s="470">
        <f t="shared" si="31"/>
        <v>2018</v>
      </c>
      <c r="H93" s="470">
        <f t="shared" si="31"/>
        <v>2019</v>
      </c>
      <c r="I93" s="470">
        <f t="shared" si="31"/>
        <v>2020</v>
      </c>
      <c r="J93" s="470">
        <f t="shared" si="31"/>
        <v>2021</v>
      </c>
      <c r="K93" s="471">
        <f t="shared" si="31"/>
        <v>2022</v>
      </c>
    </row>
    <row r="94" spans="1:12" s="2" customFormat="1">
      <c r="A94" s="3" t="str">
        <f>A15</f>
        <v>e</v>
      </c>
      <c r="B94" s="120" t="str">
        <f>B15&amp;""</f>
        <v>Losses discretionary reward scheme</v>
      </c>
      <c r="C94" s="127" t="s">
        <v>127</v>
      </c>
      <c r="D94" s="555">
        <v>0</v>
      </c>
      <c r="E94" s="556">
        <v>0</v>
      </c>
      <c r="F94" s="556">
        <v>0.19617499999999999</v>
      </c>
      <c r="G94" s="556">
        <v>0</v>
      </c>
      <c r="H94" s="521">
        <v>0</v>
      </c>
      <c r="I94" s="521">
        <v>0</v>
      </c>
      <c r="J94" s="521">
        <v>0</v>
      </c>
      <c r="K94" s="521">
        <v>0</v>
      </c>
    </row>
    <row r="95" spans="1:12" s="2" customFormat="1">
      <c r="A95" s="3"/>
      <c r="B95" s="120"/>
      <c r="C95" s="127"/>
      <c r="D95" s="127"/>
      <c r="E95" s="127"/>
      <c r="F95" s="127"/>
      <c r="G95" s="127"/>
      <c r="H95" s="127"/>
      <c r="I95" s="127"/>
      <c r="J95" s="127"/>
      <c r="K95" s="127"/>
      <c r="L95" s="127"/>
    </row>
    <row r="96" spans="1:12" s="2" customFormat="1">
      <c r="A96" s="3"/>
      <c r="B96" s="120"/>
      <c r="C96" s="468" t="s">
        <v>399</v>
      </c>
      <c r="D96" s="469">
        <f>IF($C70=$B$33,D$6,IF(D$6-RIGHT($C70,1)&lt;$D$6,"Pre-RIIO",D$6-RIGHT($C70,1)))</f>
        <v>2016</v>
      </c>
      <c r="E96" s="469">
        <f t="shared" ref="E96:K96" si="32">IF($C70=$B$33,E$6,IF(E$6-RIGHT($C70,1)&lt;$D$6,"Pre-RIIO",E$6-RIGHT($C70,1)))</f>
        <v>2017</v>
      </c>
      <c r="F96" s="469">
        <f t="shared" si="32"/>
        <v>2018</v>
      </c>
      <c r="G96" s="469">
        <f t="shared" si="32"/>
        <v>2019</v>
      </c>
      <c r="H96" s="469">
        <f t="shared" si="32"/>
        <v>2020</v>
      </c>
      <c r="I96" s="469">
        <f t="shared" si="32"/>
        <v>2021</v>
      </c>
      <c r="J96" s="469">
        <f t="shared" si="32"/>
        <v>2022</v>
      </c>
      <c r="K96" s="469">
        <f t="shared" si="32"/>
        <v>2023</v>
      </c>
    </row>
    <row r="97" spans="1:13" s="2" customFormat="1">
      <c r="A97" s="3" t="str">
        <f>A16</f>
        <v>f</v>
      </c>
      <c r="B97" s="120" t="str">
        <f>B16&amp;""</f>
        <v/>
      </c>
      <c r="C97" s="127" t="s">
        <v>127</v>
      </c>
      <c r="D97" s="555"/>
      <c r="E97" s="556"/>
      <c r="F97" s="556"/>
      <c r="G97" s="556"/>
      <c r="H97" s="521"/>
      <c r="I97" s="521"/>
      <c r="J97" s="521"/>
      <c r="K97" s="521"/>
    </row>
    <row r="98" spans="1:13" s="2" customFormat="1">
      <c r="A98" s="3"/>
      <c r="B98" s="120"/>
      <c r="C98" s="127"/>
      <c r="D98" s="127"/>
      <c r="E98" s="127"/>
      <c r="F98" s="127"/>
      <c r="G98" s="127"/>
      <c r="H98" s="127"/>
      <c r="I98" s="127"/>
      <c r="J98" s="127"/>
      <c r="K98" s="127"/>
      <c r="L98" s="127"/>
    </row>
    <row r="99" spans="1:13" s="2" customFormat="1">
      <c r="A99" s="3"/>
      <c r="B99" s="120"/>
      <c r="C99" s="468" t="s">
        <v>399</v>
      </c>
      <c r="D99" s="469">
        <f>IF($C74=$B$33,D$6,IF(D$6-RIGHT($C74,1)&lt;$D$6,"Pre-RIIO",D$6-RIGHT($C74,1)))</f>
        <v>2016</v>
      </c>
      <c r="E99" s="469">
        <f t="shared" ref="E99:K99" si="33">IF($C74=$B$33,E$6,IF(E$6-RIGHT($C74,1)&lt;$D$6,"Pre-RIIO",E$6-RIGHT($C74,1)))</f>
        <v>2017</v>
      </c>
      <c r="F99" s="469">
        <f t="shared" si="33"/>
        <v>2018</v>
      </c>
      <c r="G99" s="469">
        <f t="shared" si="33"/>
        <v>2019</v>
      </c>
      <c r="H99" s="469">
        <f t="shared" si="33"/>
        <v>2020</v>
      </c>
      <c r="I99" s="469">
        <f t="shared" si="33"/>
        <v>2021</v>
      </c>
      <c r="J99" s="469">
        <f t="shared" si="33"/>
        <v>2022</v>
      </c>
      <c r="K99" s="469">
        <f t="shared" si="33"/>
        <v>2023</v>
      </c>
    </row>
    <row r="100" spans="1:13" s="2" customFormat="1">
      <c r="A100" s="3" t="str">
        <f>A17</f>
        <v>g</v>
      </c>
      <c r="B100" s="120" t="str">
        <f>B17&amp;""</f>
        <v/>
      </c>
      <c r="C100" s="127" t="s">
        <v>127</v>
      </c>
      <c r="D100" s="555"/>
      <c r="E100" s="556"/>
      <c r="F100" s="556"/>
      <c r="G100" s="556"/>
      <c r="H100" s="521"/>
      <c r="I100" s="521"/>
      <c r="J100" s="521"/>
      <c r="K100" s="521"/>
    </row>
    <row r="101" spans="1:13" s="2" customFormat="1">
      <c r="A101" s="3"/>
      <c r="B101" s="120"/>
      <c r="C101" s="127"/>
      <c r="D101" s="127"/>
      <c r="E101" s="127"/>
      <c r="F101" s="127"/>
      <c r="G101" s="127"/>
      <c r="H101" s="127"/>
      <c r="I101" s="127"/>
      <c r="J101" s="127"/>
      <c r="K101" s="127"/>
      <c r="L101" s="127"/>
      <c r="M101" s="127"/>
    </row>
    <row r="102" spans="1:13" s="2" customFormat="1">
      <c r="B102" s="12" t="s">
        <v>157</v>
      </c>
      <c r="C102" s="128" t="s">
        <v>127</v>
      </c>
      <c r="D102" s="534">
        <f>SUM(D82,D85,D88,D91,D94,D97,D100)</f>
        <v>1.9596124291141461</v>
      </c>
      <c r="E102" s="534">
        <f t="shared" ref="E102:K102" si="34">SUM(E82,E85,E88,E91,E94,E97,E100)</f>
        <v>3.9592707266661158</v>
      </c>
      <c r="F102" s="534">
        <f t="shared" si="34"/>
        <v>11.064316872233315</v>
      </c>
      <c r="G102" s="534">
        <f t="shared" si="34"/>
        <v>14.52509034387756</v>
      </c>
      <c r="H102" s="535">
        <f>SUM(H82,H85,H88,H91,H94,H97,H100)</f>
        <v>13.968154562137352</v>
      </c>
      <c r="I102" s="535">
        <f t="shared" si="34"/>
        <v>10.472069331857675</v>
      </c>
      <c r="J102" s="535">
        <f t="shared" si="34"/>
        <v>13.095860305502168</v>
      </c>
      <c r="K102" s="535">
        <f t="shared" si="34"/>
        <v>17.102708534152679</v>
      </c>
    </row>
    <row r="103" spans="1:13" s="2" customFormat="1">
      <c r="C103" s="127"/>
    </row>
    <row r="104" spans="1:13" s="2" customFormat="1">
      <c r="B104" s="12" t="s">
        <v>374</v>
      </c>
      <c r="C104" s="145"/>
      <c r="D104" s="145"/>
      <c r="E104" s="145"/>
      <c r="F104" s="145"/>
      <c r="G104" s="145"/>
      <c r="H104" s="145"/>
      <c r="I104" s="145"/>
      <c r="J104" s="145"/>
      <c r="K104" s="145"/>
      <c r="L104" s="145"/>
      <c r="M104" s="145"/>
    </row>
    <row r="105" spans="1:13" s="2" customFormat="1">
      <c r="A105" s="3" t="str">
        <f>A82</f>
        <v>a</v>
      </c>
      <c r="B105" s="855"/>
      <c r="C105" s="855"/>
      <c r="D105" s="855"/>
      <c r="E105" s="855"/>
      <c r="F105" s="855"/>
      <c r="G105" s="855"/>
      <c r="H105" s="855"/>
      <c r="I105" s="855"/>
      <c r="J105" s="855"/>
      <c r="K105" s="855"/>
      <c r="L105" s="855"/>
      <c r="M105" s="855"/>
    </row>
    <row r="106" spans="1:13" s="2" customFormat="1">
      <c r="A106" s="3" t="str">
        <f>A85</f>
        <v>b</v>
      </c>
      <c r="B106" s="855"/>
      <c r="C106" s="855"/>
      <c r="D106" s="855"/>
      <c r="E106" s="855"/>
      <c r="F106" s="855"/>
      <c r="G106" s="855"/>
      <c r="H106" s="855"/>
      <c r="I106" s="855"/>
      <c r="J106" s="855"/>
      <c r="K106" s="855"/>
      <c r="L106" s="855"/>
      <c r="M106" s="855"/>
    </row>
    <row r="107" spans="1:13" s="2" customFormat="1">
      <c r="A107" s="3" t="str">
        <f>A88</f>
        <v>c</v>
      </c>
      <c r="B107" s="855"/>
      <c r="C107" s="855"/>
      <c r="D107" s="855"/>
      <c r="E107" s="855"/>
      <c r="F107" s="855"/>
      <c r="G107" s="855"/>
      <c r="H107" s="855"/>
      <c r="I107" s="855"/>
      <c r="J107" s="855"/>
      <c r="K107" s="855"/>
      <c r="L107" s="855"/>
      <c r="M107" s="855"/>
    </row>
    <row r="108" spans="1:13" s="2" customFormat="1">
      <c r="A108" s="3" t="str">
        <f>A91</f>
        <v>d</v>
      </c>
      <c r="B108" s="855"/>
      <c r="C108" s="855"/>
      <c r="D108" s="855"/>
      <c r="E108" s="855"/>
      <c r="F108" s="855"/>
      <c r="G108" s="855"/>
      <c r="H108" s="855"/>
      <c r="I108" s="855"/>
      <c r="J108" s="855"/>
      <c r="K108" s="855"/>
      <c r="L108" s="855"/>
      <c r="M108" s="855"/>
    </row>
    <row r="109" spans="1:13" s="2" customFormat="1">
      <c r="A109" s="3" t="str">
        <f>A94</f>
        <v>e</v>
      </c>
      <c r="B109" s="855"/>
      <c r="C109" s="855"/>
      <c r="D109" s="855"/>
      <c r="E109" s="855"/>
      <c r="F109" s="855"/>
      <c r="G109" s="855"/>
      <c r="H109" s="855"/>
      <c r="I109" s="855"/>
      <c r="J109" s="855"/>
      <c r="K109" s="855"/>
      <c r="L109" s="855"/>
      <c r="M109" s="855"/>
    </row>
    <row r="110" spans="1:13" s="2" customFormat="1">
      <c r="A110" s="3" t="str">
        <f>A97</f>
        <v>f</v>
      </c>
      <c r="B110" s="855"/>
      <c r="C110" s="855"/>
      <c r="D110" s="855"/>
      <c r="E110" s="855"/>
      <c r="F110" s="855"/>
      <c r="G110" s="855"/>
      <c r="H110" s="855"/>
      <c r="I110" s="855"/>
      <c r="J110" s="855"/>
      <c r="K110" s="855"/>
      <c r="L110" s="855"/>
      <c r="M110" s="855"/>
    </row>
    <row r="111" spans="1:13" s="2" customFormat="1">
      <c r="A111" s="3" t="str">
        <f>A100</f>
        <v>g</v>
      </c>
      <c r="B111" s="855"/>
      <c r="C111" s="855"/>
      <c r="D111" s="855"/>
      <c r="E111" s="855"/>
      <c r="F111" s="855"/>
      <c r="G111" s="855"/>
      <c r="H111" s="855"/>
      <c r="I111" s="855"/>
      <c r="J111" s="855"/>
      <c r="K111" s="855"/>
      <c r="L111" s="855"/>
      <c r="M111" s="855"/>
    </row>
    <row r="112" spans="1:13" s="307" customFormat="1">
      <c r="A112" s="460"/>
      <c r="C112" s="461"/>
      <c r="D112" s="462"/>
      <c r="E112" s="462"/>
      <c r="F112" s="462"/>
      <c r="G112" s="462"/>
      <c r="H112" s="462"/>
      <c r="I112" s="462"/>
      <c r="J112" s="462"/>
      <c r="K112" s="462"/>
      <c r="L112" s="463"/>
      <c r="M112" s="463"/>
    </row>
    <row r="113" spans="1:14" s="307" customFormat="1">
      <c r="A113" s="460"/>
      <c r="C113" s="461"/>
      <c r="D113" s="461"/>
      <c r="E113" s="461"/>
      <c r="F113" s="461"/>
      <c r="G113" s="461"/>
      <c r="H113" s="461"/>
      <c r="I113" s="461"/>
      <c r="J113" s="461"/>
      <c r="K113" s="461"/>
      <c r="L113" s="461"/>
      <c r="M113" s="461"/>
    </row>
    <row r="114" spans="1:14" s="2" customFormat="1">
      <c r="A114" s="72"/>
      <c r="B114" s="72"/>
      <c r="C114" s="140"/>
      <c r="D114" s="72"/>
      <c r="E114" s="72"/>
      <c r="F114" s="72"/>
      <c r="G114" s="72"/>
      <c r="H114" s="72"/>
      <c r="I114" s="72"/>
      <c r="J114" s="72"/>
      <c r="K114" s="72"/>
      <c r="L114" s="72"/>
      <c r="M114" s="72"/>
      <c r="N114" s="72"/>
    </row>
  </sheetData>
  <sheetProtection algorithmName="SHA-512" hashValue="1F1OqW188JfVnZ2CXb4KWVa5YEkaw6sqiAAcVhSAldgUjIAvD7qu6qgBfYslKV7CSAnMzIqFGZ/4ewrIP5X3Zg==" saltValue="LK6xxR+IDpFGBLpqkq6rcQ==" spinCount="100000"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5:K6">
    <cfRule type="expression" dxfId="33"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M28"/>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79.61328125" customWidth="1"/>
    <col min="3" max="3" width="14.15234375" style="127" customWidth="1"/>
    <col min="4" max="11" width="11.15234375" customWidth="1"/>
    <col min="12" max="12" width="5" customWidth="1"/>
  </cols>
  <sheetData>
    <row r="1" spans="1:13" ht="20">
      <c r="A1" s="782" t="s">
        <v>100</v>
      </c>
      <c r="B1" s="778"/>
      <c r="C1" s="248"/>
      <c r="D1" s="231"/>
      <c r="E1" s="231"/>
      <c r="F1" s="231"/>
      <c r="G1" s="231"/>
      <c r="H1" s="231"/>
      <c r="I1" s="232"/>
      <c r="J1" s="232"/>
      <c r="K1" s="233"/>
      <c r="L1" s="234"/>
    </row>
    <row r="2" spans="1:13" ht="20">
      <c r="A2" s="772" t="str">
        <f>'RFPR cover'!C5</f>
        <v>NPgN</v>
      </c>
      <c r="B2" s="764"/>
      <c r="C2" s="125"/>
      <c r="D2" s="29"/>
      <c r="E2" s="29"/>
      <c r="F2" s="29"/>
      <c r="G2" s="29"/>
      <c r="H2" s="29"/>
      <c r="I2" s="27"/>
      <c r="J2" s="27"/>
      <c r="K2" s="27"/>
      <c r="L2" s="114"/>
    </row>
    <row r="3" spans="1:13" ht="23">
      <c r="A3" s="774">
        <f>'RFPR cover'!C7</f>
        <v>2023</v>
      </c>
      <c r="B3" s="780" t="str">
        <f>'R1 - RoRE'!B3</f>
        <v/>
      </c>
      <c r="C3" s="250"/>
      <c r="D3" s="249"/>
      <c r="E3" s="249"/>
      <c r="F3" s="249"/>
      <c r="G3" s="249"/>
      <c r="H3" s="249"/>
      <c r="I3" s="230"/>
      <c r="J3" s="230"/>
      <c r="K3" s="230"/>
      <c r="L3" s="236"/>
    </row>
    <row r="4" spans="1:13" s="2" customFormat="1" ht="12.75" customHeight="1">
      <c r="C4" s="127"/>
    </row>
    <row r="5" spans="1:13" s="2" customFormat="1">
      <c r="B5" s="3"/>
      <c r="C5" s="127"/>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3" s="2" customFormat="1">
      <c r="C6" s="127"/>
      <c r="D6" s="108">
        <f>'RFPR cover'!$C$13</f>
        <v>2016</v>
      </c>
      <c r="E6" s="109">
        <f>D6+1</f>
        <v>2017</v>
      </c>
      <c r="F6" s="109">
        <f t="shared" ref="F6:K6" si="0">E6+1</f>
        <v>2018</v>
      </c>
      <c r="G6" s="109">
        <f t="shared" si="0"/>
        <v>2019</v>
      </c>
      <c r="H6" s="109">
        <f t="shared" si="0"/>
        <v>2020</v>
      </c>
      <c r="I6" s="109">
        <f t="shared" si="0"/>
        <v>2021</v>
      </c>
      <c r="J6" s="109">
        <f t="shared" si="0"/>
        <v>2022</v>
      </c>
      <c r="K6" s="109">
        <f t="shared" si="0"/>
        <v>2023</v>
      </c>
    </row>
    <row r="7" spans="1:13" s="2" customFormat="1">
      <c r="C7" s="127"/>
    </row>
    <row r="8" spans="1:13" s="2" customFormat="1">
      <c r="B8" s="12" t="s">
        <v>133</v>
      </c>
      <c r="C8" s="128"/>
      <c r="D8" s="47"/>
      <c r="E8" s="47"/>
      <c r="F8" s="47"/>
      <c r="G8" s="47"/>
      <c r="H8" s="47"/>
      <c r="I8" s="47"/>
      <c r="J8" s="47"/>
      <c r="K8" s="47"/>
    </row>
    <row r="9" spans="1:13" s="2" customFormat="1">
      <c r="B9" s="120" t="s">
        <v>515</v>
      </c>
      <c r="C9" s="142" t="s">
        <v>127</v>
      </c>
      <c r="D9" s="518">
        <v>0.63252474530166247</v>
      </c>
      <c r="E9" s="519">
        <v>0.61656409110861088</v>
      </c>
      <c r="F9" s="519">
        <v>1.7778434784095811</v>
      </c>
      <c r="G9" s="519">
        <v>1.8460414006661143</v>
      </c>
      <c r="H9" s="519">
        <v>1.7835115231037355</v>
      </c>
      <c r="I9" s="519">
        <v>1.8629286981468229</v>
      </c>
      <c r="J9" s="801">
        <v>0.73122721223199738</v>
      </c>
      <c r="K9" s="801">
        <v>1.4674805608970469</v>
      </c>
    </row>
    <row r="10" spans="1:13" s="2" customFormat="1">
      <c r="B10" s="120" t="s">
        <v>496</v>
      </c>
      <c r="C10" s="142" t="s">
        <v>127</v>
      </c>
      <c r="D10" s="520"/>
      <c r="E10" s="521"/>
      <c r="F10" s="521"/>
      <c r="G10" s="521"/>
      <c r="H10" s="521"/>
      <c r="I10" s="521"/>
      <c r="J10" s="807"/>
      <c r="K10" s="802"/>
    </row>
    <row r="11" spans="1:13" s="2" customFormat="1">
      <c r="B11" s="120" t="s">
        <v>514</v>
      </c>
      <c r="C11" s="142" t="s">
        <v>127</v>
      </c>
      <c r="D11" s="723">
        <v>6.3252474530166247E-2</v>
      </c>
      <c r="E11" s="724">
        <v>6.1656409110861121E-2</v>
      </c>
      <c r="F11" s="724">
        <v>0.17778434784095798</v>
      </c>
      <c r="G11" s="724">
        <v>0.18460414006661141</v>
      </c>
      <c r="H11" s="724">
        <v>0.17835115231037357</v>
      </c>
      <c r="I11" s="724">
        <v>0.18629286981468218</v>
      </c>
      <c r="J11" s="803">
        <v>7.3122721223199738E-2</v>
      </c>
      <c r="K11" s="803">
        <v>0.14674805608970476</v>
      </c>
    </row>
    <row r="12" spans="1:13" s="12" customFormat="1">
      <c r="B12" s="12" t="s">
        <v>131</v>
      </c>
      <c r="C12" s="142" t="s">
        <v>127</v>
      </c>
      <c r="D12" s="534">
        <f>D9-D10-D11</f>
        <v>0.56927227077149622</v>
      </c>
      <c r="E12" s="535">
        <f t="shared" ref="E12:K12" si="1">E9-E10-E11</f>
        <v>0.55490768199774976</v>
      </c>
      <c r="F12" s="535">
        <f t="shared" si="1"/>
        <v>1.6000591305686231</v>
      </c>
      <c r="G12" s="535">
        <f t="shared" si="1"/>
        <v>1.6614372605995029</v>
      </c>
      <c r="H12" s="535">
        <f t="shared" si="1"/>
        <v>1.6051603707933619</v>
      </c>
      <c r="I12" s="535">
        <f t="shared" si="1"/>
        <v>1.6766358283321408</v>
      </c>
      <c r="J12" s="535">
        <f t="shared" si="1"/>
        <v>0.65810449100879764</v>
      </c>
      <c r="K12" s="535">
        <f t="shared" si="1"/>
        <v>1.3207325048073422</v>
      </c>
      <c r="L12" s="2"/>
    </row>
    <row r="13" spans="1:13" s="12" customFormat="1">
      <c r="C13" s="127"/>
      <c r="D13" s="47"/>
      <c r="E13" s="47"/>
      <c r="F13" s="47"/>
      <c r="G13" s="47"/>
      <c r="H13" s="47"/>
      <c r="I13" s="47"/>
      <c r="J13" s="47"/>
      <c r="K13" s="47"/>
      <c r="L13" s="2"/>
    </row>
    <row r="14" spans="1:13" s="2" customFormat="1">
      <c r="B14" s="12" t="s">
        <v>155</v>
      </c>
      <c r="C14" s="128"/>
      <c r="D14" s="47"/>
      <c r="E14" s="47"/>
      <c r="F14" s="47"/>
      <c r="G14" s="47"/>
      <c r="H14" s="47"/>
      <c r="I14" s="47"/>
      <c r="J14" s="47"/>
      <c r="K14" s="47"/>
    </row>
    <row r="15" spans="1:13" s="2" customFormat="1" ht="13.15" customHeight="1">
      <c r="B15" s="120" t="s">
        <v>517</v>
      </c>
      <c r="C15" s="142" t="s">
        <v>127</v>
      </c>
      <c r="D15" s="518">
        <v>1.1010599400000001</v>
      </c>
      <c r="E15" s="519">
        <v>5.8397959999999992E-2</v>
      </c>
      <c r="F15" s="519">
        <v>0.16904193000000001</v>
      </c>
      <c r="G15" s="519">
        <v>0.45848116</v>
      </c>
      <c r="H15" s="519">
        <v>6.2660850000000004E-2</v>
      </c>
      <c r="I15" s="519">
        <v>-0.16883793999999999</v>
      </c>
      <c r="J15" s="519">
        <v>3.7337910000000002E-2</v>
      </c>
      <c r="K15" s="519">
        <v>-0.17509968000000001</v>
      </c>
      <c r="M15" s="12"/>
    </row>
    <row r="16" spans="1:13" s="2" customFormat="1">
      <c r="B16" s="120" t="s">
        <v>516</v>
      </c>
      <c r="C16" s="142" t="s">
        <v>127</v>
      </c>
      <c r="D16" s="520"/>
      <c r="E16" s="521"/>
      <c r="F16" s="521"/>
      <c r="G16" s="521"/>
      <c r="H16" s="521"/>
      <c r="I16" s="521"/>
      <c r="J16" s="521"/>
      <c r="K16" s="521"/>
    </row>
    <row r="17" spans="2:12" s="12" customFormat="1">
      <c r="B17" s="12" t="s">
        <v>132</v>
      </c>
      <c r="C17" s="142" t="s">
        <v>127</v>
      </c>
      <c r="D17" s="534">
        <f>D15-D16</f>
        <v>1.1010599400000001</v>
      </c>
      <c r="E17" s="534">
        <f t="shared" ref="E17:K17" si="2">E15-E16</f>
        <v>5.8397959999999992E-2</v>
      </c>
      <c r="F17" s="534">
        <f t="shared" si="2"/>
        <v>0.16904193000000001</v>
      </c>
      <c r="G17" s="534">
        <f t="shared" si="2"/>
        <v>0.45848116</v>
      </c>
      <c r="H17" s="534">
        <f t="shared" si="2"/>
        <v>6.2660850000000004E-2</v>
      </c>
      <c r="I17" s="534">
        <f t="shared" si="2"/>
        <v>-0.16883793999999999</v>
      </c>
      <c r="J17" s="534">
        <f t="shared" si="2"/>
        <v>3.7337910000000002E-2</v>
      </c>
      <c r="K17" s="534">
        <f t="shared" si="2"/>
        <v>-0.17509968000000001</v>
      </c>
      <c r="L17" s="2"/>
    </row>
    <row r="18" spans="2:12" s="12" customFormat="1">
      <c r="C18" s="127"/>
      <c r="D18" s="47"/>
      <c r="E18" s="47"/>
      <c r="F18" s="47"/>
      <c r="G18" s="47"/>
      <c r="H18" s="47"/>
      <c r="I18" s="47"/>
      <c r="J18" s="47"/>
      <c r="K18" s="47"/>
      <c r="L18" s="2"/>
    </row>
    <row r="19" spans="2:12" s="2" customFormat="1">
      <c r="B19" s="12" t="s">
        <v>156</v>
      </c>
      <c r="C19" s="128"/>
      <c r="D19" s="47"/>
      <c r="E19" s="47"/>
      <c r="F19" s="47"/>
      <c r="G19" s="47"/>
      <c r="H19" s="47"/>
      <c r="I19" s="47"/>
      <c r="J19" s="47"/>
      <c r="K19" s="47"/>
    </row>
    <row r="20" spans="2:12" s="2" customFormat="1">
      <c r="B20" s="120" t="s">
        <v>448</v>
      </c>
      <c r="C20" s="142" t="s">
        <v>127</v>
      </c>
      <c r="D20" s="518"/>
      <c r="E20" s="519"/>
      <c r="F20" s="519"/>
      <c r="G20" s="519"/>
      <c r="H20" s="519"/>
      <c r="I20" s="519"/>
      <c r="J20" s="519"/>
      <c r="K20" s="519"/>
    </row>
    <row r="21" spans="2:12" s="2" customFormat="1">
      <c r="B21" s="120" t="s">
        <v>514</v>
      </c>
      <c r="C21" s="142" t="s">
        <v>127</v>
      </c>
      <c r="D21" s="550"/>
      <c r="E21" s="539"/>
      <c r="F21" s="539"/>
      <c r="G21" s="539"/>
      <c r="H21" s="539"/>
      <c r="I21" s="539"/>
      <c r="J21" s="539"/>
      <c r="K21" s="539"/>
    </row>
    <row r="22" spans="2:12" s="2" customFormat="1">
      <c r="C22" s="127"/>
    </row>
    <row r="23" spans="2:12" s="2" customFormat="1">
      <c r="B23" s="120" t="s">
        <v>499</v>
      </c>
      <c r="C23" s="142" t="s">
        <v>127</v>
      </c>
      <c r="D23" s="550"/>
      <c r="E23" s="539"/>
      <c r="F23" s="539"/>
      <c r="G23" s="539"/>
      <c r="H23" s="539"/>
      <c r="I23" s="539"/>
      <c r="J23" s="539"/>
      <c r="K23" s="539"/>
    </row>
    <row r="24" spans="2:12" s="2" customFormat="1">
      <c r="C24" s="127"/>
    </row>
    <row r="25" spans="2:12" s="2" customFormat="1">
      <c r="B25" s="72"/>
      <c r="C25" s="140"/>
      <c r="D25" s="72"/>
      <c r="E25" s="72"/>
      <c r="F25" s="72"/>
      <c r="G25" s="72"/>
      <c r="H25" s="72"/>
      <c r="I25" s="72"/>
      <c r="J25" s="72"/>
      <c r="K25" s="72"/>
      <c r="L25" s="72"/>
    </row>
    <row r="26" spans="2:12" s="2" customFormat="1">
      <c r="C26" s="127"/>
    </row>
    <row r="27" spans="2:12" s="2" customFormat="1">
      <c r="B27" s="12" t="s">
        <v>394</v>
      </c>
      <c r="C27" s="127"/>
    </row>
    <row r="28" spans="2:12" s="2" customFormat="1">
      <c r="B28" s="120" t="s">
        <v>497</v>
      </c>
      <c r="C28" s="57" t="str">
        <f>'RFPR cover'!$C$14</f>
        <v>£m 12/13</v>
      </c>
      <c r="D28" s="597">
        <f>(SUM(D10,D11,D21)-D23)/Data!C34</f>
        <v>5.9654320019690739E-2</v>
      </c>
      <c r="E28" s="597">
        <f>(SUM(E10,E11,E21)-E23)/Data!D34</f>
        <v>5.6929197482187929E-2</v>
      </c>
      <c r="F28" s="597">
        <f>(SUM(F10,F11,F21)-F23)/Data!E34</f>
        <v>0.15823251890809434</v>
      </c>
      <c r="G28" s="597">
        <f>(SUM(G10,G11,G21)-G23)/Data!F34</f>
        <v>0.15943078900277491</v>
      </c>
      <c r="H28" s="597">
        <f>(SUM(H10,H11,H21)-H23)/Data!G34</f>
        <v>0.15014371010225863</v>
      </c>
      <c r="I28" s="597">
        <f>(SUM(I10,I11,I21)-I23)/Data!H34</f>
        <v>0.1549501063066468</v>
      </c>
      <c r="J28" s="597">
        <f>(SUM(J10,J11,J21)-J23)/Data!I34</f>
        <v>5.749908990058554E-2</v>
      </c>
      <c r="K28" s="597">
        <f>(SUM(K10,K11,K21)-K23)/Data!J34</f>
        <v>0.10223189829577871</v>
      </c>
    </row>
  </sheetData>
  <sheetProtection algorithmName="SHA-512" hashValue="Y0EbYfggj8rAKu72aMsrXNucUksUPkL6i/tm07ow8vG2CKpea64Y96+E+zqxDQoE3pvmDhU5R3pmah4ukw/WkQ==" saltValue="ZLnfjxqKrEppr4ZaCJAuPg==" spinCount="100000" sheet="1" objects="1" scenarios="1"/>
  <conditionalFormatting sqref="D5:K6">
    <cfRule type="expression" dxfId="3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0"/>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101.765625" customWidth="1"/>
    <col min="3" max="3" width="14.15234375" customWidth="1"/>
    <col min="4" max="11" width="11.15234375" customWidth="1"/>
    <col min="12" max="13" width="12.84375" customWidth="1"/>
    <col min="14" max="14" width="5" customWidth="1"/>
  </cols>
  <sheetData>
    <row r="1" spans="1:14" ht="20">
      <c r="A1" s="782" t="s">
        <v>264</v>
      </c>
      <c r="B1" s="778"/>
      <c r="C1" s="231"/>
      <c r="D1" s="231"/>
      <c r="E1" s="231"/>
      <c r="F1" s="231"/>
      <c r="G1" s="231"/>
      <c r="H1" s="231"/>
      <c r="I1" s="232"/>
      <c r="J1" s="232"/>
      <c r="K1" s="233"/>
      <c r="L1" s="233"/>
      <c r="M1" s="233"/>
      <c r="N1" s="234"/>
    </row>
    <row r="2" spans="1:14" ht="20">
      <c r="A2" s="772" t="str">
        <f>'RFPR cover'!C5</f>
        <v>NPgN</v>
      </c>
      <c r="B2" s="764"/>
      <c r="C2" s="29"/>
      <c r="D2" s="29"/>
      <c r="E2" s="29"/>
      <c r="F2" s="29"/>
      <c r="G2" s="29"/>
      <c r="H2" s="29"/>
      <c r="I2" s="27"/>
      <c r="J2" s="27"/>
      <c r="K2" s="27"/>
      <c r="L2" s="27"/>
      <c r="M2" s="27"/>
      <c r="N2" s="114"/>
    </row>
    <row r="3" spans="1:14" ht="23">
      <c r="A3" s="774">
        <f>'RFPR cover'!C7</f>
        <v>2023</v>
      </c>
      <c r="B3" s="780" t="str">
        <f>'R1 - RoRE'!B3</f>
        <v/>
      </c>
      <c r="C3" s="235"/>
      <c r="D3" s="235"/>
      <c r="E3" s="235"/>
      <c r="F3" s="235"/>
      <c r="G3" s="235"/>
      <c r="H3" s="235"/>
      <c r="I3" s="230"/>
      <c r="J3" s="230"/>
      <c r="K3" s="230"/>
      <c r="L3" s="230"/>
      <c r="M3" s="230"/>
      <c r="N3" s="236"/>
    </row>
    <row r="4" spans="1:14" ht="12.75" customHeight="1">
      <c r="A4" s="36"/>
      <c r="B4" s="36"/>
      <c r="C4" s="36"/>
      <c r="D4" s="36"/>
      <c r="E4" s="36"/>
      <c r="F4" s="36"/>
      <c r="G4" s="36"/>
      <c r="H4" s="36"/>
      <c r="I4" s="33"/>
      <c r="J4" s="33"/>
      <c r="K4" s="33"/>
      <c r="L4" s="32"/>
    </row>
    <row r="5" spans="1:14" s="2" customFormat="1">
      <c r="B5" s="3"/>
      <c r="C5" s="3"/>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4" s="2" customFormat="1" ht="27">
      <c r="D6" s="108">
        <f>'RFPR cover'!$C$13</f>
        <v>2016</v>
      </c>
      <c r="E6" s="109">
        <f>D6+1</f>
        <v>2017</v>
      </c>
      <c r="F6" s="109">
        <f t="shared" ref="F6:K6" si="0">E6+1</f>
        <v>2018</v>
      </c>
      <c r="G6" s="109">
        <f t="shared" si="0"/>
        <v>2019</v>
      </c>
      <c r="H6" s="109">
        <f t="shared" si="0"/>
        <v>2020</v>
      </c>
      <c r="I6" s="109">
        <f t="shared" si="0"/>
        <v>2021</v>
      </c>
      <c r="J6" s="109">
        <f t="shared" si="0"/>
        <v>2022</v>
      </c>
      <c r="K6" s="180">
        <f t="shared" si="0"/>
        <v>2023</v>
      </c>
      <c r="L6" s="92" t="str">
        <f>"Cumulative to "&amp;'RFPR cover'!$C$7</f>
        <v>Cumulative to 2023</v>
      </c>
      <c r="M6" s="251" t="s">
        <v>109</v>
      </c>
    </row>
    <row r="7" spans="1:14" s="2" customFormat="1"/>
    <row r="8" spans="1:14">
      <c r="B8" s="417" t="s">
        <v>301</v>
      </c>
      <c r="C8" s="142" t="s">
        <v>127</v>
      </c>
      <c r="D8" s="304">
        <v>27.140499999999996</v>
      </c>
      <c r="E8" s="338">
        <v>28.662500000000001</v>
      </c>
      <c r="F8" s="338">
        <v>28.645499999999998</v>
      </c>
      <c r="G8" s="338">
        <v>28.812000000000008</v>
      </c>
      <c r="H8" s="338">
        <v>31.385073980000005</v>
      </c>
      <c r="I8" s="338">
        <v>30.470523390000004</v>
      </c>
      <c r="J8" s="338">
        <v>26.946089649999998</v>
      </c>
      <c r="K8" s="339">
        <v>31.198175578056063</v>
      </c>
      <c r="L8" s="2"/>
      <c r="M8" s="2"/>
    </row>
    <row r="9" spans="1:14">
      <c r="B9" s="14"/>
      <c r="C9" s="142"/>
      <c r="D9" s="207"/>
      <c r="E9" s="207"/>
      <c r="F9" s="207"/>
      <c r="G9" s="207"/>
      <c r="H9" s="207"/>
      <c r="I9" s="207"/>
      <c r="J9" s="207"/>
      <c r="K9" s="207"/>
      <c r="L9" s="2"/>
      <c r="M9" s="2"/>
    </row>
    <row r="10" spans="1:14">
      <c r="B10" s="14" t="s">
        <v>475</v>
      </c>
      <c r="C10" s="16"/>
      <c r="D10" s="208"/>
      <c r="E10" s="208"/>
      <c r="F10" s="208"/>
      <c r="G10" s="208"/>
      <c r="H10" s="208"/>
      <c r="I10" s="208"/>
      <c r="J10" s="208"/>
      <c r="K10" s="208"/>
      <c r="L10" s="2"/>
      <c r="M10" s="2"/>
    </row>
    <row r="11" spans="1:14">
      <c r="B11" s="323" t="s">
        <v>12</v>
      </c>
      <c r="C11" s="142" t="s">
        <v>127</v>
      </c>
      <c r="D11" s="330">
        <v>0</v>
      </c>
      <c r="E11" s="331">
        <v>0</v>
      </c>
      <c r="F11" s="331">
        <v>0</v>
      </c>
      <c r="G11" s="331">
        <v>0</v>
      </c>
      <c r="H11" s="331">
        <v>0</v>
      </c>
      <c r="I11" s="331">
        <v>0</v>
      </c>
      <c r="J11" s="331">
        <v>0</v>
      </c>
      <c r="K11" s="335">
        <v>0</v>
      </c>
      <c r="L11" s="2"/>
      <c r="M11" s="2"/>
    </row>
    <row r="12" spans="1:14">
      <c r="B12" s="323" t="s">
        <v>13</v>
      </c>
      <c r="C12" s="142" t="s">
        <v>127</v>
      </c>
      <c r="D12" s="303">
        <v>0</v>
      </c>
      <c r="E12" s="332">
        <v>0</v>
      </c>
      <c r="F12" s="332">
        <v>0</v>
      </c>
      <c r="G12" s="332">
        <v>0</v>
      </c>
      <c r="H12" s="332">
        <v>0</v>
      </c>
      <c r="I12" s="332">
        <v>0</v>
      </c>
      <c r="J12" s="332">
        <v>0</v>
      </c>
      <c r="K12" s="336">
        <v>0</v>
      </c>
      <c r="L12" s="2"/>
      <c r="M12" s="2"/>
    </row>
    <row r="13" spans="1:14">
      <c r="B13" s="323" t="s">
        <v>14</v>
      </c>
      <c r="C13" s="142" t="s">
        <v>127</v>
      </c>
      <c r="D13" s="303">
        <v>0</v>
      </c>
      <c r="E13" s="332">
        <v>0</v>
      </c>
      <c r="F13" s="332">
        <v>0</v>
      </c>
      <c r="G13" s="332">
        <v>0</v>
      </c>
      <c r="H13" s="332">
        <v>0</v>
      </c>
      <c r="I13" s="332">
        <v>0</v>
      </c>
      <c r="J13" s="332">
        <v>0</v>
      </c>
      <c r="K13" s="336">
        <v>0</v>
      </c>
      <c r="L13" s="2"/>
      <c r="M13" s="2"/>
    </row>
    <row r="14" spans="1:14">
      <c r="B14" s="323" t="s">
        <v>15</v>
      </c>
      <c r="C14" s="142" t="s">
        <v>127</v>
      </c>
      <c r="D14" s="303">
        <v>0</v>
      </c>
      <c r="E14" s="332">
        <v>0</v>
      </c>
      <c r="F14" s="332">
        <v>0</v>
      </c>
      <c r="G14" s="332">
        <v>0</v>
      </c>
      <c r="H14" s="332">
        <v>0</v>
      </c>
      <c r="I14" s="332">
        <v>0</v>
      </c>
      <c r="J14" s="332">
        <v>0</v>
      </c>
      <c r="K14" s="336">
        <v>0</v>
      </c>
      <c r="L14" s="2"/>
      <c r="M14" s="2"/>
    </row>
    <row r="15" spans="1:14">
      <c r="B15" s="323" t="s">
        <v>16</v>
      </c>
      <c r="C15" s="142" t="s">
        <v>127</v>
      </c>
      <c r="D15" s="303">
        <v>0</v>
      </c>
      <c r="E15" s="332">
        <v>0</v>
      </c>
      <c r="F15" s="332">
        <v>0</v>
      </c>
      <c r="G15" s="332">
        <v>0</v>
      </c>
      <c r="H15" s="332">
        <v>0</v>
      </c>
      <c r="I15" s="332">
        <v>0</v>
      </c>
      <c r="J15" s="332">
        <v>0</v>
      </c>
      <c r="K15" s="336">
        <v>0</v>
      </c>
      <c r="L15" s="2"/>
      <c r="M15" s="2"/>
    </row>
    <row r="16" spans="1:14">
      <c r="B16" s="323" t="s">
        <v>17</v>
      </c>
      <c r="C16" s="142" t="s">
        <v>127</v>
      </c>
      <c r="D16" s="303">
        <v>0</v>
      </c>
      <c r="E16" s="332">
        <v>0</v>
      </c>
      <c r="F16" s="332">
        <v>0</v>
      </c>
      <c r="G16" s="332">
        <v>0</v>
      </c>
      <c r="H16" s="332">
        <v>0</v>
      </c>
      <c r="I16" s="332">
        <v>0</v>
      </c>
      <c r="J16" s="332">
        <v>0</v>
      </c>
      <c r="K16" s="336">
        <v>0</v>
      </c>
      <c r="L16" s="2"/>
    </row>
    <row r="17" spans="2:12">
      <c r="B17" s="323" t="s">
        <v>281</v>
      </c>
      <c r="C17" s="142" t="s">
        <v>127</v>
      </c>
      <c r="D17" s="303">
        <v>-0.373</v>
      </c>
      <c r="E17" s="332">
        <v>-0.25</v>
      </c>
      <c r="F17" s="332">
        <v>-0.252</v>
      </c>
      <c r="G17" s="332">
        <v>-0.255</v>
      </c>
      <c r="H17" s="332">
        <v>-0.27300000000000002</v>
      </c>
      <c r="I17" s="332">
        <v>-0.29399999999999998</v>
      </c>
      <c r="J17" s="332">
        <v>-0.34199999999999997</v>
      </c>
      <c r="K17" s="336">
        <v>-0.48399999999999999</v>
      </c>
      <c r="L17" s="2"/>
    </row>
    <row r="18" spans="2:12" ht="12.75" customHeight="1">
      <c r="B18" s="323" t="s">
        <v>18</v>
      </c>
      <c r="C18" s="142" t="s">
        <v>127</v>
      </c>
      <c r="D18" s="303">
        <v>-0.19</v>
      </c>
      <c r="E18" s="332">
        <v>-9.1999999999999998E-2</v>
      </c>
      <c r="F18" s="332">
        <v>-9.0999999999999998E-2</v>
      </c>
      <c r="G18" s="332">
        <v>-6.8000000000000005E-2</v>
      </c>
      <c r="H18" s="332">
        <v>-8.1000000000000003E-2</v>
      </c>
      <c r="I18" s="332">
        <v>-4.7E-2</v>
      </c>
      <c r="J18" s="332">
        <v>-3.6999999999999998E-2</v>
      </c>
      <c r="K18" s="336">
        <v>-6.8000000000000005E-2</v>
      </c>
      <c r="L18" s="2"/>
    </row>
    <row r="19" spans="2:12">
      <c r="B19" s="323" t="s">
        <v>578</v>
      </c>
      <c r="C19" s="142" t="s">
        <v>127</v>
      </c>
      <c r="D19" s="303">
        <v>3.085</v>
      </c>
      <c r="E19" s="332">
        <v>2.5739999999999998</v>
      </c>
      <c r="F19" s="332">
        <v>2.9369999999999998</v>
      </c>
      <c r="G19" s="332">
        <v>1.964</v>
      </c>
      <c r="H19" s="332">
        <v>1.4910000000000001</v>
      </c>
      <c r="I19" s="332">
        <v>0.81699999999999995</v>
      </c>
      <c r="J19" s="332">
        <v>0.71</v>
      </c>
      <c r="K19" s="336">
        <v>0.502</v>
      </c>
      <c r="L19" s="2"/>
    </row>
    <row r="20" spans="2:12">
      <c r="B20" s="323" t="s">
        <v>597</v>
      </c>
      <c r="C20" s="142" t="s">
        <v>127</v>
      </c>
      <c r="D20" s="303">
        <v>0</v>
      </c>
      <c r="E20" s="332">
        <v>0</v>
      </c>
      <c r="F20" s="332">
        <v>0</v>
      </c>
      <c r="G20" s="332">
        <v>0</v>
      </c>
      <c r="H20" s="332">
        <v>-0.54607397999999996</v>
      </c>
      <c r="I20" s="332">
        <v>-0.40652338999999998</v>
      </c>
      <c r="J20" s="332">
        <v>-0.33108965000000001</v>
      </c>
      <c r="K20" s="336">
        <v>-0.76417557805606429</v>
      </c>
      <c r="L20" s="2"/>
    </row>
    <row r="21" spans="2:12">
      <c r="B21" s="323" t="s">
        <v>349</v>
      </c>
      <c r="C21" s="142" t="s">
        <v>127</v>
      </c>
      <c r="D21" s="303">
        <v>0</v>
      </c>
      <c r="E21" s="332">
        <v>0</v>
      </c>
      <c r="F21" s="332">
        <v>0</v>
      </c>
      <c r="G21" s="332">
        <v>0</v>
      </c>
      <c r="H21" s="332">
        <v>0</v>
      </c>
      <c r="I21" s="332">
        <v>0</v>
      </c>
      <c r="J21" s="332">
        <v>0</v>
      </c>
      <c r="K21" s="336">
        <v>0</v>
      </c>
      <c r="L21" s="2"/>
    </row>
    <row r="22" spans="2:12">
      <c r="B22" s="323" t="s">
        <v>350</v>
      </c>
      <c r="C22" s="142" t="s">
        <v>127</v>
      </c>
      <c r="D22" s="303">
        <v>0</v>
      </c>
      <c r="E22" s="332">
        <v>0</v>
      </c>
      <c r="F22" s="332">
        <v>0</v>
      </c>
      <c r="G22" s="332">
        <v>0</v>
      </c>
      <c r="H22" s="332">
        <v>0</v>
      </c>
      <c r="I22" s="332">
        <v>0</v>
      </c>
      <c r="J22" s="332">
        <v>0</v>
      </c>
      <c r="K22" s="336">
        <v>0</v>
      </c>
      <c r="L22" s="2"/>
    </row>
    <row r="23" spans="2:12">
      <c r="B23" s="323" t="s">
        <v>351</v>
      </c>
      <c r="C23" s="142" t="s">
        <v>127</v>
      </c>
      <c r="D23" s="303">
        <v>0</v>
      </c>
      <c r="E23" s="332">
        <v>0</v>
      </c>
      <c r="F23" s="332">
        <v>0</v>
      </c>
      <c r="G23" s="332">
        <v>0</v>
      </c>
      <c r="H23" s="332">
        <v>0</v>
      </c>
      <c r="I23" s="332">
        <v>0</v>
      </c>
      <c r="J23" s="332">
        <v>0</v>
      </c>
      <c r="K23" s="336">
        <v>0</v>
      </c>
      <c r="L23" s="2"/>
    </row>
    <row r="24" spans="2:12">
      <c r="B24" s="323" t="s">
        <v>352</v>
      </c>
      <c r="C24" s="142" t="s">
        <v>127</v>
      </c>
      <c r="D24" s="303">
        <v>0</v>
      </c>
      <c r="E24" s="332">
        <v>0</v>
      </c>
      <c r="F24" s="332">
        <v>0</v>
      </c>
      <c r="G24" s="332">
        <v>0</v>
      </c>
      <c r="H24" s="332">
        <v>0</v>
      </c>
      <c r="I24" s="332">
        <v>0</v>
      </c>
      <c r="J24" s="332">
        <v>0</v>
      </c>
      <c r="K24" s="336">
        <v>0</v>
      </c>
      <c r="L24" s="2"/>
    </row>
    <row r="25" spans="2:12">
      <c r="B25" s="323" t="s">
        <v>353</v>
      </c>
      <c r="C25" s="142" t="s">
        <v>127</v>
      </c>
      <c r="D25" s="303">
        <v>0</v>
      </c>
      <c r="E25" s="332">
        <v>0</v>
      </c>
      <c r="F25" s="332">
        <v>0</v>
      </c>
      <c r="G25" s="332">
        <v>0</v>
      </c>
      <c r="H25" s="332">
        <v>0</v>
      </c>
      <c r="I25" s="332">
        <v>0</v>
      </c>
      <c r="J25" s="332">
        <v>0</v>
      </c>
      <c r="K25" s="336">
        <v>0</v>
      </c>
      <c r="L25" s="2"/>
    </row>
    <row r="26" spans="2:12">
      <c r="B26" s="323" t="s">
        <v>354</v>
      </c>
      <c r="C26" s="142" t="s">
        <v>127</v>
      </c>
      <c r="D26" s="303">
        <v>0</v>
      </c>
      <c r="E26" s="332">
        <v>0</v>
      </c>
      <c r="F26" s="332">
        <v>0</v>
      </c>
      <c r="G26" s="332">
        <v>0</v>
      </c>
      <c r="H26" s="332">
        <v>0</v>
      </c>
      <c r="I26" s="332">
        <v>0</v>
      </c>
      <c r="J26" s="332">
        <v>0</v>
      </c>
      <c r="K26" s="336">
        <v>0</v>
      </c>
      <c r="L26" s="2"/>
    </row>
    <row r="27" spans="2:12">
      <c r="B27" s="323" t="s">
        <v>355</v>
      </c>
      <c r="C27" s="142" t="s">
        <v>127</v>
      </c>
      <c r="D27" s="333">
        <v>0</v>
      </c>
      <c r="E27" s="334">
        <v>0</v>
      </c>
      <c r="F27" s="334">
        <v>0</v>
      </c>
      <c r="G27" s="334">
        <v>0</v>
      </c>
      <c r="H27" s="334">
        <v>0</v>
      </c>
      <c r="I27" s="334">
        <v>0</v>
      </c>
      <c r="J27" s="334">
        <v>0</v>
      </c>
      <c r="K27" s="337">
        <v>0</v>
      </c>
      <c r="L27" s="2"/>
    </row>
    <row r="28" spans="2:12">
      <c r="B28" s="13" t="s">
        <v>19</v>
      </c>
      <c r="C28" s="142" t="s">
        <v>127</v>
      </c>
      <c r="D28" s="132">
        <f t="shared" ref="D28:K28" si="1">SUM(D8,D11:D27)</f>
        <v>29.662499999999994</v>
      </c>
      <c r="E28" s="133">
        <f t="shared" si="1"/>
        <v>30.894500000000001</v>
      </c>
      <c r="F28" s="133">
        <f t="shared" si="1"/>
        <v>31.2395</v>
      </c>
      <c r="G28" s="133">
        <f t="shared" si="1"/>
        <v>30.453000000000007</v>
      </c>
      <c r="H28" s="133">
        <f t="shared" si="1"/>
        <v>31.97600000000001</v>
      </c>
      <c r="I28" s="133">
        <f t="shared" si="1"/>
        <v>30.540000000000003</v>
      </c>
      <c r="J28" s="133">
        <f t="shared" si="1"/>
        <v>26.946000000000002</v>
      </c>
      <c r="K28" s="134">
        <f t="shared" si="1"/>
        <v>30.383999999999997</v>
      </c>
      <c r="L28" s="2"/>
    </row>
    <row r="29" spans="2:12">
      <c r="B29" s="324" t="s">
        <v>533</v>
      </c>
      <c r="C29" s="142" t="s">
        <v>127</v>
      </c>
      <c r="D29" s="340"/>
      <c r="E29" s="341"/>
      <c r="F29" s="341"/>
      <c r="G29" s="598"/>
      <c r="H29" s="598"/>
      <c r="I29" s="598"/>
      <c r="J29" s="598"/>
      <c r="K29" s="598"/>
      <c r="L29" s="2"/>
    </row>
    <row r="30" spans="2:12">
      <c r="B30" s="13" t="s">
        <v>302</v>
      </c>
      <c r="C30" s="142" t="s">
        <v>127</v>
      </c>
      <c r="D30" s="132">
        <f>SUM(D28:D29)</f>
        <v>29.662499999999994</v>
      </c>
      <c r="E30" s="133">
        <f t="shared" ref="E30:K30" si="2">SUM(E28:E29)</f>
        <v>30.894500000000001</v>
      </c>
      <c r="F30" s="133">
        <f t="shared" si="2"/>
        <v>31.2395</v>
      </c>
      <c r="G30" s="133">
        <f t="shared" si="2"/>
        <v>30.453000000000007</v>
      </c>
      <c r="H30" s="133">
        <f t="shared" si="2"/>
        <v>31.97600000000001</v>
      </c>
      <c r="I30" s="133">
        <f t="shared" si="2"/>
        <v>30.540000000000003</v>
      </c>
      <c r="J30" s="133">
        <f t="shared" si="2"/>
        <v>26.946000000000002</v>
      </c>
      <c r="K30" s="134">
        <f t="shared" si="2"/>
        <v>30.383999999999997</v>
      </c>
    </row>
    <row r="31" spans="2:12">
      <c r="B31" s="181" t="s">
        <v>21</v>
      </c>
      <c r="C31" s="142" t="s">
        <v>127</v>
      </c>
      <c r="D31" s="510">
        <v>6.3069999999999995</v>
      </c>
      <c r="E31" s="511">
        <v>8.1140000000000008</v>
      </c>
      <c r="F31" s="511">
        <v>7.9089999999999998</v>
      </c>
      <c r="G31" s="511">
        <v>6.4769999999999994</v>
      </c>
      <c r="H31" s="511">
        <v>4.7149999999999999</v>
      </c>
      <c r="I31" s="511">
        <v>7.5869999999999997</v>
      </c>
      <c r="J31" s="511">
        <v>8.8840000000000003</v>
      </c>
      <c r="K31" s="599">
        <v>20.27</v>
      </c>
    </row>
    <row r="32" spans="2:12">
      <c r="B32" s="181" t="s">
        <v>469</v>
      </c>
      <c r="C32" s="142" t="s">
        <v>127</v>
      </c>
      <c r="D32" s="514">
        <v>23.355499999999999</v>
      </c>
      <c r="E32" s="515">
        <v>22.780499999999996</v>
      </c>
      <c r="F32" s="515">
        <v>23.330500000000001</v>
      </c>
      <c r="G32" s="515">
        <v>23.976000000000003</v>
      </c>
      <c r="H32" s="515">
        <v>27.261000000000003</v>
      </c>
      <c r="I32" s="515">
        <v>22.981000000000005</v>
      </c>
      <c r="J32" s="515">
        <v>18.062000000000001</v>
      </c>
      <c r="K32" s="599">
        <v>10.114000000000001</v>
      </c>
    </row>
    <row r="33" spans="2:14">
      <c r="B33" s="181"/>
      <c r="D33" s="204" t="str">
        <f>IF(ABS(D30-SUM(D31:D32))&lt;'RFPR cover'!$F$14,"OK","ERROR")</f>
        <v>OK</v>
      </c>
      <c r="E33" s="205" t="str">
        <f>IF(ABS(E30-SUM(E31:E32))&lt;'RFPR cover'!$F$14,"OK","ERROR")</f>
        <v>OK</v>
      </c>
      <c r="F33" s="205" t="str">
        <f>IF(ABS(F30-SUM(F31:F32))&lt;'RFPR cover'!$F$14,"OK","ERROR")</f>
        <v>OK</v>
      </c>
      <c r="G33" s="205" t="str">
        <f>IF(ABS(G30-SUM(G31:G32))&lt;'RFPR cover'!$F$14,"OK","ERROR")</f>
        <v>OK</v>
      </c>
      <c r="H33" s="205" t="str">
        <f>IF(ABS(H30-SUM(H31:H32))&lt;'RFPR cover'!$F$14,"OK","ERROR")</f>
        <v>OK</v>
      </c>
      <c r="I33" s="205" t="str">
        <f>IF(ABS(I30-SUM(I31:I32))&lt;'RFPR cover'!$F$14,"OK","ERROR")</f>
        <v>OK</v>
      </c>
      <c r="J33" s="205" t="str">
        <f>IF(ABS(J30-SUM(J31:J32))&lt;'RFPR cover'!$F$14,"OK","ERROR")</f>
        <v>OK</v>
      </c>
      <c r="K33" s="206" t="str">
        <f>IF(ABS(K30-SUM(K31:K32))&lt;'RFPR cover'!$F$14,"OK","ERROR")</f>
        <v>OK</v>
      </c>
    </row>
    <row r="34" spans="2:14">
      <c r="D34" s="23"/>
      <c r="E34" s="23"/>
      <c r="F34" s="23"/>
      <c r="G34" s="23"/>
      <c r="H34" s="23"/>
      <c r="I34" s="23"/>
      <c r="J34" s="23"/>
      <c r="K34" s="23"/>
    </row>
    <row r="35" spans="2:14">
      <c r="B35" s="181" t="s">
        <v>532</v>
      </c>
      <c r="C35" s="142" t="s">
        <v>127</v>
      </c>
      <c r="D35" s="510">
        <v>0</v>
      </c>
      <c r="E35" s="511">
        <v>0</v>
      </c>
      <c r="F35" s="511">
        <v>0</v>
      </c>
      <c r="G35" s="511">
        <v>0</v>
      </c>
      <c r="H35" s="511">
        <v>0</v>
      </c>
      <c r="I35" s="511">
        <v>0</v>
      </c>
      <c r="J35" s="511">
        <v>0</v>
      </c>
      <c r="K35" s="599">
        <v>0</v>
      </c>
    </row>
    <row r="36" spans="2:14">
      <c r="D36" s="23"/>
      <c r="E36" s="23"/>
      <c r="F36" s="23"/>
      <c r="G36" s="23"/>
      <c r="H36" s="23"/>
      <c r="I36" s="23"/>
      <c r="J36" s="23"/>
      <c r="K36" s="23"/>
    </row>
    <row r="37" spans="2:14">
      <c r="B37" s="181" t="s">
        <v>82</v>
      </c>
      <c r="C37" s="142" t="s">
        <v>127</v>
      </c>
      <c r="D37" s="745">
        <v>6.6826802845504671</v>
      </c>
      <c r="E37" s="745">
        <v>13.783880693666639</v>
      </c>
      <c r="F37" s="745">
        <v>24.348444028499024</v>
      </c>
      <c r="G37" s="745">
        <v>20.778013007988001</v>
      </c>
      <c r="H37" s="745">
        <v>18.850370677057334</v>
      </c>
      <c r="I37" s="745">
        <v>9.5731757772753667</v>
      </c>
      <c r="J37" s="745">
        <v>47.73403773876759</v>
      </c>
      <c r="K37" s="745">
        <v>106.43014102141375</v>
      </c>
      <c r="N37" s="288"/>
    </row>
    <row r="38" spans="2:14">
      <c r="B38" s="181"/>
      <c r="C38" s="142"/>
      <c r="D38" s="708"/>
      <c r="E38" s="708"/>
      <c r="F38" s="708"/>
      <c r="G38" s="708"/>
      <c r="H38" s="708"/>
      <c r="I38" s="708"/>
      <c r="J38" s="708"/>
      <c r="K38" s="708"/>
      <c r="N38" s="288"/>
    </row>
    <row r="39" spans="2:14">
      <c r="B39" s="181" t="s">
        <v>483</v>
      </c>
      <c r="C39" s="142" t="s">
        <v>127</v>
      </c>
      <c r="D39" s="93">
        <f t="shared" ref="D39:K39" si="3">D30-D37</f>
        <v>22.979819715449526</v>
      </c>
      <c r="E39" s="93">
        <f t="shared" si="3"/>
        <v>17.110619306333362</v>
      </c>
      <c r="F39" s="93">
        <f t="shared" si="3"/>
        <v>6.8910559715009754</v>
      </c>
      <c r="G39" s="93">
        <f t="shared" si="3"/>
        <v>9.6749869920120055</v>
      </c>
      <c r="H39" s="93">
        <f t="shared" si="3"/>
        <v>13.125629322942675</v>
      </c>
      <c r="I39" s="93">
        <f t="shared" si="3"/>
        <v>20.966824222724636</v>
      </c>
      <c r="J39" s="93">
        <f t="shared" si="3"/>
        <v>-20.788037738767589</v>
      </c>
      <c r="K39" s="93">
        <f t="shared" si="3"/>
        <v>-76.046141021413746</v>
      </c>
    </row>
    <row r="40" spans="2:14">
      <c r="B40" s="181"/>
      <c r="C40" s="142"/>
      <c r="D40" s="142"/>
      <c r="E40" s="142"/>
      <c r="F40" s="142"/>
      <c r="G40" s="142"/>
      <c r="H40" s="142"/>
      <c r="I40" s="142"/>
      <c r="J40" s="142"/>
      <c r="K40" s="142"/>
      <c r="L40" s="142"/>
      <c r="N40" s="288"/>
    </row>
    <row r="41" spans="2:14">
      <c r="B41" s="726" t="s">
        <v>376</v>
      </c>
      <c r="C41" s="142" t="s">
        <v>126</v>
      </c>
      <c r="D41" s="435">
        <f>Data!C34</f>
        <v>1.0603167467048125</v>
      </c>
      <c r="E41" s="435">
        <f>Data!D34</f>
        <v>1.0830366813119445</v>
      </c>
      <c r="F41" s="435">
        <f>Data!E34</f>
        <v>1.1235639113109226</v>
      </c>
      <c r="G41" s="435">
        <f>Data!F34</f>
        <v>1.1578951670583426</v>
      </c>
      <c r="H41" s="435">
        <f>Data!G34</f>
        <v>1.1878696229692449</v>
      </c>
      <c r="I41" s="435">
        <f>Data!H34</f>
        <v>1.2022764892203943</v>
      </c>
      <c r="J41" s="435">
        <f>Data!I34</f>
        <v>1.2717196280780627</v>
      </c>
      <c r="K41" s="435">
        <f>Data!J34</f>
        <v>1.4354429345049555</v>
      </c>
      <c r="L41" s="142"/>
      <c r="N41" s="288"/>
    </row>
    <row r="42" spans="2:14">
      <c r="L42" s="57"/>
      <c r="M42" s="57"/>
      <c r="N42" s="57"/>
    </row>
    <row r="43" spans="2:14">
      <c r="B43" s="224" t="s">
        <v>432</v>
      </c>
      <c r="C43" s="145" t="str">
        <f>'RFPR cover'!$C$14</f>
        <v>£m 12/13</v>
      </c>
      <c r="D43" s="135">
        <f t="shared" ref="D43:K43" si="4">D39/D41</f>
        <v>21.672599048222907</v>
      </c>
      <c r="E43" s="136">
        <f t="shared" si="4"/>
        <v>15.79874403294105</v>
      </c>
      <c r="F43" s="136">
        <f t="shared" si="4"/>
        <v>6.1332122740225863</v>
      </c>
      <c r="G43" s="136">
        <f t="shared" si="4"/>
        <v>8.3556674794588837</v>
      </c>
      <c r="H43" s="136">
        <f t="shared" si="4"/>
        <v>11.049722182585446</v>
      </c>
      <c r="I43" s="136">
        <f t="shared" si="4"/>
        <v>17.439269927269716</v>
      </c>
      <c r="J43" s="136">
        <f t="shared" si="4"/>
        <v>-16.346400008140428</v>
      </c>
      <c r="K43" s="137">
        <f t="shared" si="4"/>
        <v>-52.977474195196727</v>
      </c>
      <c r="L43" s="606">
        <f>SUM(D43:INDEX(D43:K43,0,MATCH('RFPR cover'!$C$7,$D$6:$K$6,0)))</f>
        <v>11.125340741163448</v>
      </c>
      <c r="M43" s="607">
        <f>SUM(D43:K43)</f>
        <v>11.125340741163448</v>
      </c>
    </row>
    <row r="44" spans="2:14">
      <c r="B44" s="181"/>
      <c r="C44" s="57"/>
      <c r="D44" s="696"/>
      <c r="E44" s="696"/>
      <c r="F44" s="696"/>
      <c r="G44" s="696"/>
      <c r="H44" s="696"/>
      <c r="I44" s="696"/>
      <c r="J44" s="696"/>
      <c r="K44" s="696"/>
      <c r="L44" s="712"/>
      <c r="M44" s="712"/>
    </row>
    <row r="45" spans="2:14">
      <c r="B45" s="224" t="s">
        <v>520</v>
      </c>
      <c r="C45" s="142"/>
      <c r="D45" s="696"/>
      <c r="E45" s="696"/>
      <c r="F45" s="696"/>
      <c r="G45" s="696"/>
      <c r="H45" s="696"/>
      <c r="I45" s="696"/>
      <c r="J45" s="696"/>
      <c r="K45" s="696"/>
      <c r="L45" s="712"/>
      <c r="M45" s="712"/>
    </row>
    <row r="46" spans="2:14">
      <c r="B46" s="323" t="s">
        <v>504</v>
      </c>
      <c r="C46" s="142" t="s">
        <v>127</v>
      </c>
      <c r="D46" s="744">
        <v>0.373</v>
      </c>
      <c r="E46" s="744">
        <v>0.25</v>
      </c>
      <c r="F46" s="744">
        <v>0.252</v>
      </c>
      <c r="G46" s="744">
        <v>0.255</v>
      </c>
      <c r="H46" s="744">
        <v>0.27300000000000002</v>
      </c>
      <c r="I46" s="744">
        <v>0.29399999999999998</v>
      </c>
      <c r="J46" s="744">
        <v>0.34199999999999997</v>
      </c>
      <c r="K46" s="744">
        <v>0.48399999999999999</v>
      </c>
      <c r="L46" s="606">
        <f>SUM(D46:INDEX(D46:K46,0,MATCH('RFPR cover'!$C$7,$D$6:$K$6,0)))</f>
        <v>2.5230000000000001</v>
      </c>
      <c r="M46" s="606">
        <f>SUM(D46:K46)</f>
        <v>2.5230000000000001</v>
      </c>
    </row>
    <row r="47" spans="2:14">
      <c r="B47" s="323" t="s">
        <v>534</v>
      </c>
      <c r="C47" s="142" t="s">
        <v>127</v>
      </c>
      <c r="D47" s="340"/>
      <c r="E47" s="341"/>
      <c r="F47" s="341"/>
      <c r="G47" s="598"/>
      <c r="H47" s="598"/>
      <c r="I47" s="598"/>
      <c r="J47" s="598"/>
      <c r="K47" s="598"/>
      <c r="L47" s="606">
        <f>SUM(D47:INDEX(D47:K47,0,MATCH('RFPR cover'!$C$7,$D$6:$K$6,0)))</f>
        <v>0</v>
      </c>
      <c r="M47" s="606">
        <f>SUM(D47:K47)</f>
        <v>0</v>
      </c>
    </row>
    <row r="48" spans="2:14">
      <c r="B48" s="323" t="s">
        <v>523</v>
      </c>
      <c r="C48" s="142" t="s">
        <v>127</v>
      </c>
      <c r="D48" s="744">
        <v>0</v>
      </c>
      <c r="E48" s="744">
        <v>0</v>
      </c>
      <c r="F48" s="744">
        <v>0</v>
      </c>
      <c r="G48" s="744">
        <v>0</v>
      </c>
      <c r="H48" s="744">
        <v>0</v>
      </c>
      <c r="I48" s="744">
        <v>0</v>
      </c>
      <c r="J48" s="744">
        <v>0</v>
      </c>
      <c r="K48" s="744">
        <v>0</v>
      </c>
      <c r="L48" s="606">
        <f>SUM(D48:INDEX(D48:K48,0,MATCH('RFPR cover'!$C$7,$D$6:$K$6,0)))</f>
        <v>0</v>
      </c>
      <c r="M48" s="606">
        <f t="shared" ref="M48:M55" si="5">SUM(D48:K48)</f>
        <v>0</v>
      </c>
    </row>
    <row r="49" spans="1:14">
      <c r="B49" s="323" t="s">
        <v>524</v>
      </c>
      <c r="C49" s="142" t="s">
        <v>127</v>
      </c>
      <c r="D49" s="744">
        <v>0</v>
      </c>
      <c r="E49" s="744">
        <v>0</v>
      </c>
      <c r="F49" s="744">
        <v>0</v>
      </c>
      <c r="G49" s="744">
        <v>0</v>
      </c>
      <c r="H49" s="744">
        <v>0</v>
      </c>
      <c r="I49" s="744">
        <v>0</v>
      </c>
      <c r="J49" s="744">
        <v>0</v>
      </c>
      <c r="K49" s="744">
        <v>0</v>
      </c>
      <c r="L49" s="606">
        <f>SUM(D49:INDEX(D49:K49,0,MATCH('RFPR cover'!$C$7,$D$6:$K$6,0)))</f>
        <v>0</v>
      </c>
      <c r="M49" s="606">
        <f t="shared" si="5"/>
        <v>0</v>
      </c>
    </row>
    <row r="50" spans="1:14">
      <c r="B50" s="323" t="s">
        <v>505</v>
      </c>
      <c r="C50" s="142" t="s">
        <v>127</v>
      </c>
      <c r="D50" s="744">
        <v>0</v>
      </c>
      <c r="E50" s="744">
        <v>0</v>
      </c>
      <c r="F50" s="744">
        <v>0</v>
      </c>
      <c r="G50" s="744">
        <v>0</v>
      </c>
      <c r="H50" s="744">
        <v>0</v>
      </c>
      <c r="I50" s="744">
        <v>0</v>
      </c>
      <c r="J50" s="744">
        <v>0</v>
      </c>
      <c r="K50" s="744">
        <v>0</v>
      </c>
      <c r="L50" s="606">
        <f>SUM(D50:INDEX(D50:K50,0,MATCH('RFPR cover'!$C$7,$D$6:$K$6,0)))</f>
        <v>0</v>
      </c>
      <c r="M50" s="606">
        <f t="shared" si="5"/>
        <v>0</v>
      </c>
    </row>
    <row r="51" spans="1:14">
      <c r="B51" s="323" t="s">
        <v>505</v>
      </c>
      <c r="C51" s="142" t="s">
        <v>127</v>
      </c>
      <c r="D51" s="744">
        <v>0</v>
      </c>
      <c r="E51" s="744">
        <v>0</v>
      </c>
      <c r="F51" s="744">
        <v>0</v>
      </c>
      <c r="G51" s="744">
        <v>0</v>
      </c>
      <c r="H51" s="744">
        <v>0</v>
      </c>
      <c r="I51" s="744">
        <v>0</v>
      </c>
      <c r="J51" s="744">
        <v>0</v>
      </c>
      <c r="K51" s="744">
        <v>0</v>
      </c>
      <c r="L51" s="606">
        <f>SUM(D51:INDEX(D51:K51,0,MATCH('RFPR cover'!$C$7,$D$6:$K$6,0)))</f>
        <v>0</v>
      </c>
      <c r="M51" s="606">
        <f t="shared" si="5"/>
        <v>0</v>
      </c>
    </row>
    <row r="52" spans="1:14">
      <c r="B52" s="323" t="s">
        <v>505</v>
      </c>
      <c r="C52" s="142" t="s">
        <v>127</v>
      </c>
      <c r="D52" s="744">
        <v>0</v>
      </c>
      <c r="E52" s="744">
        <v>0</v>
      </c>
      <c r="F52" s="744">
        <v>0</v>
      </c>
      <c r="G52" s="744">
        <v>0</v>
      </c>
      <c r="H52" s="744">
        <v>0</v>
      </c>
      <c r="I52" s="744">
        <v>0</v>
      </c>
      <c r="J52" s="744">
        <v>0</v>
      </c>
      <c r="K52" s="744">
        <v>0</v>
      </c>
      <c r="L52" s="606">
        <f>SUM(D52:INDEX(D52:K52,0,MATCH('RFPR cover'!$C$7,$D$6:$K$6,0)))</f>
        <v>0</v>
      </c>
      <c r="M52" s="606">
        <f t="shared" si="5"/>
        <v>0</v>
      </c>
    </row>
    <row r="53" spans="1:14">
      <c r="B53" s="323" t="s">
        <v>505</v>
      </c>
      <c r="C53" s="142" t="s">
        <v>127</v>
      </c>
      <c r="D53" s="744">
        <v>0</v>
      </c>
      <c r="E53" s="744">
        <v>0</v>
      </c>
      <c r="F53" s="744">
        <v>0</v>
      </c>
      <c r="G53" s="744">
        <v>0</v>
      </c>
      <c r="H53" s="744">
        <v>0</v>
      </c>
      <c r="I53" s="744">
        <v>0</v>
      </c>
      <c r="J53" s="744">
        <v>0</v>
      </c>
      <c r="K53" s="744">
        <v>0</v>
      </c>
      <c r="L53" s="606">
        <f>SUM(D53:INDEX(D53:K53,0,MATCH('RFPR cover'!$C$7,$D$6:$K$6,0)))</f>
        <v>0</v>
      </c>
      <c r="M53" s="606">
        <f t="shared" si="5"/>
        <v>0</v>
      </c>
    </row>
    <row r="54" spans="1:14" s="39" customFormat="1">
      <c r="B54" s="734"/>
      <c r="C54" s="735"/>
      <c r="D54" s="736"/>
      <c r="E54" s="736"/>
      <c r="F54" s="736"/>
      <c r="G54" s="736"/>
      <c r="H54" s="736"/>
      <c r="I54" s="736"/>
      <c r="J54" s="736"/>
      <c r="K54" s="736"/>
      <c r="L54" s="737"/>
      <c r="M54" s="737"/>
    </row>
    <row r="55" spans="1:14">
      <c r="B55" s="729" t="s">
        <v>521</v>
      </c>
      <c r="C55" s="212" t="s">
        <v>127</v>
      </c>
      <c r="D55" s="135">
        <f>SUM(D46:D53)</f>
        <v>0.373</v>
      </c>
      <c r="E55" s="135">
        <f t="shared" ref="E55:K55" si="6">SUM(E46:E53)</f>
        <v>0.25</v>
      </c>
      <c r="F55" s="135">
        <f t="shared" si="6"/>
        <v>0.252</v>
      </c>
      <c r="G55" s="135">
        <f t="shared" si="6"/>
        <v>0.255</v>
      </c>
      <c r="H55" s="135">
        <f t="shared" si="6"/>
        <v>0.27300000000000002</v>
      </c>
      <c r="I55" s="135">
        <f t="shared" si="6"/>
        <v>0.29399999999999998</v>
      </c>
      <c r="J55" s="135">
        <f t="shared" si="6"/>
        <v>0.34199999999999997</v>
      </c>
      <c r="K55" s="135">
        <f t="shared" si="6"/>
        <v>0.48399999999999999</v>
      </c>
      <c r="L55" s="606">
        <f>SUM(D55:INDEX(D55:K55,0,MATCH('RFPR cover'!$C$7,$D$6:$K$6,0)))</f>
        <v>2.5230000000000001</v>
      </c>
      <c r="M55" s="607">
        <f t="shared" si="5"/>
        <v>2.5230000000000001</v>
      </c>
    </row>
    <row r="56" spans="1:14">
      <c r="B56" s="729" t="s">
        <v>521</v>
      </c>
      <c r="C56" s="145" t="str">
        <f>'RFPR cover'!$C$14</f>
        <v>£m 12/13</v>
      </c>
      <c r="D56" s="135">
        <f>D55/D41</f>
        <v>0.3517816738811177</v>
      </c>
      <c r="E56" s="135">
        <f t="shared" ref="E56:K56" si="7">E55/E41</f>
        <v>0.23083244022461052</v>
      </c>
      <c r="F56" s="135">
        <f t="shared" si="7"/>
        <v>0.22428630669169322</v>
      </c>
      <c r="G56" s="135">
        <f t="shared" si="7"/>
        <v>0.22022719090177476</v>
      </c>
      <c r="H56" s="135">
        <f t="shared" si="7"/>
        <v>0.22982320173959719</v>
      </c>
      <c r="I56" s="135">
        <f t="shared" si="7"/>
        <v>0.24453609684294975</v>
      </c>
      <c r="J56" s="135">
        <f t="shared" si="7"/>
        <v>0.26892720097185352</v>
      </c>
      <c r="K56" s="135">
        <f t="shared" si="7"/>
        <v>0.33717815481596847</v>
      </c>
      <c r="L56" s="606">
        <f>SUM(D56:INDEX(D56:K56,0,MATCH('RFPR cover'!$C$7,$D$6:$K$6,0)))</f>
        <v>2.107592266069565</v>
      </c>
      <c r="M56" s="607">
        <f>SUM(D56:K56)</f>
        <v>2.107592266069565</v>
      </c>
    </row>
    <row r="57" spans="1:14">
      <c r="B57" s="181"/>
      <c r="C57" s="57"/>
      <c r="D57" s="696"/>
      <c r="E57" s="696"/>
      <c r="F57" s="696"/>
      <c r="G57" s="696"/>
      <c r="H57" s="696"/>
      <c r="I57" s="696"/>
      <c r="J57" s="696"/>
      <c r="K57" s="696"/>
      <c r="L57" s="712"/>
      <c r="M57" s="712"/>
    </row>
    <row r="58" spans="1:14" s="2" customFormat="1">
      <c r="A58" s="1"/>
    </row>
    <row r="59" spans="1:14" s="2" customFormat="1">
      <c r="A59" s="1"/>
      <c r="B59" s="713" t="s">
        <v>442</v>
      </c>
      <c r="C59" s="72"/>
      <c r="D59" s="72"/>
      <c r="E59" s="72"/>
      <c r="F59" s="72"/>
      <c r="G59" s="72"/>
      <c r="H59" s="72"/>
      <c r="I59" s="72"/>
      <c r="J59" s="72"/>
      <c r="K59" s="72"/>
      <c r="L59" s="72"/>
      <c r="M59" s="72"/>
      <c r="N59" s="72"/>
    </row>
    <row r="60" spans="1:14" s="2" customFormat="1">
      <c r="A60" s="1"/>
      <c r="B60" s="322" t="s">
        <v>443</v>
      </c>
    </row>
    <row r="61" spans="1:14" s="2" customFormat="1">
      <c r="A61" s="1"/>
    </row>
    <row r="62" spans="1:14">
      <c r="B62" s="181" t="s">
        <v>115</v>
      </c>
      <c r="C62" s="57" t="s">
        <v>7</v>
      </c>
      <c r="D62" s="753">
        <f>'RFPR cover'!$C$12</f>
        <v>0.65</v>
      </c>
      <c r="E62" s="754">
        <f>'RFPR cover'!$C$12</f>
        <v>0.65</v>
      </c>
      <c r="F62" s="754">
        <f>'RFPR cover'!$C$12</f>
        <v>0.65</v>
      </c>
      <c r="G62" s="754">
        <f>'RFPR cover'!$C$12</f>
        <v>0.65</v>
      </c>
      <c r="H62" s="754">
        <f>'RFPR cover'!$C$12</f>
        <v>0.65</v>
      </c>
      <c r="I62" s="754">
        <f>'RFPR cover'!$C$12</f>
        <v>0.65</v>
      </c>
      <c r="J62" s="754">
        <f>'RFPR cover'!$C$12</f>
        <v>0.65</v>
      </c>
      <c r="K62" s="755">
        <f>'RFPR cover'!$C$12</f>
        <v>0.65</v>
      </c>
      <c r="N62" s="288"/>
    </row>
    <row r="63" spans="1:14">
      <c r="B63" s="181" t="s">
        <v>405</v>
      </c>
      <c r="C63" s="57" t="s">
        <v>7</v>
      </c>
      <c r="D63" s="754">
        <f>'R8 - Net Debt'!D64</f>
        <v>0.5196175590661517</v>
      </c>
      <c r="E63" s="754">
        <f>'R8 - Net Debt'!E64</f>
        <v>0.50883390211418367</v>
      </c>
      <c r="F63" s="754">
        <f>'R8 - Net Debt'!F64</f>
        <v>0.49560151152864818</v>
      </c>
      <c r="G63" s="754">
        <f>'R8 - Net Debt'!G64</f>
        <v>0.49865676619993204</v>
      </c>
      <c r="H63" s="754">
        <f>'R8 - Net Debt'!H64</f>
        <v>0.51444579002537727</v>
      </c>
      <c r="I63" s="754">
        <f>'R8 - Net Debt'!I64</f>
        <v>0.53858640242068934</v>
      </c>
      <c r="J63" s="754">
        <f>'R8 - Net Debt'!J64</f>
        <v>0.52336872105579213</v>
      </c>
      <c r="K63" s="755">
        <f>'R8 - Net Debt'!K64</f>
        <v>0.46848493711809669</v>
      </c>
      <c r="N63" s="288"/>
    </row>
    <row r="64" spans="1:14">
      <c r="B64" s="181"/>
      <c r="C64" s="57"/>
      <c r="D64" s="57"/>
      <c r="E64" s="57"/>
      <c r="F64" s="57"/>
      <c r="G64" s="57"/>
      <c r="H64" s="57"/>
      <c r="I64" s="57"/>
      <c r="J64" s="57"/>
      <c r="K64" s="57"/>
      <c r="N64" s="288"/>
    </row>
    <row r="65" spans="2:15">
      <c r="B65" s="181" t="s">
        <v>432</v>
      </c>
      <c r="C65" s="142" t="s">
        <v>127</v>
      </c>
      <c r="D65" s="86">
        <f t="shared" ref="D65:J65" si="8">D39</f>
        <v>22.979819715449526</v>
      </c>
      <c r="E65" s="87">
        <f t="shared" si="8"/>
        <v>17.110619306333362</v>
      </c>
      <c r="F65" s="87">
        <f t="shared" si="8"/>
        <v>6.8910559715009754</v>
      </c>
      <c r="G65" s="87">
        <f t="shared" si="8"/>
        <v>9.6749869920120055</v>
      </c>
      <c r="H65" s="87">
        <f t="shared" si="8"/>
        <v>13.125629322942675</v>
      </c>
      <c r="I65" s="87">
        <f t="shared" si="8"/>
        <v>20.966824222724636</v>
      </c>
      <c r="J65" s="87">
        <f t="shared" si="8"/>
        <v>-20.788037738767589</v>
      </c>
      <c r="K65" s="88">
        <f>K39</f>
        <v>-76.046141021413746</v>
      </c>
    </row>
    <row r="66" spans="2:15">
      <c r="B66" s="181" t="s">
        <v>450</v>
      </c>
      <c r="C66" s="142" t="s">
        <v>127</v>
      </c>
      <c r="D66" s="86">
        <f>((D62-D63)/D63)*D65</f>
        <v>5.7660964962476253</v>
      </c>
      <c r="E66" s="86">
        <f t="shared" ref="E66:K66" si="9">((E62-E63)/E63)*E65</f>
        <v>4.7470094855094063</v>
      </c>
      <c r="F66" s="86">
        <f t="shared" si="9"/>
        <v>2.1468228026373382</v>
      </c>
      <c r="G66" s="86">
        <f t="shared" si="9"/>
        <v>2.93637611598679</v>
      </c>
      <c r="H66" s="86">
        <f t="shared" si="9"/>
        <v>3.4585457744798891</v>
      </c>
      <c r="I66" s="86">
        <f t="shared" si="9"/>
        <v>4.3372601052823221</v>
      </c>
      <c r="J66" s="86">
        <f t="shared" si="9"/>
        <v>-5.0297537848464167</v>
      </c>
      <c r="K66" s="86">
        <f t="shared" si="9"/>
        <v>-29.464170511737038</v>
      </c>
      <c r="N66" s="288"/>
    </row>
    <row r="67" spans="2:15">
      <c r="B67" s="181" t="s">
        <v>449</v>
      </c>
      <c r="C67" s="142" t="s">
        <v>127</v>
      </c>
      <c r="D67" s="93">
        <f>SUM(D65:D66)</f>
        <v>28.74591621169715</v>
      </c>
      <c r="E67" s="94">
        <f t="shared" ref="E67:K67" si="10">SUM(E65:E66)</f>
        <v>21.857628791842767</v>
      </c>
      <c r="F67" s="94">
        <f t="shared" si="10"/>
        <v>9.0378787741383135</v>
      </c>
      <c r="G67" s="94">
        <f t="shared" si="10"/>
        <v>12.611363107998795</v>
      </c>
      <c r="H67" s="94">
        <f t="shared" si="10"/>
        <v>16.584175097422566</v>
      </c>
      <c r="I67" s="94">
        <f t="shared" si="10"/>
        <v>25.304084328006958</v>
      </c>
      <c r="J67" s="94">
        <f t="shared" si="10"/>
        <v>-25.817791523614005</v>
      </c>
      <c r="K67" s="95">
        <f t="shared" si="10"/>
        <v>-105.51031153315078</v>
      </c>
    </row>
    <row r="68" spans="2:15">
      <c r="B68" s="181"/>
      <c r="C68" s="142"/>
      <c r="D68" s="142"/>
      <c r="E68" s="142"/>
      <c r="F68" s="142"/>
      <c r="G68" s="142"/>
      <c r="H68" s="142"/>
      <c r="I68" s="142"/>
      <c r="J68" s="142"/>
      <c r="K68" s="142"/>
      <c r="L68" s="142"/>
      <c r="M68" s="142"/>
      <c r="N68" s="142"/>
      <c r="O68" s="142"/>
    </row>
    <row r="69" spans="2:15">
      <c r="B69" s="224" t="s">
        <v>449</v>
      </c>
      <c r="C69" s="145" t="str">
        <f>'RFPR cover'!$C$14</f>
        <v>£m 12/13</v>
      </c>
      <c r="D69" s="135">
        <f t="shared" ref="D69:K69" si="11">D67/D41</f>
        <v>27.110687727070189</v>
      </c>
      <c r="E69" s="136">
        <f t="shared" si="11"/>
        <v>20.181799166179086</v>
      </c>
      <c r="F69" s="136">
        <f t="shared" si="11"/>
        <v>8.043938295947342</v>
      </c>
      <c r="G69" s="136">
        <f t="shared" si="11"/>
        <v>10.891627728301373</v>
      </c>
      <c r="H69" s="136">
        <f t="shared" si="11"/>
        <v>13.961275527837913</v>
      </c>
      <c r="I69" s="136">
        <f t="shared" si="11"/>
        <v>21.046809577400261</v>
      </c>
      <c r="J69" s="136">
        <f t="shared" si="11"/>
        <v>-20.301480730176493</v>
      </c>
      <c r="K69" s="137">
        <f t="shared" si="11"/>
        <v>-73.503661481003675</v>
      </c>
      <c r="L69" s="606">
        <f>SUM(D69:INDEX(D69:K69,0,MATCH('RFPR cover'!$C$7,$D$6:$K$6,0)))</f>
        <v>7.430995811555988</v>
      </c>
      <c r="M69" s="607">
        <f>SUM(D69:K69)</f>
        <v>7.430995811555988</v>
      </c>
    </row>
    <row r="70" spans="2:15">
      <c r="B70" s="181" t="s">
        <v>522</v>
      </c>
      <c r="C70" s="57" t="str">
        <f>'RFPR cover'!$C$14</f>
        <v>£m 12/13</v>
      </c>
      <c r="D70" s="86">
        <f>D56*((D62-D63)/D63)+D56</f>
        <v>0.44005073353115154</v>
      </c>
      <c r="E70" s="86">
        <f t="shared" ref="E70:K70" si="12">E56*((E62-E63)/E63)+E56</f>
        <v>0.29487242403185476</v>
      </c>
      <c r="F70" s="86">
        <f t="shared" si="12"/>
        <v>0.29415991670391317</v>
      </c>
      <c r="G70" s="86">
        <f t="shared" si="12"/>
        <v>0.28706654313953456</v>
      </c>
      <c r="H70" s="86">
        <f t="shared" si="12"/>
        <v>0.29038060768923607</v>
      </c>
      <c r="I70" s="86">
        <f t="shared" si="12"/>
        <v>0.29512156681550017</v>
      </c>
      <c r="J70" s="86">
        <f t="shared" si="12"/>
        <v>0.33399527636859005</v>
      </c>
      <c r="K70" s="86">
        <f t="shared" si="12"/>
        <v>0.46781824401566985</v>
      </c>
      <c r="L70" s="602">
        <f>SUM(D70:INDEX(D70:K70,0,MATCH('RFPR cover'!$C$7,$D$6:$K$6,0)))</f>
        <v>2.70346531229545</v>
      </c>
      <c r="M70" s="603">
        <f>SUM(D70:K70)</f>
        <v>2.70346531229545</v>
      </c>
      <c r="N70" s="57"/>
    </row>
    <row r="72" spans="2:15">
      <c r="B72" s="709" t="s">
        <v>315</v>
      </c>
      <c r="C72" s="710"/>
      <c r="D72" s="710"/>
      <c r="E72" s="710"/>
      <c r="F72" s="710"/>
      <c r="G72" s="710"/>
      <c r="H72" s="710"/>
      <c r="I72" s="710"/>
      <c r="J72" s="710"/>
      <c r="K72" s="710"/>
      <c r="L72" s="710"/>
      <c r="M72" s="710"/>
      <c r="N72" s="710"/>
      <c r="O72" s="57"/>
    </row>
    <row r="73" spans="2:15">
      <c r="B73" s="711"/>
      <c r="C73" s="57"/>
      <c r="D73" s="57"/>
      <c r="E73" s="57"/>
      <c r="F73" s="57"/>
      <c r="G73" s="57"/>
      <c r="H73" s="57"/>
      <c r="I73" s="57"/>
      <c r="J73" s="57"/>
      <c r="K73" s="57"/>
      <c r="L73" s="57"/>
      <c r="M73" s="57"/>
      <c r="N73" s="57"/>
      <c r="O73" s="57"/>
    </row>
    <row r="74" spans="2:15">
      <c r="B74" s="322" t="s">
        <v>476</v>
      </c>
      <c r="C74" s="321"/>
      <c r="D74" s="321"/>
      <c r="E74" s="321"/>
      <c r="F74" s="321"/>
      <c r="G74" s="321"/>
      <c r="H74" s="321"/>
      <c r="I74" s="321"/>
      <c r="J74" s="321"/>
      <c r="K74" s="321"/>
      <c r="L74" s="321"/>
      <c r="M74" s="321"/>
      <c r="N74" s="321"/>
      <c r="O74" s="57"/>
    </row>
    <row r="75" spans="2:15">
      <c r="B75" s="322" t="s">
        <v>344</v>
      </c>
      <c r="C75" s="321"/>
      <c r="D75" s="321"/>
      <c r="E75" s="321"/>
      <c r="F75" s="321"/>
      <c r="G75" s="321"/>
      <c r="H75" s="321"/>
      <c r="I75" s="321"/>
      <c r="J75" s="321"/>
      <c r="K75" s="321"/>
      <c r="L75" s="321"/>
      <c r="M75" s="321"/>
      <c r="N75" s="321"/>
      <c r="O75" s="57"/>
    </row>
    <row r="76" spans="2:15">
      <c r="B76" s="322" t="s">
        <v>345</v>
      </c>
      <c r="C76" s="321"/>
      <c r="D76" s="321"/>
      <c r="E76" s="321"/>
      <c r="F76" s="321"/>
      <c r="G76" s="321"/>
      <c r="H76" s="321"/>
      <c r="I76" s="321"/>
      <c r="J76" s="321"/>
      <c r="K76" s="321"/>
      <c r="L76" s="321"/>
      <c r="M76" s="321"/>
      <c r="N76" s="321"/>
      <c r="O76" s="57"/>
    </row>
    <row r="77" spans="2:15">
      <c r="B77" s="322" t="s">
        <v>528</v>
      </c>
      <c r="C77" s="321"/>
      <c r="D77" s="321"/>
      <c r="E77" s="321"/>
      <c r="F77" s="321"/>
      <c r="G77" s="321"/>
      <c r="H77" s="321"/>
      <c r="I77" s="321"/>
      <c r="J77" s="321"/>
      <c r="K77" s="321"/>
      <c r="L77" s="321"/>
      <c r="M77" s="321"/>
      <c r="N77" s="321"/>
      <c r="O77" s="57"/>
    </row>
    <row r="78" spans="2:15">
      <c r="B78" s="325"/>
      <c r="C78" s="325"/>
      <c r="D78" s="325"/>
      <c r="E78" s="325"/>
      <c r="F78" s="325"/>
      <c r="G78" s="325"/>
      <c r="H78" s="325"/>
      <c r="I78" s="325"/>
      <c r="J78" s="325"/>
      <c r="K78" s="325"/>
      <c r="L78" s="325"/>
      <c r="M78" s="325"/>
      <c r="N78" s="325"/>
      <c r="O78" s="57"/>
    </row>
    <row r="79" spans="2:15">
      <c r="B79" s="181" t="s">
        <v>232</v>
      </c>
      <c r="C79" s="57" t="str">
        <f>'RFPR cover'!$C$14</f>
        <v>£m 12/13</v>
      </c>
      <c r="D79" s="521">
        <v>18.57771714723042</v>
      </c>
      <c r="E79" s="521">
        <v>17.989722423554891</v>
      </c>
      <c r="F79" s="521">
        <v>17.248522889209383</v>
      </c>
      <c r="G79" s="521">
        <v>15.872918953971936</v>
      </c>
      <c r="H79" s="521">
        <v>14.885179576576546</v>
      </c>
      <c r="I79" s="521">
        <v>13.848100745678654</v>
      </c>
      <c r="J79" s="521">
        <v>12.754037660324856</v>
      </c>
      <c r="K79" s="521">
        <v>11.453668323791851</v>
      </c>
      <c r="L79" s="761"/>
      <c r="M79" s="761"/>
      <c r="O79" s="57"/>
    </row>
    <row r="80" spans="2:15">
      <c r="B80" s="181" t="s">
        <v>314</v>
      </c>
      <c r="C80" s="57" t="str">
        <f>'RFPR cover'!$C$14</f>
        <v>£m 12/13</v>
      </c>
      <c r="D80" s="604">
        <f>'R9 - RAV'!D49</f>
        <v>18.57771714723042</v>
      </c>
      <c r="E80" s="605">
        <f>'R9 - RAV'!E49</f>
        <v>17.989722423554891</v>
      </c>
      <c r="F80" s="605">
        <f>'R9 - RAV'!F49</f>
        <v>17.248522889209379</v>
      </c>
      <c r="G80" s="605">
        <f>'R9 - RAV'!G49</f>
        <v>15.872918953971936</v>
      </c>
      <c r="H80" s="605">
        <f>'R9 - RAV'!H49</f>
        <v>14.885179576576546</v>
      </c>
      <c r="I80" s="605">
        <f>'R9 - RAV'!I49</f>
        <v>13.848100745678655</v>
      </c>
      <c r="J80" s="605">
        <f>'R9 - RAV'!J49</f>
        <v>12.75408413119519</v>
      </c>
      <c r="K80" s="762">
        <f>'R9 - RAV'!K49</f>
        <v>11.39640335150929</v>
      </c>
      <c r="L80" s="763">
        <f>SUM(D80:INDEX(D80:K80,0,MATCH('RFPR cover'!$C$7,$D$6:$K$6,0)))</f>
        <v>122.5726492189263</v>
      </c>
      <c r="M80" s="763">
        <f>SUM(D80:K80)</f>
        <v>122.5726492189263</v>
      </c>
      <c r="O80" s="57"/>
    </row>
    <row r="81" spans="2:15">
      <c r="B81" s="181"/>
      <c r="C81" s="57"/>
      <c r="D81" s="714"/>
      <c r="E81" s="714"/>
      <c r="F81" s="714"/>
      <c r="G81" s="714"/>
      <c r="H81" s="714"/>
      <c r="I81" s="714"/>
      <c r="J81" s="714"/>
      <c r="K81" s="714"/>
      <c r="L81" s="712"/>
      <c r="M81" s="712"/>
      <c r="O81" s="57"/>
    </row>
    <row r="82" spans="2:15">
      <c r="B82" s="181"/>
      <c r="C82" s="57"/>
      <c r="D82" s="714"/>
      <c r="E82" s="715"/>
      <c r="F82" s="715"/>
      <c r="G82" s="715"/>
      <c r="H82" s="715"/>
      <c r="I82" s="715"/>
      <c r="J82" s="715"/>
      <c r="K82" s="715"/>
      <c r="L82" s="712"/>
      <c r="M82" s="712"/>
      <c r="O82" s="57"/>
    </row>
    <row r="83" spans="2:15">
      <c r="B83" s="716" t="s">
        <v>433</v>
      </c>
      <c r="C83" s="710"/>
      <c r="D83" s="710"/>
      <c r="E83" s="710"/>
      <c r="F83" s="710"/>
      <c r="G83" s="710"/>
      <c r="H83" s="710"/>
      <c r="I83" s="710"/>
      <c r="J83" s="710"/>
      <c r="K83" s="710"/>
      <c r="L83" s="710"/>
      <c r="M83" s="710"/>
      <c r="N83" s="710"/>
    </row>
    <row r="84" spans="2:15">
      <c r="B84" s="181"/>
      <c r="C84" s="57"/>
      <c r="D84" s="57"/>
      <c r="E84" s="57"/>
      <c r="F84" s="57"/>
      <c r="G84" s="57"/>
      <c r="H84" s="57"/>
      <c r="I84" s="57"/>
      <c r="J84" s="57"/>
      <c r="K84" s="57"/>
      <c r="L84" s="57"/>
      <c r="M84" s="57"/>
      <c r="N84" s="57"/>
    </row>
    <row r="85" spans="2:15">
      <c r="B85" s="16" t="s">
        <v>484</v>
      </c>
      <c r="C85" s="57"/>
      <c r="D85" s="57"/>
      <c r="E85" s="57"/>
      <c r="F85" s="57"/>
      <c r="G85" s="57"/>
      <c r="H85" s="57"/>
      <c r="I85" s="57"/>
      <c r="J85" s="57"/>
      <c r="K85" s="57"/>
      <c r="L85" s="57"/>
      <c r="M85" s="57"/>
      <c r="N85" s="57"/>
    </row>
    <row r="86" spans="2:15">
      <c r="B86" s="181" t="s">
        <v>485</v>
      </c>
      <c r="C86" s="57" t="str">
        <f>'RFPR cover'!$C$14</f>
        <v>£m 12/13</v>
      </c>
      <c r="D86" s="135">
        <f>D80-D43-D56</f>
        <v>-3.4466635748736048</v>
      </c>
      <c r="E86" s="135">
        <f t="shared" ref="E86:K86" si="13">E80-E43-E56</f>
        <v>1.9601459503892307</v>
      </c>
      <c r="F86" s="135">
        <f t="shared" si="13"/>
        <v>10.8910243084951</v>
      </c>
      <c r="G86" s="135">
        <f t="shared" si="13"/>
        <v>7.297024283611278</v>
      </c>
      <c r="H86" s="135">
        <f t="shared" si="13"/>
        <v>3.6056341922515021</v>
      </c>
      <c r="I86" s="135">
        <f t="shared" si="13"/>
        <v>-3.8357052784340109</v>
      </c>
      <c r="J86" s="135">
        <f t="shared" si="13"/>
        <v>28.831556938363768</v>
      </c>
      <c r="K86" s="135">
        <f t="shared" si="13"/>
        <v>64.036699391890039</v>
      </c>
      <c r="L86" s="606">
        <f>SUM(D86:INDEX(D86:K86,0,MATCH('RFPR cover'!$C$7,$D$6:$K$6,0)))</f>
        <v>109.3397162116933</v>
      </c>
      <c r="M86" s="607">
        <f>SUM(D86:K86)</f>
        <v>109.3397162116933</v>
      </c>
    </row>
    <row r="87" spans="2:15">
      <c r="B87" s="181"/>
    </row>
    <row r="88" spans="2:15">
      <c r="B88" s="181" t="s">
        <v>486</v>
      </c>
      <c r="C88" s="57" t="str">
        <f>'RFPR cover'!$C$14</f>
        <v>£m 12/13</v>
      </c>
      <c r="D88" s="135">
        <f>D80-D69-D70</f>
        <v>-8.9730213133709213</v>
      </c>
      <c r="E88" s="135">
        <f t="shared" ref="E88:K88" si="14">E80-E69-E70</f>
        <v>-2.4869491666560499</v>
      </c>
      <c r="F88" s="135">
        <f t="shared" si="14"/>
        <v>8.9104246765581241</v>
      </c>
      <c r="G88" s="135">
        <f t="shared" si="14"/>
        <v>4.6942246825310292</v>
      </c>
      <c r="H88" s="135">
        <f t="shared" si="14"/>
        <v>0.63352344104939684</v>
      </c>
      <c r="I88" s="135">
        <f t="shared" si="14"/>
        <v>-7.4938303985371055</v>
      </c>
      <c r="J88" s="135">
        <f t="shared" si="14"/>
        <v>32.721569585003095</v>
      </c>
      <c r="K88" s="135">
        <f t="shared" si="14"/>
        <v>84.432246588497293</v>
      </c>
      <c r="L88" s="606">
        <f>SUM(D88:INDEX(D88:K88,0,MATCH('RFPR cover'!$C$7,$D$6:$K$6,0)))</f>
        <v>112.43818809507486</v>
      </c>
      <c r="M88" s="607">
        <f>SUM(D88:K88)</f>
        <v>112.43818809507486</v>
      </c>
    </row>
    <row r="89" spans="2:15">
      <c r="B89" s="181"/>
    </row>
    <row r="90" spans="2:15">
      <c r="B90" s="181" t="s">
        <v>487</v>
      </c>
      <c r="C90" s="57" t="str">
        <f>'RFPR cover'!$C$14</f>
        <v>£m 12/13</v>
      </c>
      <c r="D90" s="135">
        <f t="shared" ref="D90:K90" si="15">D86-D88</f>
        <v>5.5263577384973166</v>
      </c>
      <c r="E90" s="135">
        <f t="shared" si="15"/>
        <v>4.447095117045281</v>
      </c>
      <c r="F90" s="135">
        <f t="shared" si="15"/>
        <v>1.9805996319369754</v>
      </c>
      <c r="G90" s="135">
        <f t="shared" si="15"/>
        <v>2.6027996010802488</v>
      </c>
      <c r="H90" s="135">
        <f t="shared" si="15"/>
        <v>2.9721107512021052</v>
      </c>
      <c r="I90" s="135">
        <f t="shared" si="15"/>
        <v>3.6581251201030947</v>
      </c>
      <c r="J90" s="135">
        <f t="shared" si="15"/>
        <v>-3.8900126466393274</v>
      </c>
      <c r="K90" s="135">
        <f t="shared" si="15"/>
        <v>-20.395547196607254</v>
      </c>
      <c r="L90" s="606">
        <f>SUM(D90:INDEX(D90:K90,0,MATCH('RFPR cover'!$C$7,$D$6:$K$6,0)))</f>
        <v>-3.0984718833815599</v>
      </c>
      <c r="M90" s="607">
        <f>SUM(D90:K90)</f>
        <v>-3.0984718833815599</v>
      </c>
    </row>
  </sheetData>
  <sheetProtection algorithmName="SHA-512" hashValue="aZjFLoLOPjCNZi7nDEuwCQFxgwLdtplslHa4MiaiqJ4Bw6JeyspJpqt7BlnxkpYA/lCkvLam1lRYV/o0LVoIPQ==" saltValue="377ny7cKTEao+LU4TCx5NA==" spinCount="100000" sheet="1" objects="1" scenarios="1"/>
  <conditionalFormatting sqref="D5:K6">
    <cfRule type="expression" dxfId="30" priority="19">
      <formula>AND(D$5="Actuals",E$5="Forecast")</formula>
    </cfRule>
  </conditionalFormatting>
  <conditionalFormatting sqref="D29:K29">
    <cfRule type="expression" dxfId="29" priority="5">
      <formula>D$5="Forecast"</formula>
    </cfRule>
    <cfRule type="expression" dxfId="28" priority="6">
      <formula>D$5="Actuals"</formula>
    </cfRule>
  </conditionalFormatting>
  <conditionalFormatting sqref="D47:K47">
    <cfRule type="expression" dxfId="27" priority="7">
      <formula>D$5="Forecast"</formula>
    </cfRule>
    <cfRule type="expression" dxfId="26" priority="8">
      <formula>D$5="Actuals"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0C73AB22-87FE-4E18-9A35-928631B029CB}">
            <xm:f>D7&gt;=('RFPR cover'!#REF!+2)</xm:f>
            <x14:dxf>
              <fill>
                <patternFill patternType="darkUp">
                  <fgColor rgb="FFC0C0C0"/>
                </patternFill>
              </fill>
            </x14:dxf>
          </x14:cfRule>
          <xm:sqref>D79</xm:sqref>
        </x14:conditionalFormatting>
        <x14:conditionalFormatting xmlns:xm="http://schemas.microsoft.com/office/excel/2006/main">
          <x14:cfRule type="expression" priority="1" id="{F37238A2-B8D2-4736-85D5-ABDE4720346D}">
            <xm:f>E7&gt;=('RFPR cover'!#REF!+2)</xm:f>
            <x14:dxf>
              <fill>
                <patternFill patternType="darkUp">
                  <fgColor rgb="FFC0C0C0"/>
                </patternFill>
              </fill>
            </x14:dxf>
          </x14:cfRule>
          <xm:sqref>E79:K79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85.765625" bestFit="1" customWidth="1"/>
    <col min="3" max="3" width="14.15234375" customWidth="1"/>
    <col min="4" max="11" width="11.15234375" customWidth="1"/>
    <col min="12" max="12" width="5" customWidth="1"/>
    <col min="13" max="13" width="12.84375" customWidth="1"/>
  </cols>
  <sheetData>
    <row r="1" spans="1:12" ht="20">
      <c r="A1" s="769" t="s">
        <v>236</v>
      </c>
      <c r="B1" s="778"/>
      <c r="C1" s="231"/>
      <c r="D1" s="231"/>
      <c r="E1" s="231"/>
      <c r="F1" s="231"/>
      <c r="G1" s="231"/>
      <c r="H1" s="231"/>
      <c r="I1" s="232"/>
      <c r="J1" s="232"/>
      <c r="K1" s="233"/>
      <c r="L1" s="319"/>
    </row>
    <row r="2" spans="1:12" ht="20">
      <c r="A2" s="772" t="str">
        <f>'RFPR cover'!C5</f>
        <v>NPgN</v>
      </c>
      <c r="B2" s="764"/>
      <c r="C2" s="29"/>
      <c r="D2" s="29"/>
      <c r="E2" s="29"/>
      <c r="F2" s="29"/>
      <c r="G2" s="29"/>
      <c r="H2" s="29"/>
      <c r="I2" s="27"/>
      <c r="J2" s="27"/>
      <c r="K2" s="27"/>
      <c r="L2" s="114"/>
    </row>
    <row r="3" spans="1:12" ht="23">
      <c r="A3" s="774">
        <f>'RFPR cover'!C7</f>
        <v>2023</v>
      </c>
      <c r="B3" s="780" t="str">
        <f>'R1 - RoRE'!B3</f>
        <v/>
      </c>
      <c r="C3" s="235"/>
      <c r="D3" s="235"/>
      <c r="E3" s="235"/>
      <c r="F3" s="235"/>
      <c r="G3" s="235"/>
      <c r="H3" s="235"/>
      <c r="I3" s="230"/>
      <c r="J3" s="230"/>
      <c r="K3" s="230"/>
      <c r="L3" s="236"/>
    </row>
    <row r="4" spans="1:12" ht="12.75" customHeight="1">
      <c r="A4" s="36"/>
      <c r="B4" s="36"/>
      <c r="C4" s="36"/>
      <c r="D4" s="36"/>
      <c r="E4" s="36"/>
      <c r="F4" s="36"/>
      <c r="G4" s="36"/>
      <c r="H4" s="36"/>
      <c r="I4" s="33"/>
      <c r="J4" s="33"/>
      <c r="K4" s="33"/>
      <c r="L4" s="32"/>
    </row>
    <row r="5" spans="1:12" s="2" customFormat="1">
      <c r="B5" s="3"/>
      <c r="C5" s="3"/>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2" s="2" customFormat="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2" s="2" customFormat="1"/>
    <row r="8" spans="1:12" s="2" customFormat="1">
      <c r="B8" s="181" t="s">
        <v>518</v>
      </c>
      <c r="C8" s="142" t="s">
        <v>127</v>
      </c>
      <c r="D8" s="746">
        <v>17.8</v>
      </c>
      <c r="E8" s="614">
        <f>D10</f>
        <v>0.01</v>
      </c>
      <c r="F8" s="614">
        <f t="shared" ref="F8:K8" si="1">E10</f>
        <v>0</v>
      </c>
      <c r="G8" s="614">
        <f t="shared" si="1"/>
        <v>10.01</v>
      </c>
      <c r="H8" s="614">
        <f t="shared" si="1"/>
        <v>0</v>
      </c>
      <c r="I8" s="614">
        <f t="shared" si="1"/>
        <v>5.2969999999999997</v>
      </c>
      <c r="J8" s="614">
        <f t="shared" si="1"/>
        <v>0</v>
      </c>
      <c r="K8" s="614">
        <f t="shared" si="1"/>
        <v>0</v>
      </c>
    </row>
    <row r="9" spans="1:12" s="2" customFormat="1">
      <c r="B9" s="181"/>
    </row>
    <row r="10" spans="1:12">
      <c r="B10" s="181" t="s">
        <v>519</v>
      </c>
      <c r="C10" s="142" t="s">
        <v>127</v>
      </c>
      <c r="D10" s="608">
        <v>0.01</v>
      </c>
      <c r="E10" s="609">
        <v>0</v>
      </c>
      <c r="F10" s="609">
        <v>10.01</v>
      </c>
      <c r="G10" s="609">
        <v>0</v>
      </c>
      <c r="H10" s="609">
        <v>5.2969999999999997</v>
      </c>
      <c r="I10" s="609">
        <v>0</v>
      </c>
      <c r="J10" s="609">
        <v>0</v>
      </c>
      <c r="K10" s="610">
        <v>0</v>
      </c>
    </row>
    <row r="11" spans="1:12">
      <c r="B11" s="181" t="s">
        <v>370</v>
      </c>
      <c r="C11" s="142" t="s">
        <v>127</v>
      </c>
      <c r="D11" s="611">
        <v>240.5</v>
      </c>
      <c r="E11" s="612">
        <v>240.53000000000003</v>
      </c>
      <c r="F11" s="612">
        <v>200.33</v>
      </c>
      <c r="G11" s="612">
        <v>209.14000000000001</v>
      </c>
      <c r="H11" s="612">
        <v>140.23118639</v>
      </c>
      <c r="I11" s="612">
        <v>433.54842802999997</v>
      </c>
      <c r="J11" s="612">
        <v>431.21433995999996</v>
      </c>
      <c r="K11" s="613">
        <v>802.68273752000005</v>
      </c>
    </row>
    <row r="12" spans="1:12">
      <c r="B12" s="181" t="s">
        <v>371</v>
      </c>
      <c r="C12" s="142" t="s">
        <v>127</v>
      </c>
      <c r="D12" s="611">
        <v>414.05</v>
      </c>
      <c r="E12" s="612">
        <v>408.82</v>
      </c>
      <c r="F12" s="612">
        <v>469</v>
      </c>
      <c r="G12" s="612">
        <v>498.63</v>
      </c>
      <c r="H12" s="612">
        <v>639.01991730999998</v>
      </c>
      <c r="I12" s="612">
        <v>406.03500000000003</v>
      </c>
      <c r="J12" s="612">
        <v>415.92</v>
      </c>
      <c r="K12" s="613">
        <v>303.31099999999998</v>
      </c>
    </row>
    <row r="13" spans="1:12">
      <c r="B13" s="181" t="s">
        <v>372</v>
      </c>
      <c r="C13" s="142" t="s">
        <v>127</v>
      </c>
      <c r="D13" s="611">
        <v>0</v>
      </c>
      <c r="E13" s="612">
        <v>0</v>
      </c>
      <c r="F13" s="612">
        <v>0</v>
      </c>
      <c r="G13" s="612">
        <v>0</v>
      </c>
      <c r="H13" s="612">
        <v>0</v>
      </c>
      <c r="I13" s="612">
        <v>0</v>
      </c>
      <c r="J13" s="612">
        <v>0</v>
      </c>
      <c r="K13" s="613">
        <v>-247.84126034393699</v>
      </c>
    </row>
    <row r="14" spans="1:12">
      <c r="B14" s="181" t="s">
        <v>373</v>
      </c>
      <c r="C14" s="142" t="s">
        <v>127</v>
      </c>
      <c r="D14" s="611">
        <v>0</v>
      </c>
      <c r="E14" s="612">
        <v>0</v>
      </c>
      <c r="F14" s="612">
        <v>0</v>
      </c>
      <c r="G14" s="612">
        <v>0</v>
      </c>
      <c r="H14" s="612">
        <v>0</v>
      </c>
      <c r="I14" s="612">
        <v>0</v>
      </c>
      <c r="J14" s="612">
        <v>0</v>
      </c>
      <c r="K14" s="613">
        <v>0</v>
      </c>
    </row>
    <row r="15" spans="1:12">
      <c r="B15" s="181" t="s">
        <v>290</v>
      </c>
      <c r="C15" s="142" t="s">
        <v>127</v>
      </c>
      <c r="D15" s="611">
        <v>0</v>
      </c>
      <c r="E15" s="612">
        <v>0</v>
      </c>
      <c r="F15" s="612">
        <v>0</v>
      </c>
      <c r="G15" s="612">
        <v>0</v>
      </c>
      <c r="H15" s="612">
        <v>0</v>
      </c>
      <c r="I15" s="612">
        <v>0</v>
      </c>
      <c r="J15" s="612">
        <v>0</v>
      </c>
      <c r="K15" s="613">
        <v>0</v>
      </c>
    </row>
    <row r="16" spans="1:12">
      <c r="B16" s="181" t="s">
        <v>291</v>
      </c>
      <c r="C16" s="142" t="s">
        <v>127</v>
      </c>
      <c r="D16" s="611">
        <v>0</v>
      </c>
      <c r="E16" s="612">
        <v>0</v>
      </c>
      <c r="F16" s="612">
        <v>0</v>
      </c>
      <c r="G16" s="612">
        <v>0</v>
      </c>
      <c r="H16" s="612">
        <v>0</v>
      </c>
      <c r="I16" s="612">
        <v>0</v>
      </c>
      <c r="J16" s="612">
        <v>0</v>
      </c>
      <c r="K16" s="613">
        <v>0</v>
      </c>
    </row>
    <row r="17" spans="2:13">
      <c r="B17" s="181" t="s">
        <v>295</v>
      </c>
      <c r="C17" s="142" t="s">
        <v>127</v>
      </c>
      <c r="D17" s="611">
        <v>0</v>
      </c>
      <c r="E17" s="612">
        <v>0</v>
      </c>
      <c r="F17" s="612">
        <v>0</v>
      </c>
      <c r="G17" s="612">
        <v>0</v>
      </c>
      <c r="H17" s="612">
        <v>0</v>
      </c>
      <c r="I17" s="612">
        <v>0</v>
      </c>
      <c r="J17" s="612">
        <v>0</v>
      </c>
      <c r="K17" s="613">
        <v>0</v>
      </c>
    </row>
    <row r="18" spans="2:13">
      <c r="B18" s="181" t="s">
        <v>296</v>
      </c>
      <c r="C18" s="142" t="s">
        <v>127</v>
      </c>
      <c r="D18" s="611">
        <v>0</v>
      </c>
      <c r="E18" s="612">
        <v>0</v>
      </c>
      <c r="F18" s="612">
        <v>0</v>
      </c>
      <c r="G18" s="612">
        <v>0</v>
      </c>
      <c r="H18" s="612">
        <v>0</v>
      </c>
      <c r="I18" s="612">
        <v>0</v>
      </c>
      <c r="J18" s="612">
        <v>0</v>
      </c>
      <c r="K18" s="613">
        <v>0</v>
      </c>
    </row>
    <row r="19" spans="2:13">
      <c r="B19" s="181" t="s">
        <v>297</v>
      </c>
      <c r="C19" s="142" t="s">
        <v>127</v>
      </c>
      <c r="D19" s="611">
        <v>0</v>
      </c>
      <c r="E19" s="612">
        <v>0</v>
      </c>
      <c r="F19" s="612">
        <v>0</v>
      </c>
      <c r="G19" s="612">
        <v>0</v>
      </c>
      <c r="H19" s="612">
        <v>0</v>
      </c>
      <c r="I19" s="612">
        <v>0</v>
      </c>
      <c r="J19" s="612">
        <v>0</v>
      </c>
      <c r="K19" s="613">
        <v>0</v>
      </c>
    </row>
    <row r="20" spans="2:13">
      <c r="B20" s="181" t="s">
        <v>298</v>
      </c>
      <c r="C20" s="142" t="s">
        <v>127</v>
      </c>
      <c r="D20" s="611">
        <v>0</v>
      </c>
      <c r="E20" s="612">
        <v>0</v>
      </c>
      <c r="F20" s="612">
        <v>0</v>
      </c>
      <c r="G20" s="612">
        <v>0</v>
      </c>
      <c r="H20" s="612">
        <v>0</v>
      </c>
      <c r="I20" s="612">
        <v>0</v>
      </c>
      <c r="J20" s="612">
        <v>0</v>
      </c>
      <c r="K20" s="613">
        <v>0</v>
      </c>
    </row>
    <row r="21" spans="2:13">
      <c r="B21" s="181" t="s">
        <v>299</v>
      </c>
      <c r="C21" s="142" t="s">
        <v>127</v>
      </c>
      <c r="D21" s="611">
        <v>0</v>
      </c>
      <c r="E21" s="612">
        <v>0</v>
      </c>
      <c r="F21" s="612">
        <v>0</v>
      </c>
      <c r="G21" s="612">
        <v>0</v>
      </c>
      <c r="H21" s="612">
        <v>0</v>
      </c>
      <c r="I21" s="612">
        <v>0</v>
      </c>
      <c r="J21" s="612">
        <v>0</v>
      </c>
      <c r="K21" s="613">
        <v>0</v>
      </c>
    </row>
    <row r="22" spans="2:13">
      <c r="B22" s="181" t="s">
        <v>300</v>
      </c>
      <c r="C22" s="142" t="s">
        <v>127</v>
      </c>
      <c r="D22" s="611">
        <v>0</v>
      </c>
      <c r="E22" s="612">
        <v>0</v>
      </c>
      <c r="F22" s="612">
        <v>0</v>
      </c>
      <c r="G22" s="612">
        <v>0</v>
      </c>
      <c r="H22" s="612">
        <v>0</v>
      </c>
      <c r="I22" s="612">
        <v>0</v>
      </c>
      <c r="J22" s="612">
        <v>0</v>
      </c>
      <c r="K22" s="613">
        <v>0</v>
      </c>
    </row>
    <row r="23" spans="2:13">
      <c r="B23" s="14" t="s">
        <v>316</v>
      </c>
      <c r="C23" s="212" t="s">
        <v>127</v>
      </c>
      <c r="D23" s="614">
        <f>SUM(D10:D22)</f>
        <v>654.55999999999995</v>
      </c>
      <c r="E23" s="614">
        <f t="shared" ref="E23:K23" si="2">SUM(E10:E22)</f>
        <v>649.35</v>
      </c>
      <c r="F23" s="614">
        <f t="shared" si="2"/>
        <v>679.34</v>
      </c>
      <c r="G23" s="614">
        <f t="shared" si="2"/>
        <v>707.77</v>
      </c>
      <c r="H23" s="614">
        <f t="shared" si="2"/>
        <v>784.54810369999996</v>
      </c>
      <c r="I23" s="614">
        <f t="shared" si="2"/>
        <v>839.58342803000005</v>
      </c>
      <c r="J23" s="614">
        <f t="shared" si="2"/>
        <v>847.13433996000003</v>
      </c>
      <c r="K23" s="615">
        <f t="shared" si="2"/>
        <v>858.15247717606303</v>
      </c>
      <c r="L23" s="2"/>
      <c r="M23" s="242"/>
    </row>
    <row r="24" spans="2:13">
      <c r="B24" s="14"/>
      <c r="C24" s="142"/>
      <c r="D24" s="216"/>
      <c r="E24" s="216"/>
      <c r="F24" s="216"/>
      <c r="G24" s="216"/>
      <c r="H24" s="216"/>
      <c r="I24" s="216"/>
      <c r="J24" s="216"/>
      <c r="K24" s="216"/>
      <c r="L24" s="2"/>
      <c r="M24" s="2"/>
    </row>
    <row r="25" spans="2:13">
      <c r="B25" s="14" t="s">
        <v>122</v>
      </c>
      <c r="C25" s="16"/>
      <c r="D25" s="217"/>
      <c r="E25" s="217"/>
      <c r="F25" s="217"/>
      <c r="G25" s="217"/>
      <c r="H25" s="217"/>
      <c r="I25" s="217"/>
      <c r="J25" s="217"/>
      <c r="K25" s="217"/>
      <c r="L25" s="2"/>
      <c r="M25" s="2"/>
    </row>
    <row r="26" spans="2:13">
      <c r="B26" s="323" t="s">
        <v>530</v>
      </c>
      <c r="C26" s="142" t="s">
        <v>127</v>
      </c>
      <c r="D26" s="303">
        <v>2.13</v>
      </c>
      <c r="E26" s="303">
        <v>2.0299999999999998</v>
      </c>
      <c r="F26" s="303">
        <v>1.93</v>
      </c>
      <c r="G26" s="303">
        <v>1.82</v>
      </c>
      <c r="H26" s="303">
        <v>4.2940000000000005</v>
      </c>
      <c r="I26" s="303">
        <v>9.7279999999999998</v>
      </c>
      <c r="J26" s="303">
        <v>9.4909999999999997</v>
      </c>
      <c r="K26" s="303">
        <v>12.855</v>
      </c>
      <c r="L26" s="2"/>
      <c r="M26" s="2"/>
    </row>
    <row r="27" spans="2:13">
      <c r="B27" s="323" t="s">
        <v>8</v>
      </c>
      <c r="C27" s="142" t="s">
        <v>127</v>
      </c>
      <c r="D27" s="303">
        <v>0</v>
      </c>
      <c r="E27" s="332">
        <v>0</v>
      </c>
      <c r="F27" s="332">
        <v>0</v>
      </c>
      <c r="G27" s="332">
        <v>0</v>
      </c>
      <c r="H27" s="332">
        <v>0</v>
      </c>
      <c r="I27" s="332">
        <v>0</v>
      </c>
      <c r="J27" s="332">
        <v>0</v>
      </c>
      <c r="K27" s="336">
        <v>0</v>
      </c>
      <c r="L27" s="2"/>
      <c r="M27" s="2"/>
    </row>
    <row r="28" spans="2:13">
      <c r="B28" s="323" t="s">
        <v>9</v>
      </c>
      <c r="C28" s="142" t="s">
        <v>127</v>
      </c>
      <c r="D28" s="303">
        <v>0</v>
      </c>
      <c r="E28" s="332">
        <v>0</v>
      </c>
      <c r="F28" s="332">
        <v>0</v>
      </c>
      <c r="G28" s="332">
        <v>0</v>
      </c>
      <c r="H28" s="332">
        <v>0</v>
      </c>
      <c r="I28" s="332">
        <v>0</v>
      </c>
      <c r="J28" s="332">
        <v>0</v>
      </c>
      <c r="K28" s="336">
        <v>0</v>
      </c>
      <c r="L28" s="2"/>
      <c r="M28" s="2"/>
    </row>
    <row r="29" spans="2:13">
      <c r="B29" s="323" t="s">
        <v>10</v>
      </c>
      <c r="C29" s="142" t="s">
        <v>127</v>
      </c>
      <c r="D29" s="303">
        <v>0</v>
      </c>
      <c r="E29" s="332">
        <v>0</v>
      </c>
      <c r="F29" s="332">
        <v>0</v>
      </c>
      <c r="G29" s="332">
        <v>0</v>
      </c>
      <c r="H29" s="332">
        <v>0</v>
      </c>
      <c r="I29" s="332">
        <v>0</v>
      </c>
      <c r="J29" s="332">
        <v>0</v>
      </c>
      <c r="K29" s="336">
        <v>0</v>
      </c>
      <c r="L29" s="2"/>
      <c r="M29" s="2"/>
    </row>
    <row r="30" spans="2:13">
      <c r="B30" s="323" t="s">
        <v>577</v>
      </c>
      <c r="C30" s="142" t="s">
        <v>127</v>
      </c>
      <c r="D30" s="303">
        <v>-10.75</v>
      </c>
      <c r="E30" s="332">
        <v>-10.75</v>
      </c>
      <c r="F30" s="332">
        <v>-10.53</v>
      </c>
      <c r="G30" s="332">
        <v>-10.31</v>
      </c>
      <c r="H30" s="332">
        <v>-13.639999999999999</v>
      </c>
      <c r="I30" s="332">
        <v>-13.97</v>
      </c>
      <c r="J30" s="332">
        <v>-14</v>
      </c>
      <c r="K30" s="336">
        <v>-23.951000000000001</v>
      </c>
    </row>
    <row r="31" spans="2:13">
      <c r="B31" s="323" t="s">
        <v>597</v>
      </c>
      <c r="C31" s="142" t="s">
        <v>127</v>
      </c>
      <c r="D31" s="303">
        <v>0</v>
      </c>
      <c r="E31" s="332">
        <v>0</v>
      </c>
      <c r="F31" s="332">
        <v>0</v>
      </c>
      <c r="G31" s="332">
        <v>0</v>
      </c>
      <c r="H31" s="332">
        <v>-12.828186390000003</v>
      </c>
      <c r="I31" s="332">
        <v>-13.770428030000003</v>
      </c>
      <c r="J31" s="332">
        <v>-11.347339960000003</v>
      </c>
      <c r="K31" s="336">
        <v>-24.943737519999999</v>
      </c>
    </row>
    <row r="32" spans="2:13" ht="12.75" customHeight="1">
      <c r="B32" s="323" t="s">
        <v>356</v>
      </c>
      <c r="C32" s="142" t="s">
        <v>127</v>
      </c>
      <c r="D32" s="303">
        <v>0</v>
      </c>
      <c r="E32" s="332">
        <v>0</v>
      </c>
      <c r="F32" s="332">
        <v>0</v>
      </c>
      <c r="G32" s="332">
        <v>0</v>
      </c>
      <c r="H32" s="332">
        <v>0</v>
      </c>
      <c r="I32" s="332">
        <v>0</v>
      </c>
      <c r="J32" s="332">
        <v>0</v>
      </c>
      <c r="K32" s="336">
        <v>0</v>
      </c>
    </row>
    <row r="33" spans="2:12">
      <c r="B33" s="323" t="s">
        <v>357</v>
      </c>
      <c r="C33" s="142" t="s">
        <v>127</v>
      </c>
      <c r="D33" s="303">
        <v>0</v>
      </c>
      <c r="E33" s="332">
        <v>0</v>
      </c>
      <c r="F33" s="332">
        <v>0</v>
      </c>
      <c r="G33" s="332">
        <v>0</v>
      </c>
      <c r="H33" s="332">
        <v>0</v>
      </c>
      <c r="I33" s="332">
        <v>0</v>
      </c>
      <c r="J33" s="332">
        <v>0</v>
      </c>
      <c r="K33" s="336">
        <v>0</v>
      </c>
    </row>
    <row r="34" spans="2:12">
      <c r="B34" s="323" t="s">
        <v>358</v>
      </c>
      <c r="C34" s="142" t="s">
        <v>127</v>
      </c>
      <c r="D34" s="303">
        <v>0</v>
      </c>
      <c r="E34" s="332">
        <v>0</v>
      </c>
      <c r="F34" s="332">
        <v>0</v>
      </c>
      <c r="G34" s="332">
        <v>0</v>
      </c>
      <c r="H34" s="332">
        <v>0</v>
      </c>
      <c r="I34" s="332">
        <v>0</v>
      </c>
      <c r="J34" s="332">
        <v>0</v>
      </c>
      <c r="K34" s="336">
        <v>0</v>
      </c>
    </row>
    <row r="35" spans="2:12">
      <c r="B35" s="323" t="s">
        <v>359</v>
      </c>
      <c r="C35" s="142" t="s">
        <v>127</v>
      </c>
      <c r="D35" s="303">
        <v>0</v>
      </c>
      <c r="E35" s="332">
        <v>0</v>
      </c>
      <c r="F35" s="332">
        <v>0</v>
      </c>
      <c r="G35" s="332">
        <v>0</v>
      </c>
      <c r="H35" s="332">
        <v>0</v>
      </c>
      <c r="I35" s="332">
        <v>0</v>
      </c>
      <c r="J35" s="332">
        <v>0</v>
      </c>
      <c r="K35" s="336">
        <v>0</v>
      </c>
    </row>
    <row r="36" spans="2:12">
      <c r="B36" s="323" t="s">
        <v>360</v>
      </c>
      <c r="C36" s="142" t="s">
        <v>127</v>
      </c>
      <c r="D36" s="303">
        <v>0</v>
      </c>
      <c r="E36" s="332">
        <v>0</v>
      </c>
      <c r="F36" s="332">
        <v>0</v>
      </c>
      <c r="G36" s="332">
        <v>0</v>
      </c>
      <c r="H36" s="332">
        <v>0</v>
      </c>
      <c r="I36" s="332">
        <v>0</v>
      </c>
      <c r="J36" s="332">
        <v>0</v>
      </c>
      <c r="K36" s="336">
        <v>0</v>
      </c>
    </row>
    <row r="37" spans="2:12">
      <c r="B37" s="323" t="s">
        <v>361</v>
      </c>
      <c r="C37" s="142" t="s">
        <v>127</v>
      </c>
      <c r="D37" s="303">
        <v>0</v>
      </c>
      <c r="E37" s="332">
        <v>0</v>
      </c>
      <c r="F37" s="332">
        <v>0</v>
      </c>
      <c r="G37" s="332">
        <v>0</v>
      </c>
      <c r="H37" s="332">
        <v>0</v>
      </c>
      <c r="I37" s="332">
        <v>0</v>
      </c>
      <c r="J37" s="332">
        <v>0</v>
      </c>
      <c r="K37" s="336">
        <v>0</v>
      </c>
    </row>
    <row r="38" spans="2:12">
      <c r="B38" s="323" t="s">
        <v>362</v>
      </c>
      <c r="C38" s="142" t="s">
        <v>127</v>
      </c>
      <c r="D38" s="303">
        <v>0</v>
      </c>
      <c r="E38" s="332">
        <v>0</v>
      </c>
      <c r="F38" s="332">
        <v>0</v>
      </c>
      <c r="G38" s="332">
        <v>0</v>
      </c>
      <c r="H38" s="332">
        <v>0</v>
      </c>
      <c r="I38" s="332">
        <v>0</v>
      </c>
      <c r="J38" s="332">
        <v>0</v>
      </c>
      <c r="K38" s="336">
        <v>0</v>
      </c>
    </row>
    <row r="39" spans="2:12">
      <c r="B39" s="323" t="s">
        <v>363</v>
      </c>
      <c r="C39" s="142" t="s">
        <v>127</v>
      </c>
      <c r="D39" s="303">
        <v>0</v>
      </c>
      <c r="E39" s="332">
        <v>0</v>
      </c>
      <c r="F39" s="332">
        <v>0</v>
      </c>
      <c r="G39" s="332">
        <v>0</v>
      </c>
      <c r="H39" s="332">
        <v>0</v>
      </c>
      <c r="I39" s="332">
        <v>0</v>
      </c>
      <c r="J39" s="332">
        <v>0</v>
      </c>
      <c r="K39" s="336">
        <v>0</v>
      </c>
    </row>
    <row r="40" spans="2:12">
      <c r="B40" s="323" t="s">
        <v>364</v>
      </c>
      <c r="C40" s="142" t="s">
        <v>127</v>
      </c>
      <c r="D40" s="303">
        <v>0</v>
      </c>
      <c r="E40" s="332">
        <v>0</v>
      </c>
      <c r="F40" s="332">
        <v>0</v>
      </c>
      <c r="G40" s="332">
        <v>0</v>
      </c>
      <c r="H40" s="332">
        <v>0</v>
      </c>
      <c r="I40" s="332">
        <v>0</v>
      </c>
      <c r="J40" s="332">
        <v>0</v>
      </c>
      <c r="K40" s="336">
        <v>0</v>
      </c>
    </row>
    <row r="41" spans="2:12">
      <c r="B41" s="323" t="s">
        <v>365</v>
      </c>
      <c r="C41" s="142" t="s">
        <v>127</v>
      </c>
      <c r="D41" s="333">
        <v>0</v>
      </c>
      <c r="E41" s="334">
        <v>0</v>
      </c>
      <c r="F41" s="334">
        <v>0</v>
      </c>
      <c r="G41" s="334">
        <v>0</v>
      </c>
      <c r="H41" s="334">
        <v>0</v>
      </c>
      <c r="I41" s="334">
        <v>0</v>
      </c>
      <c r="J41" s="334">
        <v>0</v>
      </c>
      <c r="K41" s="337">
        <v>0</v>
      </c>
    </row>
    <row r="42" spans="2:12">
      <c r="B42" s="13" t="s">
        <v>233</v>
      </c>
      <c r="C42" s="142" t="s">
        <v>127</v>
      </c>
      <c r="D42" s="621">
        <f>SUM(D23,D26:D41)</f>
        <v>645.93999999999994</v>
      </c>
      <c r="E42" s="621">
        <f t="shared" ref="E42:K42" si="3">SUM(E23,E26:E41)</f>
        <v>640.63</v>
      </c>
      <c r="F42" s="621">
        <f t="shared" si="3"/>
        <v>670.74</v>
      </c>
      <c r="G42" s="621">
        <f t="shared" si="3"/>
        <v>699.28000000000009</v>
      </c>
      <c r="H42" s="621">
        <f t="shared" si="3"/>
        <v>762.37391730999991</v>
      </c>
      <c r="I42" s="621">
        <f t="shared" si="3"/>
        <v>821.57100000000003</v>
      </c>
      <c r="J42" s="621">
        <f t="shared" si="3"/>
        <v>831.27800000000002</v>
      </c>
      <c r="K42" s="621">
        <f t="shared" si="3"/>
        <v>822.11273965606301</v>
      </c>
    </row>
    <row r="43" spans="2:12">
      <c r="B43" s="324" t="s">
        <v>303</v>
      </c>
      <c r="C43" s="142" t="s">
        <v>127</v>
      </c>
      <c r="D43" s="622"/>
      <c r="E43" s="623"/>
      <c r="F43" s="623"/>
      <c r="G43" s="624"/>
      <c r="H43" s="624"/>
      <c r="I43" s="624"/>
      <c r="J43" s="624"/>
      <c r="K43" s="625"/>
    </row>
    <row r="44" spans="2:12">
      <c r="B44" s="13" t="s">
        <v>437</v>
      </c>
      <c r="C44" s="142" t="s">
        <v>127</v>
      </c>
      <c r="D44" s="86">
        <f>SUM(D42:D43)</f>
        <v>645.93999999999994</v>
      </c>
      <c r="E44" s="87">
        <f t="shared" ref="E44:K44" si="4">SUM(E42:E43)</f>
        <v>640.63</v>
      </c>
      <c r="F44" s="87">
        <f t="shared" si="4"/>
        <v>670.74</v>
      </c>
      <c r="G44" s="87">
        <f t="shared" si="4"/>
        <v>699.28000000000009</v>
      </c>
      <c r="H44" s="87">
        <f t="shared" si="4"/>
        <v>762.37391730999991</v>
      </c>
      <c r="I44" s="87">
        <f t="shared" si="4"/>
        <v>821.57100000000003</v>
      </c>
      <c r="J44" s="87">
        <f t="shared" si="4"/>
        <v>831.27800000000002</v>
      </c>
      <c r="K44" s="88">
        <f t="shared" si="4"/>
        <v>822.11273965606301</v>
      </c>
    </row>
    <row r="45" spans="2:12">
      <c r="D45" s="204" t="s">
        <v>609</v>
      </c>
      <c r="E45" s="205" t="s">
        <v>609</v>
      </c>
      <c r="F45" s="205" t="s">
        <v>609</v>
      </c>
      <c r="G45" s="205" t="s">
        <v>609</v>
      </c>
      <c r="H45" s="205" t="s">
        <v>609</v>
      </c>
      <c r="I45" s="205" t="s">
        <v>609</v>
      </c>
      <c r="J45" s="205" t="s">
        <v>609</v>
      </c>
      <c r="K45" s="206" t="s">
        <v>609</v>
      </c>
    </row>
    <row r="47" spans="2:12">
      <c r="B47" s="380" t="s">
        <v>438</v>
      </c>
      <c r="C47" s="142" t="s">
        <v>127</v>
      </c>
      <c r="D47" s="718">
        <v>612.08945089999997</v>
      </c>
      <c r="E47" s="87">
        <f>D48</f>
        <v>645.93999999999994</v>
      </c>
      <c r="F47" s="87">
        <f t="shared" ref="F47:K47" si="5">E48</f>
        <v>640.63</v>
      </c>
      <c r="G47" s="87">
        <f t="shared" si="5"/>
        <v>670.74</v>
      </c>
      <c r="H47" s="87">
        <f t="shared" si="5"/>
        <v>699.28000000000009</v>
      </c>
      <c r="I47" s="87">
        <f t="shared" si="5"/>
        <v>762.37391730999991</v>
      </c>
      <c r="J47" s="87">
        <f t="shared" si="5"/>
        <v>821.57100000000003</v>
      </c>
      <c r="K47" s="88">
        <f t="shared" si="5"/>
        <v>831.27800000000002</v>
      </c>
      <c r="L47" s="183"/>
    </row>
    <row r="48" spans="2:12">
      <c r="B48" s="380" t="s">
        <v>439</v>
      </c>
      <c r="C48" s="142" t="s">
        <v>127</v>
      </c>
      <c r="D48" s="502">
        <f>D44</f>
        <v>645.93999999999994</v>
      </c>
      <c r="E48" s="503">
        <f>E44</f>
        <v>640.63</v>
      </c>
      <c r="F48" s="503">
        <f t="shared" ref="F48:K48" si="6">F44</f>
        <v>670.74</v>
      </c>
      <c r="G48" s="503">
        <f t="shared" si="6"/>
        <v>699.28000000000009</v>
      </c>
      <c r="H48" s="503">
        <f t="shared" si="6"/>
        <v>762.37391730999991</v>
      </c>
      <c r="I48" s="503">
        <f t="shared" si="6"/>
        <v>821.57100000000003</v>
      </c>
      <c r="J48" s="503">
        <f t="shared" si="6"/>
        <v>831.27800000000002</v>
      </c>
      <c r="K48" s="717">
        <f t="shared" si="6"/>
        <v>822.11273965606301</v>
      </c>
      <c r="L48" s="183"/>
    </row>
    <row r="49" spans="2:13">
      <c r="D49" s="23"/>
      <c r="E49" s="23"/>
      <c r="F49" s="23"/>
      <c r="G49" s="23"/>
      <c r="H49" s="23"/>
      <c r="I49" s="23"/>
      <c r="J49" s="23"/>
      <c r="K49" s="23"/>
    </row>
    <row r="50" spans="2:13">
      <c r="B50" s="14" t="s">
        <v>123</v>
      </c>
    </row>
    <row r="51" spans="2:13">
      <c r="B51" t="s">
        <v>124</v>
      </c>
      <c r="C51" s="183" t="s">
        <v>7</v>
      </c>
      <c r="D51" s="413">
        <v>0</v>
      </c>
      <c r="E51" s="414">
        <v>0</v>
      </c>
      <c r="F51" s="414">
        <v>0</v>
      </c>
      <c r="G51" s="414">
        <v>0</v>
      </c>
      <c r="H51" s="414">
        <v>0</v>
      </c>
      <c r="I51" s="414">
        <v>0</v>
      </c>
      <c r="J51" s="414">
        <v>0</v>
      </c>
      <c r="K51" s="415">
        <v>0</v>
      </c>
    </row>
    <row r="52" spans="2:13">
      <c r="B52" t="s">
        <v>125</v>
      </c>
      <c r="C52" s="183" t="s">
        <v>7</v>
      </c>
      <c r="D52" s="420">
        <f>1-D51</f>
        <v>1</v>
      </c>
      <c r="E52" s="421">
        <f t="shared" ref="E52:K52" si="7">1-E51</f>
        <v>1</v>
      </c>
      <c r="F52" s="421">
        <f t="shared" si="7"/>
        <v>1</v>
      </c>
      <c r="G52" s="421">
        <f t="shared" si="7"/>
        <v>1</v>
      </c>
      <c r="H52" s="421">
        <f t="shared" si="7"/>
        <v>1</v>
      </c>
      <c r="I52" s="421">
        <f t="shared" si="7"/>
        <v>1</v>
      </c>
      <c r="J52" s="421">
        <f t="shared" si="7"/>
        <v>1</v>
      </c>
      <c r="K52" s="422">
        <f t="shared" si="7"/>
        <v>1</v>
      </c>
    </row>
    <row r="53" spans="2:13">
      <c r="C53" s="183"/>
      <c r="D53" s="183"/>
      <c r="E53" s="183"/>
      <c r="F53" s="183"/>
      <c r="G53" s="183"/>
      <c r="H53" s="183"/>
      <c r="I53" s="183"/>
      <c r="J53" s="183"/>
      <c r="K53" s="183"/>
      <c r="L53" s="183"/>
    </row>
    <row r="54" spans="2:13">
      <c r="B54" t="s">
        <v>458</v>
      </c>
      <c r="C54" s="142" t="s">
        <v>127</v>
      </c>
      <c r="D54" s="626">
        <f>AVERAGE(D47:D48)*D52</f>
        <v>629.01472545000001</v>
      </c>
      <c r="E54" s="627">
        <f t="shared" ref="E54:K54" si="8">AVERAGE(E47:E48)*E52</f>
        <v>643.28499999999997</v>
      </c>
      <c r="F54" s="627">
        <f t="shared" si="8"/>
        <v>655.68499999999995</v>
      </c>
      <c r="G54" s="627">
        <f t="shared" si="8"/>
        <v>685.01</v>
      </c>
      <c r="H54" s="627">
        <f t="shared" si="8"/>
        <v>730.826958655</v>
      </c>
      <c r="I54" s="627">
        <f t="shared" si="8"/>
        <v>791.97245865499997</v>
      </c>
      <c r="J54" s="627">
        <f t="shared" si="8"/>
        <v>826.42450000000008</v>
      </c>
      <c r="K54" s="628">
        <f t="shared" si="8"/>
        <v>826.69536982803152</v>
      </c>
    </row>
    <row r="55" spans="2:13">
      <c r="B55" t="s">
        <v>271</v>
      </c>
      <c r="C55" s="142" t="s">
        <v>127</v>
      </c>
      <c r="D55" s="616">
        <f>D56-D54</f>
        <v>581.51928071494785</v>
      </c>
      <c r="E55" s="617">
        <f t="shared" ref="E55:K55" si="9">E56-E54</f>
        <v>620.94876533516651</v>
      </c>
      <c r="F55" s="617">
        <f t="shared" si="9"/>
        <v>667.32347505001644</v>
      </c>
      <c r="G55" s="617">
        <f t="shared" si="9"/>
        <v>688.70042855829047</v>
      </c>
      <c r="H55" s="617">
        <f t="shared" si="9"/>
        <v>689.78328410536687</v>
      </c>
      <c r="I55" s="617">
        <f t="shared" si="9"/>
        <v>678.49254955066783</v>
      </c>
      <c r="J55" s="617">
        <f t="shared" si="9"/>
        <v>752.62382052793146</v>
      </c>
      <c r="K55" s="618">
        <f t="shared" si="9"/>
        <v>937.91925132388906</v>
      </c>
    </row>
    <row r="56" spans="2:13">
      <c r="B56" t="s">
        <v>506</v>
      </c>
      <c r="C56" s="142" t="s">
        <v>127</v>
      </c>
      <c r="D56" s="740">
        <f>IF(D6='RFPR cover'!$C$13,AVERAGE(('R9 - RAV'!D16*'R9 - RAV'!D36),'R9 - RAV'!D38),AVERAGE('R9 - RAV'!C38:D38))</f>
        <v>1210.5340061649479</v>
      </c>
      <c r="E56" s="740">
        <f>IF(E6='RFPR cover'!$C$13,AVERAGE(('R9 - RAV'!E16*'R9 - RAV'!E36),'R9 - RAV'!E38),AVERAGE('R9 - RAV'!D38:E38))</f>
        <v>1264.2337653351665</v>
      </c>
      <c r="F56" s="740">
        <f>IF(F6='RFPR cover'!$C$13,AVERAGE(('R9 - RAV'!F16*'R9 - RAV'!F36),'R9 - RAV'!F38),AVERAGE('R9 - RAV'!E38:F38))</f>
        <v>1323.0084750500164</v>
      </c>
      <c r="G56" s="740">
        <f>IF(G6='RFPR cover'!$C$13,AVERAGE(('R9 - RAV'!G16*'R9 - RAV'!G36),'R9 - RAV'!G38),AVERAGE('R9 - RAV'!F38:G38))</f>
        <v>1373.7104285582905</v>
      </c>
      <c r="H56" s="740">
        <f>IF(H6='RFPR cover'!$C$13,AVERAGE(('R9 - RAV'!H16*'R9 - RAV'!H36),'R9 - RAV'!H38),AVERAGE('R9 - RAV'!G38:H38))</f>
        <v>1420.6102427603669</v>
      </c>
      <c r="I56" s="740">
        <f>IF(I6='RFPR cover'!$C$13,AVERAGE(('R9 - RAV'!I16*'R9 - RAV'!I36),'R9 - RAV'!I38),AVERAGE('R9 - RAV'!H38:I38))</f>
        <v>1470.4650082056678</v>
      </c>
      <c r="J56" s="740">
        <f>IF(J6='RFPR cover'!$C$13,AVERAGE(('R9 - RAV'!J16*'R9 - RAV'!J36),'R9 - RAV'!J38),AVERAGE('R9 - RAV'!I38:J38))</f>
        <v>1579.0483205279315</v>
      </c>
      <c r="K56" s="740">
        <f>IF(K6='RFPR cover'!$C$13,AVERAGE(('R9 - RAV'!K16*'R9 - RAV'!K36),'R9 - RAV'!K38),AVERAGE('R9 - RAV'!J38:K38))</f>
        <v>1764.6146211519206</v>
      </c>
    </row>
    <row r="57" spans="2:13">
      <c r="B57" t="s">
        <v>234</v>
      </c>
      <c r="C57" s="142" t="s">
        <v>7</v>
      </c>
      <c r="D57" s="209">
        <f>D54/D56</f>
        <v>0.5196175590661517</v>
      </c>
      <c r="E57" s="210">
        <f t="shared" ref="E57:K57" si="10">E54/E56</f>
        <v>0.50883390211418367</v>
      </c>
      <c r="F57" s="210">
        <f t="shared" si="10"/>
        <v>0.49560151152864818</v>
      </c>
      <c r="G57" s="210">
        <f t="shared" si="10"/>
        <v>0.4986567661999321</v>
      </c>
      <c r="H57" s="210">
        <f t="shared" si="10"/>
        <v>0.51444579002537727</v>
      </c>
      <c r="I57" s="210">
        <f t="shared" si="10"/>
        <v>0.53858640242068934</v>
      </c>
      <c r="J57" s="210">
        <f t="shared" si="10"/>
        <v>0.52336872105579213</v>
      </c>
      <c r="K57" s="211">
        <f t="shared" si="10"/>
        <v>0.46848493711809669</v>
      </c>
    </row>
    <row r="58" spans="2:13">
      <c r="B58" t="s">
        <v>115</v>
      </c>
      <c r="C58" s="142" t="s">
        <v>7</v>
      </c>
      <c r="D58" s="741">
        <f>'RFPR cover'!$C$12</f>
        <v>0.65</v>
      </c>
      <c r="E58" s="742">
        <f>'RFPR cover'!$C$12</f>
        <v>0.65</v>
      </c>
      <c r="F58" s="742">
        <f>'RFPR cover'!$C$12</f>
        <v>0.65</v>
      </c>
      <c r="G58" s="742">
        <f>'RFPR cover'!$C$12</f>
        <v>0.65</v>
      </c>
      <c r="H58" s="742">
        <f>'RFPR cover'!$C$12</f>
        <v>0.65</v>
      </c>
      <c r="I58" s="742">
        <f>'RFPR cover'!$C$12</f>
        <v>0.65</v>
      </c>
      <c r="J58" s="742">
        <f>'RFPR cover'!$C$12</f>
        <v>0.65</v>
      </c>
      <c r="K58" s="743">
        <f>'RFPR cover'!$C$12</f>
        <v>0.65</v>
      </c>
    </row>
    <row r="59" spans="2:13">
      <c r="B59" t="s">
        <v>235</v>
      </c>
      <c r="C59" s="142" t="s">
        <v>7</v>
      </c>
      <c r="D59" s="213">
        <f t="shared" ref="D59:K59" si="11">IF(ISBLANK(D23),"n/a",D57-D58)</f>
        <v>-0.13038244093384832</v>
      </c>
      <c r="E59" s="214">
        <f t="shared" si="11"/>
        <v>-0.14116609788581636</v>
      </c>
      <c r="F59" s="214">
        <f t="shared" si="11"/>
        <v>-0.15439848847135185</v>
      </c>
      <c r="G59" s="214">
        <f t="shared" si="11"/>
        <v>-0.15134323380006792</v>
      </c>
      <c r="H59" s="214">
        <f t="shared" si="11"/>
        <v>-0.13555420997462275</v>
      </c>
      <c r="I59" s="214">
        <f t="shared" si="11"/>
        <v>-0.11141359757931069</v>
      </c>
      <c r="J59" s="214">
        <f t="shared" si="11"/>
        <v>-0.12663127894420789</v>
      </c>
      <c r="K59" s="215">
        <f t="shared" si="11"/>
        <v>-0.18151506288190333</v>
      </c>
    </row>
    <row r="61" spans="2:13">
      <c r="B61" t="s">
        <v>513</v>
      </c>
      <c r="C61" s="57" t="str">
        <f>'RFPR cover'!$C$14</f>
        <v>£m 12/13</v>
      </c>
      <c r="D61" s="626">
        <f t="shared" ref="D61:K61" si="12">D63*D57</f>
        <v>582.40169152731596</v>
      </c>
      <c r="E61" s="619">
        <f t="shared" si="12"/>
        <v>581.93138326309372</v>
      </c>
      <c r="F61" s="619">
        <f t="shared" si="12"/>
        <v>574.29586936705778</v>
      </c>
      <c r="G61" s="619">
        <f t="shared" si="12"/>
        <v>582.63808875533709</v>
      </c>
      <c r="H61" s="619">
        <f t="shared" si="12"/>
        <v>607.26550094698905</v>
      </c>
      <c r="I61" s="619">
        <f t="shared" si="12"/>
        <v>644.63256361057313</v>
      </c>
      <c r="J61" s="619">
        <f t="shared" si="12"/>
        <v>633.91155745314347</v>
      </c>
      <c r="K61" s="620">
        <f t="shared" si="12"/>
        <v>570.41060977610005</v>
      </c>
      <c r="M61" s="288"/>
    </row>
    <row r="62" spans="2:13">
      <c r="B62" t="s">
        <v>511</v>
      </c>
      <c r="C62" s="57" t="str">
        <f>'RFPR cover'!$C$14</f>
        <v>£m 12/13</v>
      </c>
      <c r="D62" s="583">
        <f>D63*(1-D57)</f>
        <v>538.4258889994062</v>
      </c>
      <c r="E62" s="584">
        <f t="shared" ref="E62:K62" si="13">E63*(1-E57)</f>
        <v>561.72547773848873</v>
      </c>
      <c r="F62" s="584">
        <f t="shared" si="13"/>
        <v>584.48967911862451</v>
      </c>
      <c r="G62" s="584">
        <f t="shared" si="13"/>
        <v>585.77699802949439</v>
      </c>
      <c r="H62" s="584">
        <f t="shared" si="13"/>
        <v>573.16111099405339</v>
      </c>
      <c r="I62" s="584">
        <f t="shared" si="13"/>
        <v>552.26464863477293</v>
      </c>
      <c r="J62" s="584">
        <f t="shared" si="13"/>
        <v>577.30251008676066</v>
      </c>
      <c r="K62" s="585">
        <f t="shared" si="13"/>
        <v>647.1538508552344</v>
      </c>
      <c r="M62" s="288"/>
    </row>
    <row r="63" spans="2:13">
      <c r="B63" t="s">
        <v>512</v>
      </c>
      <c r="C63" s="57" t="str">
        <f>'RFPR cover'!$C$14</f>
        <v>£m 12/13</v>
      </c>
      <c r="D63" s="740">
        <f>'R9 - RAV'!D47</f>
        <v>1120.8275805267222</v>
      </c>
      <c r="E63" s="740">
        <f>'R9 - RAV'!E47</f>
        <v>1143.6568610015825</v>
      </c>
      <c r="F63" s="740">
        <f>'R9 - RAV'!F47</f>
        <v>1158.7855484856823</v>
      </c>
      <c r="G63" s="740">
        <f>'R9 - RAV'!G47</f>
        <v>1168.4150867848316</v>
      </c>
      <c r="H63" s="740">
        <f>'R9 - RAV'!H47</f>
        <v>1180.4266119410424</v>
      </c>
      <c r="I63" s="740">
        <f>'R9 - RAV'!I47</f>
        <v>1196.8972122453461</v>
      </c>
      <c r="J63" s="740">
        <f>'R9 - RAV'!J47</f>
        <v>1211.2140675399041</v>
      </c>
      <c r="K63" s="740">
        <f>'R9 - RAV'!K47</f>
        <v>1217.5644606313344</v>
      </c>
    </row>
    <row r="64" spans="2:13">
      <c r="B64" t="s">
        <v>234</v>
      </c>
      <c r="C64" s="142" t="s">
        <v>7</v>
      </c>
      <c r="D64" s="209">
        <f>D61/D63</f>
        <v>0.5196175590661517</v>
      </c>
      <c r="E64" s="210">
        <f t="shared" ref="E64:K64" si="14">E61/E63</f>
        <v>0.50883390211418367</v>
      </c>
      <c r="F64" s="210">
        <f t="shared" si="14"/>
        <v>0.49560151152864818</v>
      </c>
      <c r="G64" s="210">
        <f t="shared" si="14"/>
        <v>0.49865676619993204</v>
      </c>
      <c r="H64" s="210">
        <f t="shared" si="14"/>
        <v>0.51444579002537727</v>
      </c>
      <c r="I64" s="210">
        <f t="shared" si="14"/>
        <v>0.53858640242068934</v>
      </c>
      <c r="J64" s="210">
        <f t="shared" si="14"/>
        <v>0.52336872105579213</v>
      </c>
      <c r="K64" s="211">
        <f t="shared" si="14"/>
        <v>0.46848493711809669</v>
      </c>
    </row>
    <row r="65" spans="2:11">
      <c r="B65" t="s">
        <v>115</v>
      </c>
      <c r="C65" s="142" t="s">
        <v>7</v>
      </c>
      <c r="D65" s="741">
        <f>'RFPR cover'!$C$12</f>
        <v>0.65</v>
      </c>
      <c r="E65" s="742">
        <f>'RFPR cover'!$C$12</f>
        <v>0.65</v>
      </c>
      <c r="F65" s="742">
        <f>'RFPR cover'!$C$12</f>
        <v>0.65</v>
      </c>
      <c r="G65" s="742">
        <f>'RFPR cover'!$C$12</f>
        <v>0.65</v>
      </c>
      <c r="H65" s="742">
        <f>'RFPR cover'!$C$12</f>
        <v>0.65</v>
      </c>
      <c r="I65" s="742">
        <f>'RFPR cover'!$C$12</f>
        <v>0.65</v>
      </c>
      <c r="J65" s="742">
        <f>'RFPR cover'!$C$12</f>
        <v>0.65</v>
      </c>
      <c r="K65" s="743">
        <f>'RFPR cover'!$C$12</f>
        <v>0.65</v>
      </c>
    </row>
    <row r="66" spans="2:11">
      <c r="B66" t="s">
        <v>235</v>
      </c>
      <c r="C66" s="142" t="s">
        <v>7</v>
      </c>
      <c r="D66" s="213">
        <f t="shared" ref="D66:K66" si="15">IF(ISBLANK(D23),"n/a",D64-D65)</f>
        <v>-0.13038244093384832</v>
      </c>
      <c r="E66" s="214">
        <f t="shared" si="15"/>
        <v>-0.14116609788581636</v>
      </c>
      <c r="F66" s="214">
        <f t="shared" si="15"/>
        <v>-0.15439848847135185</v>
      </c>
      <c r="G66" s="214">
        <f t="shared" si="15"/>
        <v>-0.15134323380006798</v>
      </c>
      <c r="H66" s="214">
        <f t="shared" si="15"/>
        <v>-0.13555420997462275</v>
      </c>
      <c r="I66" s="214">
        <f t="shared" si="15"/>
        <v>-0.11141359757931069</v>
      </c>
      <c r="J66" s="214">
        <f t="shared" si="15"/>
        <v>-0.12663127894420789</v>
      </c>
      <c r="K66" s="215">
        <f t="shared" si="15"/>
        <v>-0.18151506288190333</v>
      </c>
    </row>
  </sheetData>
  <sheetProtection algorithmName="SHA-512" hashValue="aWdLzPxHbjJOqOpmlr3Ra9o6GeoUTkzCQEqtGfKtbLbk7fJ+YGl4cgKfv/GqKlWpRxAh7HxFr+GK65ZKqvjvsA==" saltValue="eJ32jjw02HHtQqLUNp5h2g==" spinCount="100000" sheet="1" objects="1" scenarios="1"/>
  <conditionalFormatting sqref="D5:K6">
    <cfRule type="expression" dxfId="24"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100.15234375" customWidth="1"/>
    <col min="3" max="3" width="14.15234375" style="183" customWidth="1"/>
    <col min="4" max="11" width="11.15234375" customWidth="1"/>
    <col min="12" max="12" width="5" customWidth="1"/>
    <col min="14" max="14" width="13.3828125" style="181" bestFit="1" customWidth="1"/>
  </cols>
  <sheetData>
    <row r="1" spans="1:14" ht="20">
      <c r="A1" s="769" t="s">
        <v>120</v>
      </c>
      <c r="B1" s="795"/>
      <c r="C1" s="348"/>
      <c r="D1" s="111"/>
      <c r="E1" s="111"/>
      <c r="F1" s="111"/>
      <c r="G1" s="111"/>
      <c r="H1" s="111"/>
      <c r="I1" s="117"/>
      <c r="J1" s="117"/>
      <c r="K1" s="118"/>
      <c r="L1" s="319"/>
    </row>
    <row r="2" spans="1:14" ht="20">
      <c r="A2" s="772" t="str">
        <f>'RFPR cover'!C5</f>
        <v>NPgN</v>
      </c>
      <c r="B2" s="764"/>
      <c r="C2" s="201"/>
      <c r="D2" s="29"/>
      <c r="E2" s="29"/>
      <c r="F2" s="29"/>
      <c r="G2" s="29"/>
      <c r="H2" s="29"/>
      <c r="I2" s="27"/>
      <c r="J2" s="27"/>
      <c r="K2" s="27"/>
      <c r="L2" s="114"/>
    </row>
    <row r="3" spans="1:14" ht="20">
      <c r="A3" s="774">
        <f>'RFPR cover'!C7</f>
        <v>2023</v>
      </c>
      <c r="B3" s="781"/>
      <c r="C3" s="349"/>
      <c r="D3" s="235"/>
      <c r="E3" s="235"/>
      <c r="F3" s="235"/>
      <c r="G3" s="235"/>
      <c r="H3" s="235"/>
      <c r="I3" s="230"/>
      <c r="J3" s="230"/>
      <c r="K3" s="230"/>
      <c r="L3" s="236"/>
    </row>
    <row r="4" spans="1:14" s="2" customFormat="1" ht="12.75" customHeight="1">
      <c r="C4" s="1"/>
      <c r="N4" s="120"/>
    </row>
    <row r="5" spans="1:14" s="2" customFormat="1">
      <c r="B5" s="35"/>
      <c r="C5" s="202"/>
      <c r="D5" s="343" t="str">
        <f>IF(D6&lt;='RFPR cover'!$C$7-1,"Actuals","Forecast")</f>
        <v>Actuals</v>
      </c>
      <c r="E5" s="343" t="str">
        <f>IF(E6&lt;='RFPR cover'!$C$7-1,"Actuals","Forecast")</f>
        <v>Actuals</v>
      </c>
      <c r="F5" s="343" t="str">
        <f>IF(F6&lt;='RFPR cover'!$C$7-1,"Actuals","Forecast")</f>
        <v>Actuals</v>
      </c>
      <c r="G5" s="343" t="str">
        <f>IF(G6&lt;='RFPR cover'!$C$7-1,"Actuals","Forecast")</f>
        <v>Actuals</v>
      </c>
      <c r="H5" s="343" t="str">
        <f>IF(H6&lt;='RFPR cover'!$C$7-1,"Actuals","Forecast")</f>
        <v>Actuals</v>
      </c>
      <c r="I5" s="343" t="str">
        <f>IF(I6&lt;='RFPR cover'!$C$7-1,"Actuals","Forecast")</f>
        <v>Actuals</v>
      </c>
      <c r="J5" s="343" t="str">
        <f>IF(J6&lt;='RFPR cover'!$C$7-1,"Actuals","Forecast")</f>
        <v>Actuals</v>
      </c>
      <c r="K5" s="343" t="str">
        <f>IF(K6&lt;='RFPR cover'!$C$7-1,"Actuals","Forecast")</f>
        <v>Forecast</v>
      </c>
      <c r="N5" s="120"/>
    </row>
    <row r="6" spans="1:14" s="2" customFormat="1">
      <c r="C6" s="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c r="N6" s="120"/>
    </row>
    <row r="7" spans="1:14" s="2" customFormat="1">
      <c r="C7" s="1"/>
      <c r="D7" s="378"/>
      <c r="E7" s="378"/>
      <c r="F7" s="378"/>
      <c r="G7" s="378"/>
      <c r="H7" s="378"/>
      <c r="I7" s="378"/>
      <c r="J7" s="378"/>
      <c r="K7" s="378"/>
      <c r="N7" s="120"/>
    </row>
    <row r="8" spans="1:14" s="2" customFormat="1">
      <c r="B8" s="12" t="s">
        <v>320</v>
      </c>
      <c r="N8" s="120"/>
    </row>
    <row r="9" spans="1:14" s="2" customFormat="1">
      <c r="B9" s="322" t="s">
        <v>319</v>
      </c>
      <c r="C9" s="322"/>
      <c r="D9" s="322"/>
      <c r="E9" s="322"/>
      <c r="F9" s="322"/>
      <c r="G9" s="322"/>
      <c r="H9" s="322"/>
      <c r="I9" s="322"/>
      <c r="J9" s="322"/>
      <c r="K9" s="322"/>
      <c r="L9" s="322"/>
      <c r="N9" s="120"/>
    </row>
    <row r="10" spans="1:14" s="2" customFormat="1">
      <c r="B10" s="377"/>
      <c r="C10" s="377"/>
      <c r="D10" s="377"/>
      <c r="E10" s="377"/>
      <c r="F10" s="377"/>
      <c r="G10" s="377"/>
      <c r="H10" s="377"/>
      <c r="I10" s="377"/>
      <c r="J10" s="377"/>
      <c r="K10" s="377"/>
      <c r="L10" s="377"/>
      <c r="N10" s="120"/>
    </row>
    <row r="11" spans="1:14" s="2" customFormat="1">
      <c r="B11" t="s">
        <v>318</v>
      </c>
      <c r="C11" s="192" t="str">
        <f>'RFPR cover'!$C$14</f>
        <v>£m 12/13</v>
      </c>
      <c r="D11" s="629">
        <v>1154.2605587515752</v>
      </c>
      <c r="E11" s="629">
        <v>1174.6702059378208</v>
      </c>
      <c r="F11" s="629">
        <v>1183.9138895082826</v>
      </c>
      <c r="G11" s="629">
        <v>1192.7898937456434</v>
      </c>
      <c r="H11" s="629">
        <v>1207.3219386623271</v>
      </c>
      <c r="I11" s="629">
        <v>1225.1158946917947</v>
      </c>
      <c r="J11" s="629">
        <v>1235.0543906556763</v>
      </c>
      <c r="K11" s="629">
        <v>1249.1163866983268</v>
      </c>
      <c r="N11" s="120"/>
    </row>
    <row r="12" spans="1:14" s="2" customFormat="1">
      <c r="N12" s="120"/>
    </row>
    <row r="13" spans="1:14" s="2" customFormat="1">
      <c r="B13" s="12" t="s">
        <v>321</v>
      </c>
      <c r="C13" s="1"/>
      <c r="D13" s="1"/>
      <c r="E13" s="1"/>
      <c r="F13" s="1"/>
      <c r="G13" s="1"/>
      <c r="H13" s="1"/>
      <c r="I13" s="1"/>
      <c r="J13" s="1"/>
      <c r="K13" s="1"/>
      <c r="N13" s="120"/>
    </row>
    <row r="14" spans="1:14" s="2" customFormat="1">
      <c r="B14" s="322" t="s">
        <v>343</v>
      </c>
      <c r="C14" s="287"/>
      <c r="D14" s="287"/>
      <c r="E14" s="287"/>
      <c r="F14" s="287"/>
      <c r="G14" s="287"/>
      <c r="H14" s="287"/>
      <c r="I14" s="287"/>
      <c r="J14" s="287"/>
      <c r="K14" s="287"/>
      <c r="L14" s="261"/>
      <c r="N14" s="120"/>
    </row>
    <row r="15" spans="1:14" s="2" customFormat="1">
      <c r="B15" s="377"/>
      <c r="C15" s="1"/>
      <c r="D15" s="1"/>
      <c r="E15" s="1"/>
      <c r="F15" s="1"/>
      <c r="G15" s="1"/>
      <c r="H15" s="1"/>
      <c r="I15" s="1"/>
      <c r="J15" s="1"/>
      <c r="K15" s="1"/>
      <c r="N15" s="120"/>
    </row>
    <row r="16" spans="1:14" s="2" customFormat="1">
      <c r="B16" s="2" t="s">
        <v>322</v>
      </c>
      <c r="C16" s="192" t="str">
        <f>'RFPR cover'!$C$14</f>
        <v>£m 12/13</v>
      </c>
      <c r="D16" s="506">
        <v>1129.1952822479839</v>
      </c>
      <c r="E16" s="630">
        <f>D29</f>
        <v>1154.2605587515752</v>
      </c>
      <c r="F16" s="630">
        <f t="shared" ref="F16:K16" si="1">E29</f>
        <v>1174.6702059378208</v>
      </c>
      <c r="G16" s="630">
        <f t="shared" si="1"/>
        <v>1183.9138895082826</v>
      </c>
      <c r="H16" s="630">
        <f t="shared" si="1"/>
        <v>1192.7898937456434</v>
      </c>
      <c r="I16" s="630">
        <f t="shared" si="1"/>
        <v>1207.3219386623271</v>
      </c>
      <c r="J16" s="630">
        <f t="shared" si="1"/>
        <v>1225.1158946917947</v>
      </c>
      <c r="K16" s="509">
        <f t="shared" si="1"/>
        <v>1235.063495327448</v>
      </c>
      <c r="N16" s="120"/>
    </row>
    <row r="17" spans="2:14" s="2" customFormat="1">
      <c r="B17" s="2" t="s">
        <v>323</v>
      </c>
      <c r="C17" s="192" t="str">
        <f>'RFPR cover'!$C$14</f>
        <v>£m 12/13</v>
      </c>
      <c r="D17" s="514"/>
      <c r="E17" s="515"/>
      <c r="F17" s="515"/>
      <c r="G17" s="515"/>
      <c r="H17" s="515"/>
      <c r="I17" s="515"/>
      <c r="J17" s="515"/>
      <c r="K17" s="600"/>
      <c r="N17" s="120"/>
    </row>
    <row r="18" spans="2:14" s="2" customFormat="1">
      <c r="B18" s="12" t="s">
        <v>324</v>
      </c>
      <c r="C18" s="192" t="str">
        <f>'RFPR cover'!$C$14</f>
        <v>£m 12/13</v>
      </c>
      <c r="D18" s="631">
        <f>SUM(D16:D17)</f>
        <v>1129.1952822479839</v>
      </c>
      <c r="E18" s="632">
        <f t="shared" ref="E18:K18" si="2">SUM(E16:E17)</f>
        <v>1154.2605587515752</v>
      </c>
      <c r="F18" s="632">
        <f t="shared" si="2"/>
        <v>1174.6702059378208</v>
      </c>
      <c r="G18" s="632">
        <f t="shared" si="2"/>
        <v>1183.9138895082826</v>
      </c>
      <c r="H18" s="632">
        <f t="shared" si="2"/>
        <v>1192.7898937456434</v>
      </c>
      <c r="I18" s="632">
        <f t="shared" si="2"/>
        <v>1207.3219386623271</v>
      </c>
      <c r="J18" s="632">
        <f t="shared" si="2"/>
        <v>1225.1158946917947</v>
      </c>
      <c r="K18" s="633">
        <f t="shared" si="2"/>
        <v>1235.063495327448</v>
      </c>
      <c r="N18" s="120"/>
    </row>
    <row r="19" spans="2:14" s="2" customFormat="1">
      <c r="B19" s="346" t="s">
        <v>325</v>
      </c>
      <c r="C19" s="192" t="str">
        <f>'RFPR cover'!$C$14</f>
        <v>£m 12/13</v>
      </c>
      <c r="D19" s="510">
        <v>126.58775840512381</v>
      </c>
      <c r="E19" s="510">
        <v>124.17844099711739</v>
      </c>
      <c r="F19" s="510">
        <v>114.28422728217147</v>
      </c>
      <c r="G19" s="510">
        <v>114.63324579607378</v>
      </c>
      <c r="H19" s="510">
        <v>120.43227595041046</v>
      </c>
      <c r="I19" s="510">
        <v>114.56142393659987</v>
      </c>
      <c r="J19" s="510">
        <v>105.96993964087631</v>
      </c>
      <c r="K19" s="510">
        <v>104.75344487634146</v>
      </c>
      <c r="N19" s="120"/>
    </row>
    <row r="20" spans="2:14" s="2" customFormat="1">
      <c r="B20" s="346" t="s">
        <v>332</v>
      </c>
      <c r="C20" s="192" t="str">
        <f>'RFPR cover'!$C$14</f>
        <v>£m 12/13</v>
      </c>
      <c r="D20" s="514">
        <f>SUM('R4 - Totex'!D22:D24,'R4 - Totex'!D26)*Data!$C$48*(1-'R4 - Totex'!D16)</f>
        <v>0</v>
      </c>
      <c r="E20" s="514">
        <f>SUM('R4 - Totex'!E22:E24,'R4 - Totex'!E26)*Data!$C$48*(1-'R4 - Totex'!E16)</f>
        <v>0</v>
      </c>
      <c r="F20" s="514">
        <f>SUM('R4 - Totex'!F22:F24,'R4 - Totex'!F26)*Data!$C$48*(1-'R4 - Totex'!F16)</f>
        <v>0</v>
      </c>
      <c r="G20" s="514">
        <f>SUM('R4 - Totex'!G22:G24,'R4 - Totex'!G26)*Data!$C$48*(1-'R4 - Totex'!G16)</f>
        <v>0</v>
      </c>
      <c r="H20" s="514">
        <f>SUM('R4 - Totex'!H22:H24,'R4 - Totex'!H26)*Data!$C$48*(1-'R4 - Totex'!H16)</f>
        <v>0</v>
      </c>
      <c r="I20" s="514">
        <f>SUM('R4 - Totex'!I22:I24,'R4 - Totex'!I26)*Data!$C$48*(1-'R4 - Totex'!I16)</f>
        <v>0</v>
      </c>
      <c r="J20" s="514">
        <f>SUM('R4 - Totex'!J22:J24,'R4 - Totex'!J26)*Data!$C$48*(1-'R4 - Totex'!J16)</f>
        <v>9.6476476622207406E-3</v>
      </c>
      <c r="K20" s="514">
        <f>SUM('R4 - Totex'!K22:K24,'R4 - Totex'!K26)*Data!$C$48*(1-'R4 - Totex'!K16)</f>
        <v>-8.9129291795916004</v>
      </c>
      <c r="N20" s="120"/>
    </row>
    <row r="21" spans="2:14" s="2" customFormat="1">
      <c r="B21" s="345" t="s">
        <v>328</v>
      </c>
      <c r="C21" s="192" t="str">
        <f>'RFPR cover'!$C$14</f>
        <v>£m 12/13</v>
      </c>
      <c r="D21" s="631">
        <f t="shared" ref="D21:K21" si="3">SUM(D19:D20)</f>
        <v>126.58775840512381</v>
      </c>
      <c r="E21" s="632">
        <f t="shared" si="3"/>
        <v>124.17844099711739</v>
      </c>
      <c r="F21" s="632">
        <f t="shared" si="3"/>
        <v>114.28422728217147</v>
      </c>
      <c r="G21" s="632">
        <f t="shared" si="3"/>
        <v>114.63324579607378</v>
      </c>
      <c r="H21" s="632">
        <f t="shared" si="3"/>
        <v>120.43227595041046</v>
      </c>
      <c r="I21" s="632">
        <f t="shared" si="3"/>
        <v>114.56142393659987</v>
      </c>
      <c r="J21" s="632">
        <f t="shared" si="3"/>
        <v>105.97958728853853</v>
      </c>
      <c r="K21" s="633">
        <f t="shared" si="3"/>
        <v>95.840515696749861</v>
      </c>
      <c r="N21" s="120"/>
    </row>
    <row r="22" spans="2:14" s="2" customFormat="1">
      <c r="B22" s="346" t="s">
        <v>326</v>
      </c>
      <c r="C22" s="192" t="str">
        <f>'RFPR cover'!$C$14</f>
        <v>£m 12/13</v>
      </c>
      <c r="D22" s="510">
        <v>-101.5224819015324</v>
      </c>
      <c r="E22" s="510">
        <v>-103.7687938108717</v>
      </c>
      <c r="F22" s="510">
        <v>-105.04054371170966</v>
      </c>
      <c r="G22" s="510">
        <v>-105.75724155871306</v>
      </c>
      <c r="H22" s="510">
        <v>-105.90023103372688</v>
      </c>
      <c r="I22" s="510">
        <v>-96.767467907132172</v>
      </c>
      <c r="J22" s="510">
        <v>-96.031986652885166</v>
      </c>
      <c r="K22" s="510">
        <v>-94.404368367583444</v>
      </c>
      <c r="N22" s="120"/>
    </row>
    <row r="23" spans="2:14" s="2" customFormat="1">
      <c r="B23" s="346" t="s">
        <v>327</v>
      </c>
      <c r="C23" s="192" t="str">
        <f>'RFPR cover'!$C$14</f>
        <v>£m 12/13</v>
      </c>
      <c r="D23" s="514">
        <v>0</v>
      </c>
      <c r="E23" s="514">
        <v>0</v>
      </c>
      <c r="F23" s="514">
        <v>0</v>
      </c>
      <c r="G23" s="514">
        <v>0</v>
      </c>
      <c r="H23" s="514">
        <v>0</v>
      </c>
      <c r="I23" s="514">
        <v>0</v>
      </c>
      <c r="J23" s="514">
        <v>0</v>
      </c>
      <c r="K23" s="514">
        <v>-2.3038999999999999E-4</v>
      </c>
      <c r="N23" s="120"/>
    </row>
    <row r="24" spans="2:14" s="2" customFormat="1">
      <c r="B24" s="345" t="s">
        <v>329</v>
      </c>
      <c r="C24" s="192" t="str">
        <f>'RFPR cover'!$C$14</f>
        <v>£m 12/13</v>
      </c>
      <c r="D24" s="631">
        <f t="shared" ref="D24:K24" si="4">SUM(D22:D23)</f>
        <v>-101.5224819015324</v>
      </c>
      <c r="E24" s="632">
        <f t="shared" si="4"/>
        <v>-103.7687938108717</v>
      </c>
      <c r="F24" s="632">
        <f t="shared" si="4"/>
        <v>-105.04054371170966</v>
      </c>
      <c r="G24" s="632">
        <f t="shared" si="4"/>
        <v>-105.75724155871306</v>
      </c>
      <c r="H24" s="632">
        <f t="shared" si="4"/>
        <v>-105.90023103372688</v>
      </c>
      <c r="I24" s="632">
        <f t="shared" si="4"/>
        <v>-96.767467907132172</v>
      </c>
      <c r="J24" s="632">
        <f t="shared" si="4"/>
        <v>-96.031986652885166</v>
      </c>
      <c r="K24" s="633">
        <f t="shared" si="4"/>
        <v>-94.404598757583443</v>
      </c>
      <c r="N24" s="120"/>
    </row>
    <row r="25" spans="2:14" s="2" customFormat="1">
      <c r="B25" s="347" t="s">
        <v>267</v>
      </c>
      <c r="C25" s="192" t="str">
        <f>'RFPR cover'!$C$14</f>
        <v>£m 12/13</v>
      </c>
      <c r="D25" s="634"/>
      <c r="E25" s="635"/>
      <c r="F25" s="635"/>
      <c r="G25" s="635"/>
      <c r="H25" s="635"/>
      <c r="I25" s="635"/>
      <c r="J25" s="635"/>
      <c r="K25" s="636"/>
      <c r="N25" s="120"/>
    </row>
    <row r="26" spans="2:14" s="2" customFormat="1">
      <c r="B26" s="347" t="s">
        <v>267</v>
      </c>
      <c r="C26" s="192" t="str">
        <f>'RFPR cover'!$C$14</f>
        <v>£m 12/13</v>
      </c>
      <c r="D26" s="634"/>
      <c r="E26" s="635"/>
      <c r="F26" s="635"/>
      <c r="G26" s="635"/>
      <c r="H26" s="635"/>
      <c r="I26" s="635"/>
      <c r="J26" s="635"/>
      <c r="K26" s="636"/>
      <c r="N26" s="120"/>
    </row>
    <row r="27" spans="2:14" s="2" customFormat="1">
      <c r="B27" s="347" t="s">
        <v>267</v>
      </c>
      <c r="C27" s="192" t="str">
        <f>'RFPR cover'!$C$14</f>
        <v>£m 12/13</v>
      </c>
      <c r="D27" s="634"/>
      <c r="E27" s="635"/>
      <c r="F27" s="635"/>
      <c r="G27" s="635"/>
      <c r="H27" s="635"/>
      <c r="I27" s="635"/>
      <c r="J27" s="635"/>
      <c r="K27" s="636"/>
      <c r="N27" s="120"/>
    </row>
    <row r="28" spans="2:14" s="2" customFormat="1">
      <c r="B28" s="345" t="s">
        <v>330</v>
      </c>
      <c r="C28" s="192" t="str">
        <f>'RFPR cover'!$C$14</f>
        <v>£m 12/13</v>
      </c>
      <c r="D28" s="637">
        <f>SUM(D25:D27)</f>
        <v>0</v>
      </c>
      <c r="E28" s="638">
        <f t="shared" ref="E28:K28" si="5">SUM(E25:E27)</f>
        <v>0</v>
      </c>
      <c r="F28" s="638">
        <f t="shared" si="5"/>
        <v>0</v>
      </c>
      <c r="G28" s="638">
        <f t="shared" si="5"/>
        <v>0</v>
      </c>
      <c r="H28" s="638">
        <f t="shared" si="5"/>
        <v>0</v>
      </c>
      <c r="I28" s="638">
        <f t="shared" si="5"/>
        <v>0</v>
      </c>
      <c r="J28" s="638">
        <f t="shared" si="5"/>
        <v>0</v>
      </c>
      <c r="K28" s="639">
        <f t="shared" si="5"/>
        <v>0</v>
      </c>
      <c r="N28" s="120"/>
    </row>
    <row r="29" spans="2:14" s="2" customFormat="1">
      <c r="B29" s="12" t="s">
        <v>331</v>
      </c>
      <c r="C29" s="192" t="str">
        <f>'RFPR cover'!$C$14</f>
        <v>£m 12/13</v>
      </c>
      <c r="D29" s="640">
        <f>D18+D21+D24+D28</f>
        <v>1154.2605587515752</v>
      </c>
      <c r="E29" s="641">
        <f t="shared" ref="E29:K29" si="6">E18+E21+E24+E28</f>
        <v>1174.6702059378208</v>
      </c>
      <c r="F29" s="641">
        <f t="shared" si="6"/>
        <v>1183.9138895082826</v>
      </c>
      <c r="G29" s="641">
        <f t="shared" si="6"/>
        <v>1192.7898937456434</v>
      </c>
      <c r="H29" s="641">
        <f t="shared" si="6"/>
        <v>1207.3219386623271</v>
      </c>
      <c r="I29" s="641">
        <f t="shared" si="6"/>
        <v>1225.1158946917947</v>
      </c>
      <c r="J29" s="641">
        <f t="shared" si="6"/>
        <v>1235.063495327448</v>
      </c>
      <c r="K29" s="642">
        <f t="shared" si="6"/>
        <v>1236.4994122666144</v>
      </c>
      <c r="M29" s="805"/>
      <c r="N29" s="120"/>
    </row>
    <row r="30" spans="2:14" s="2" customFormat="1">
      <c r="B30" s="12"/>
      <c r="C30" s="192"/>
      <c r="D30" s="192"/>
      <c r="E30" s="192"/>
      <c r="F30" s="192"/>
      <c r="G30" s="192"/>
      <c r="H30" s="192"/>
      <c r="I30" s="192"/>
      <c r="J30" s="192"/>
      <c r="K30" s="192"/>
      <c r="L30" s="192"/>
      <c r="N30" s="120"/>
    </row>
    <row r="31" spans="2:14" s="2" customFormat="1">
      <c r="B31" s="12" t="s">
        <v>509</v>
      </c>
      <c r="C31" s="192" t="str">
        <f>'RFPR cover'!$C$14</f>
        <v>£m 12/13</v>
      </c>
      <c r="D31" s="640">
        <f t="shared" ref="D31:K31" si="7">(D20+D23+D28)</f>
        <v>0</v>
      </c>
      <c r="E31" s="640">
        <f t="shared" si="7"/>
        <v>0</v>
      </c>
      <c r="F31" s="640">
        <f t="shared" si="7"/>
        <v>0</v>
      </c>
      <c r="G31" s="640">
        <f t="shared" si="7"/>
        <v>0</v>
      </c>
      <c r="H31" s="640">
        <f t="shared" si="7"/>
        <v>0</v>
      </c>
      <c r="I31" s="640">
        <f t="shared" si="7"/>
        <v>0</v>
      </c>
      <c r="J31" s="640">
        <f t="shared" si="7"/>
        <v>9.6476476622207406E-3</v>
      </c>
      <c r="K31" s="640">
        <f t="shared" si="7"/>
        <v>-8.9131595695916008</v>
      </c>
      <c r="L31" s="192"/>
      <c r="N31" s="120"/>
    </row>
    <row r="32" spans="2:14" s="2" customFormat="1">
      <c r="B32" s="12" t="s">
        <v>510</v>
      </c>
      <c r="C32" s="192"/>
      <c r="D32" s="443" t="str">
        <f>IF(D5="Actuals",IF(ABS((D29-SUM($D$31:D31))-D11)&lt;'RFPR cover'!$F$14,"TRUE","FALSE"),"NA")</f>
        <v>TRUE</v>
      </c>
      <c r="E32" s="443" t="str">
        <f>IF(E5="Actuals",IF(ABS((E29-SUM($D$31:E31))-E11)&lt;'RFPR cover'!$F$14,"TRUE","FALSE"),"NA")</f>
        <v>TRUE</v>
      </c>
      <c r="F32" s="443" t="str">
        <f>IF(F5="Actuals",IF(ABS((F29-SUM($D$31:F31))-F11)&lt;'RFPR cover'!$F$14,"TRUE","FALSE"),"NA")</f>
        <v>TRUE</v>
      </c>
      <c r="G32" s="443" t="str">
        <f>IF(G5="Actuals",IF(ABS((G29-SUM($D$31:G31))-G11)&lt;'RFPR cover'!$F$14,"TRUE","FALSE"),"NA")</f>
        <v>TRUE</v>
      </c>
      <c r="H32" s="443" t="str">
        <f>IF(H5="Actuals",IF(ABS((H29-SUM($D$31:H31))-H11)&lt;'RFPR cover'!$F$14,"TRUE","FALSE"),"NA")</f>
        <v>TRUE</v>
      </c>
      <c r="I32" s="443" t="str">
        <f>IF(I5="Actuals",IF(ABS((I29-SUM($D$31:I31))-I11)&lt;'RFPR cover'!$F$14,"TRUE","FALSE"),"NA")</f>
        <v>TRUE</v>
      </c>
      <c r="J32" s="443" t="str">
        <f>IF(J5="Actuals",IF(ABS((J29-SUM($D$31:J31))-J11)&lt;'RFPR cover'!$F$14,"TRUE","FALSE"),"NA")</f>
        <v>TRUE</v>
      </c>
      <c r="K32" s="443" t="str">
        <f>IF(K5="Actuals",IF(ABS((K29-SUM($D$31:K31))-K11)&lt;'RFPR cover'!$F$14,"TRUE","FALSE"),"NA")</f>
        <v>NA</v>
      </c>
      <c r="L32" s="192"/>
      <c r="N32" s="120"/>
    </row>
    <row r="33" spans="2:14" s="2" customFormat="1">
      <c r="B33" s="12"/>
      <c r="C33" s="192"/>
      <c r="D33" s="416"/>
      <c r="E33" s="416"/>
      <c r="F33" s="416"/>
      <c r="G33" s="416"/>
      <c r="H33" s="416"/>
      <c r="I33" s="416"/>
      <c r="J33" s="416"/>
      <c r="K33" s="416"/>
      <c r="N33" s="120"/>
    </row>
    <row r="34" spans="2:14" s="2" customFormat="1">
      <c r="B34" s="12" t="s">
        <v>42</v>
      </c>
      <c r="C34" s="183" t="s">
        <v>126</v>
      </c>
      <c r="D34" s="103">
        <f>Data!C$35</f>
        <v>1.0677429242873198</v>
      </c>
      <c r="E34" s="103">
        <f>Data!D$35</f>
        <v>1.1033002963114336</v>
      </c>
      <c r="F34" s="103">
        <f>Data!E$35</f>
        <v>1.1402881373250229</v>
      </c>
      <c r="G34" s="103">
        <f>Data!F$35</f>
        <v>1.171554102380709</v>
      </c>
      <c r="H34" s="103">
        <f>Data!G$35</f>
        <v>1.1958720752017984</v>
      </c>
      <c r="I34" s="103">
        <f>Data!H$35</f>
        <v>1.2220292224379279</v>
      </c>
      <c r="J34" s="103">
        <f>Data!I$35</f>
        <v>1.3448452028200675</v>
      </c>
      <c r="K34" s="103">
        <f>Data!J$35</f>
        <v>1.5109267395524675</v>
      </c>
      <c r="N34" s="120"/>
    </row>
    <row r="35" spans="2:14">
      <c r="B35" t="s">
        <v>376</v>
      </c>
      <c r="C35" s="183" t="s">
        <v>126</v>
      </c>
      <c r="D35" s="103">
        <f>Data!C$34</f>
        <v>1.0603167467048125</v>
      </c>
      <c r="E35" s="104">
        <f>Data!D$34</f>
        <v>1.0830366813119445</v>
      </c>
      <c r="F35" s="104">
        <f>Data!E$34</f>
        <v>1.1235639113109226</v>
      </c>
      <c r="G35" s="104">
        <f>Data!F$34</f>
        <v>1.1578951670583426</v>
      </c>
      <c r="H35" s="104">
        <f>Data!G$34</f>
        <v>1.1878696229692449</v>
      </c>
      <c r="I35" s="104">
        <f>Data!H$34</f>
        <v>1.2022764892203943</v>
      </c>
      <c r="J35" s="104">
        <f>Data!I$34</f>
        <v>1.2717196280780627</v>
      </c>
      <c r="K35" s="105">
        <f>Data!J$34</f>
        <v>1.4354429345049555</v>
      </c>
      <c r="L35" s="14"/>
    </row>
    <row r="36" spans="2:14">
      <c r="B36" s="2" t="s">
        <v>507</v>
      </c>
      <c r="C36" s="183" t="s">
        <v>126</v>
      </c>
      <c r="D36" s="738">
        <f>INDEX(Data!$F$14:$F$30,MATCH($D$6-1,Data!$C$14:$C$30,0),0)/IF('RFPR cover'!$C$6="ED1",Data!$E$17,Data!$E$14)</f>
        <v>1.0526208235414325</v>
      </c>
      <c r="E36" s="739"/>
      <c r="F36" s="739"/>
      <c r="G36" s="739"/>
      <c r="H36" s="739"/>
      <c r="I36" s="739"/>
      <c r="J36" s="739"/>
      <c r="K36" s="739"/>
      <c r="L36" s="14"/>
    </row>
    <row r="37" spans="2:14" s="2" customFormat="1">
      <c r="B37" s="12"/>
      <c r="C37" s="192"/>
      <c r="D37" s="416"/>
      <c r="E37" s="416"/>
      <c r="F37" s="416"/>
      <c r="G37" s="416"/>
      <c r="H37" s="416"/>
      <c r="I37" s="416"/>
      <c r="J37" s="416"/>
      <c r="K37" s="416"/>
      <c r="N37" s="120"/>
    </row>
    <row r="38" spans="2:14" s="2" customFormat="1">
      <c r="B38" s="12" t="s">
        <v>331</v>
      </c>
      <c r="C38" s="142" t="s">
        <v>127</v>
      </c>
      <c r="D38" s="640">
        <f t="shared" ref="D38:K38" si="8">D29*D34</f>
        <v>1232.4535443909226</v>
      </c>
      <c r="E38" s="640">
        <f t="shared" si="8"/>
        <v>1296.0139862794103</v>
      </c>
      <c r="F38" s="640">
        <f t="shared" si="8"/>
        <v>1350.0029638206227</v>
      </c>
      <c r="G38" s="640">
        <f t="shared" si="8"/>
        <v>1397.4178932959585</v>
      </c>
      <c r="H38" s="640">
        <f t="shared" si="8"/>
        <v>1443.8025922247755</v>
      </c>
      <c r="I38" s="640">
        <f t="shared" si="8"/>
        <v>1497.1274241865601</v>
      </c>
      <c r="J38" s="640">
        <f t="shared" si="8"/>
        <v>1660.9692168693032</v>
      </c>
      <c r="K38" s="640">
        <f t="shared" si="8"/>
        <v>1868.260025434538</v>
      </c>
      <c r="N38" s="120"/>
    </row>
    <row r="39" spans="2:14" s="2" customFormat="1">
      <c r="B39" s="12"/>
      <c r="C39" s="192"/>
      <c r="D39" s="192"/>
      <c r="E39" s="192"/>
      <c r="F39" s="192"/>
      <c r="G39" s="192"/>
      <c r="H39" s="192"/>
      <c r="I39" s="192"/>
      <c r="J39" s="192"/>
      <c r="K39" s="192"/>
      <c r="N39" s="120"/>
    </row>
    <row r="40" spans="2:14" s="2" customFormat="1">
      <c r="B40" s="120" t="s">
        <v>334</v>
      </c>
      <c r="C40" s="192" t="s">
        <v>337</v>
      </c>
      <c r="D40" s="358">
        <f>INDEX(Data!$K$73:$T$100,MATCH('RFPR cover'!$C$5,Data!$B$73:$B$100,0),MATCH('R9 - RAV'!D$6,Data!$K$72:$T$72,0))</f>
        <v>2.5499999999999998E-2</v>
      </c>
      <c r="E40" s="359">
        <f>INDEX(Data!$K$73:$T$100,MATCH('RFPR cover'!$C$5,Data!$B$73:$B$100,0),MATCH('R9 - RAV'!E$6,Data!$K$72:$T$72,0))</f>
        <v>2.4199999999999999E-2</v>
      </c>
      <c r="F40" s="359">
        <f>INDEX(Data!$K$73:$T$100,MATCH('RFPR cover'!$C$5,Data!$B$73:$B$100,0),MATCH('R9 - RAV'!F$6,Data!$K$72:$T$72,0))</f>
        <v>2.29E-2</v>
      </c>
      <c r="G40" s="359">
        <f>INDEX(Data!$K$73:$T$100,MATCH('RFPR cover'!$C$5,Data!$B$73:$B$100,0),MATCH('R9 - RAV'!G$6,Data!$K$72:$T$72,0))</f>
        <v>2.0899999999999998E-2</v>
      </c>
      <c r="H40" s="359">
        <f>INDEX(Data!$K$73:$T$100,MATCH('RFPR cover'!$C$5,Data!$B$73:$B$100,0),MATCH('R9 - RAV'!H$6,Data!$K$72:$T$72,0))</f>
        <v>1.9400000000000001E-2</v>
      </c>
      <c r="I40" s="359">
        <f>INDEX(Data!$K$73:$T$100,MATCH('RFPR cover'!$C$5,Data!$B$73:$B$100,0),MATCH('R9 - RAV'!I$6,Data!$K$72:$T$72,0))</f>
        <v>1.78E-2</v>
      </c>
      <c r="J40" s="359">
        <f>INDEX(Data!$K$73:$T$100,MATCH('RFPR cover'!$C$5,Data!$B$73:$B$100,0),MATCH('R9 - RAV'!J$6,Data!$K$72:$T$72,0))</f>
        <v>1.6199999999999999E-2</v>
      </c>
      <c r="K40" s="360">
        <f>INDEX(Data!$K$73:$T$100,MATCH('RFPR cover'!$C$5,Data!$B$73:$B$100,0),MATCH('R9 - RAV'!K$6,Data!$K$72:$T$72,0))</f>
        <v>1.44E-2</v>
      </c>
      <c r="N40" s="120"/>
    </row>
    <row r="41" spans="2:14" s="2" customFormat="1">
      <c r="B41" s="120" t="s">
        <v>335</v>
      </c>
      <c r="C41" s="192" t="s">
        <v>337</v>
      </c>
      <c r="D41" s="361">
        <f>'RFPR cover'!$C$10</f>
        <v>0.06</v>
      </c>
      <c r="E41" s="362">
        <f>'RFPR cover'!$C$10</f>
        <v>0.06</v>
      </c>
      <c r="F41" s="362">
        <f>'RFPR cover'!$C$10</f>
        <v>0.06</v>
      </c>
      <c r="G41" s="362">
        <f>'RFPR cover'!$C$10</f>
        <v>0.06</v>
      </c>
      <c r="H41" s="362">
        <f>'RFPR cover'!$C$10</f>
        <v>0.06</v>
      </c>
      <c r="I41" s="362">
        <f>'RFPR cover'!$C$10</f>
        <v>0.06</v>
      </c>
      <c r="J41" s="362">
        <f>'RFPR cover'!$C$10</f>
        <v>0.06</v>
      </c>
      <c r="K41" s="363">
        <f>'RFPR cover'!$C$10</f>
        <v>0.06</v>
      </c>
      <c r="N41" s="120"/>
    </row>
    <row r="42" spans="2:14" s="2" customFormat="1">
      <c r="B42" s="120" t="s">
        <v>336</v>
      </c>
      <c r="C42" s="192" t="s">
        <v>7</v>
      </c>
      <c r="D42" s="364">
        <f>'RFPR cover'!$C$12</f>
        <v>0.65</v>
      </c>
      <c r="E42" s="365">
        <f>'RFPR cover'!$C$12</f>
        <v>0.65</v>
      </c>
      <c r="F42" s="365">
        <f>'RFPR cover'!$C$12</f>
        <v>0.65</v>
      </c>
      <c r="G42" s="365">
        <f>'RFPR cover'!$C$12</f>
        <v>0.65</v>
      </c>
      <c r="H42" s="365">
        <f>'RFPR cover'!$C$12</f>
        <v>0.65</v>
      </c>
      <c r="I42" s="365">
        <f>'RFPR cover'!$C$12</f>
        <v>0.65</v>
      </c>
      <c r="J42" s="365">
        <f>'RFPR cover'!$C$12</f>
        <v>0.65</v>
      </c>
      <c r="K42" s="366">
        <f>'RFPR cover'!$C$12</f>
        <v>0.65</v>
      </c>
      <c r="N42" s="120"/>
    </row>
    <row r="43" spans="2:14">
      <c r="B43" t="s">
        <v>272</v>
      </c>
      <c r="C43" s="192" t="s">
        <v>337</v>
      </c>
      <c r="D43" s="355">
        <f t="shared" ref="D43:K43" si="9">D40*D42+D41*(1-D42)</f>
        <v>3.7574999999999997E-2</v>
      </c>
      <c r="E43" s="356">
        <f t="shared" si="9"/>
        <v>3.6729999999999999E-2</v>
      </c>
      <c r="F43" s="356">
        <f t="shared" si="9"/>
        <v>3.5885E-2</v>
      </c>
      <c r="G43" s="356">
        <f t="shared" si="9"/>
        <v>3.4584999999999998E-2</v>
      </c>
      <c r="H43" s="356">
        <f t="shared" si="9"/>
        <v>3.3610000000000001E-2</v>
      </c>
      <c r="I43" s="356">
        <f t="shared" si="9"/>
        <v>3.2570000000000002E-2</v>
      </c>
      <c r="J43" s="356">
        <f t="shared" si="9"/>
        <v>3.1529999999999996E-2</v>
      </c>
      <c r="K43" s="357">
        <f t="shared" si="9"/>
        <v>3.0359999999999998E-2</v>
      </c>
      <c r="L43" s="193"/>
    </row>
    <row r="44" spans="2:14">
      <c r="C44" s="203"/>
      <c r="D44" s="198"/>
      <c r="E44" s="198"/>
      <c r="F44" s="198"/>
      <c r="G44" s="198"/>
      <c r="H44" s="198"/>
      <c r="I44" s="198"/>
      <c r="J44" s="198"/>
      <c r="K44" s="198"/>
    </row>
    <row r="45" spans="2:14">
      <c r="B45" s="181" t="s">
        <v>338</v>
      </c>
      <c r="C45" s="192" t="str">
        <f>'RFPR cover'!$C$14</f>
        <v>£m 12/13</v>
      </c>
      <c r="D45" s="86">
        <f t="shared" ref="D45:K45" si="10">D47*D42</f>
        <v>728.53792734236947</v>
      </c>
      <c r="E45" s="87">
        <f t="shared" si="10"/>
        <v>743.37695965102864</v>
      </c>
      <c r="F45" s="87">
        <f t="shared" si="10"/>
        <v>753.21060651569348</v>
      </c>
      <c r="G45" s="87">
        <f t="shared" si="10"/>
        <v>759.46980641014056</v>
      </c>
      <c r="H45" s="87">
        <f t="shared" si="10"/>
        <v>767.27729776167757</v>
      </c>
      <c r="I45" s="87">
        <f t="shared" si="10"/>
        <v>777.983187959475</v>
      </c>
      <c r="J45" s="87">
        <f t="shared" si="10"/>
        <v>787.28914390093769</v>
      </c>
      <c r="K45" s="88">
        <f t="shared" si="10"/>
        <v>791.41689941036736</v>
      </c>
    </row>
    <row r="46" spans="2:14">
      <c r="B46" s="181" t="s">
        <v>231</v>
      </c>
      <c r="C46" s="192" t="str">
        <f>'RFPR cover'!$C$14</f>
        <v>£m 12/13</v>
      </c>
      <c r="D46" s="448">
        <f t="shared" ref="D46:K46" si="11">D47*(1-D42)</f>
        <v>392.28965318435274</v>
      </c>
      <c r="E46" s="449">
        <f t="shared" si="11"/>
        <v>400.27990135055381</v>
      </c>
      <c r="F46" s="449">
        <f t="shared" si="11"/>
        <v>405.5749419699888</v>
      </c>
      <c r="G46" s="449">
        <f t="shared" si="11"/>
        <v>408.94528037469104</v>
      </c>
      <c r="H46" s="449">
        <f t="shared" si="11"/>
        <v>413.14931417936481</v>
      </c>
      <c r="I46" s="449">
        <f t="shared" si="11"/>
        <v>418.91402428587111</v>
      </c>
      <c r="J46" s="449">
        <f t="shared" si="11"/>
        <v>423.92492363896645</v>
      </c>
      <c r="K46" s="450">
        <f t="shared" si="11"/>
        <v>426.14756122096702</v>
      </c>
    </row>
    <row r="47" spans="2:14">
      <c r="B47" t="s">
        <v>230</v>
      </c>
      <c r="C47" s="192" t="str">
        <f>'RFPR cover'!$C$14</f>
        <v>£m 12/13</v>
      </c>
      <c r="D47" s="93">
        <f t="shared" ref="D47:K47" si="12">AVERAGE(D16,D29*(1/(1+D43)))</f>
        <v>1120.8275805267222</v>
      </c>
      <c r="E47" s="94">
        <f t="shared" si="12"/>
        <v>1143.6568610015825</v>
      </c>
      <c r="F47" s="94">
        <f t="shared" si="12"/>
        <v>1158.7855484856823</v>
      </c>
      <c r="G47" s="94">
        <f t="shared" si="12"/>
        <v>1168.4150867848316</v>
      </c>
      <c r="H47" s="94">
        <f t="shared" si="12"/>
        <v>1180.4266119410424</v>
      </c>
      <c r="I47" s="94">
        <f t="shared" si="12"/>
        <v>1196.8972122453461</v>
      </c>
      <c r="J47" s="94">
        <f t="shared" si="12"/>
        <v>1211.2140675399041</v>
      </c>
      <c r="K47" s="95">
        <f t="shared" si="12"/>
        <v>1217.5644606313344</v>
      </c>
      <c r="N47" s="194"/>
    </row>
    <row r="48" spans="2:14">
      <c r="C48" s="192"/>
      <c r="D48" s="192"/>
      <c r="E48" s="192"/>
      <c r="F48" s="192"/>
      <c r="G48" s="192"/>
      <c r="H48" s="192"/>
      <c r="I48" s="192"/>
      <c r="J48" s="192"/>
      <c r="K48" s="192"/>
      <c r="N48" s="194"/>
    </row>
    <row r="49" spans="2:14">
      <c r="B49" s="181" t="s">
        <v>339</v>
      </c>
      <c r="C49" s="192" t="str">
        <f>'RFPR cover'!$C$14</f>
        <v>£m 12/13</v>
      </c>
      <c r="D49" s="643">
        <f>D40*D45</f>
        <v>18.57771714723042</v>
      </c>
      <c r="E49" s="644">
        <f t="shared" ref="D49:K50" si="13">E40*E45</f>
        <v>17.989722423554891</v>
      </c>
      <c r="F49" s="644">
        <f t="shared" si="13"/>
        <v>17.248522889209379</v>
      </c>
      <c r="G49" s="644">
        <f t="shared" si="13"/>
        <v>15.872918953971936</v>
      </c>
      <c r="H49" s="644">
        <f t="shared" si="13"/>
        <v>14.885179576576546</v>
      </c>
      <c r="I49" s="644">
        <f t="shared" si="13"/>
        <v>13.848100745678655</v>
      </c>
      <c r="J49" s="644">
        <f t="shared" si="13"/>
        <v>12.75408413119519</v>
      </c>
      <c r="K49" s="645">
        <f t="shared" si="13"/>
        <v>11.39640335150929</v>
      </c>
    </row>
    <row r="50" spans="2:14">
      <c r="B50" s="181" t="s">
        <v>228</v>
      </c>
      <c r="C50" s="192" t="str">
        <f>'RFPR cover'!$C$14</f>
        <v>£m 12/13</v>
      </c>
      <c r="D50" s="83">
        <f t="shared" si="13"/>
        <v>23.537379191061163</v>
      </c>
      <c r="E50" s="84">
        <f t="shared" si="13"/>
        <v>24.016794081033229</v>
      </c>
      <c r="F50" s="84">
        <f t="shared" si="13"/>
        <v>24.334496518199327</v>
      </c>
      <c r="G50" s="84">
        <f t="shared" si="13"/>
        <v>24.536716822481463</v>
      </c>
      <c r="H50" s="84">
        <f t="shared" si="13"/>
        <v>24.788958850761887</v>
      </c>
      <c r="I50" s="84">
        <f t="shared" si="13"/>
        <v>25.134841457152266</v>
      </c>
      <c r="J50" s="84">
        <f t="shared" si="13"/>
        <v>25.435495418337986</v>
      </c>
      <c r="K50" s="85">
        <f t="shared" si="13"/>
        <v>25.568853673258019</v>
      </c>
      <c r="N50" s="194"/>
    </row>
    <row r="51" spans="2:14">
      <c r="B51" t="s">
        <v>341</v>
      </c>
      <c r="C51" s="192" t="str">
        <f>'RFPR cover'!$C$14</f>
        <v>£m 12/13</v>
      </c>
      <c r="D51" s="93">
        <f>SUM(D49:D50)</f>
        <v>42.115096338291579</v>
      </c>
      <c r="E51" s="94">
        <f t="shared" ref="E51:K51" si="14">SUM(E49:E50)</f>
        <v>42.00651650458812</v>
      </c>
      <c r="F51" s="94">
        <f t="shared" si="14"/>
        <v>41.583019407408706</v>
      </c>
      <c r="G51" s="94">
        <f t="shared" si="14"/>
        <v>40.409635776453399</v>
      </c>
      <c r="H51" s="94">
        <f t="shared" si="14"/>
        <v>39.674138427338434</v>
      </c>
      <c r="I51" s="94">
        <f t="shared" si="14"/>
        <v>38.98294220283092</v>
      </c>
      <c r="J51" s="94">
        <f t="shared" si="14"/>
        <v>38.189579549533178</v>
      </c>
      <c r="K51" s="95">
        <f t="shared" si="14"/>
        <v>36.965257024767311</v>
      </c>
      <c r="N51" s="194"/>
    </row>
    <row r="53" spans="2:14">
      <c r="B53" s="181" t="s">
        <v>338</v>
      </c>
      <c r="C53" s="142" t="s">
        <v>127</v>
      </c>
      <c r="D53" s="86">
        <f t="shared" ref="D53:K54" si="15">D$35*D45</f>
        <v>772.48096497072822</v>
      </c>
      <c r="E53" s="87">
        <f t="shared" si="15"/>
        <v>805.10451534421338</v>
      </c>
      <c r="F53" s="87">
        <f t="shared" si="15"/>
        <v>846.28025509764484</v>
      </c>
      <c r="G53" s="87">
        <f t="shared" si="15"/>
        <v>879.38641836903685</v>
      </c>
      <c r="H53" s="87">
        <f t="shared" si="15"/>
        <v>911.42539440502503</v>
      </c>
      <c r="I53" s="87">
        <f t="shared" si="15"/>
        <v>935.35089589240772</v>
      </c>
      <c r="J53" s="87">
        <f t="shared" si="15"/>
        <v>1001.2110572715969</v>
      </c>
      <c r="K53" s="88">
        <f t="shared" si="15"/>
        <v>1136.0337965064309</v>
      </c>
      <c r="L53" s="14"/>
    </row>
    <row r="54" spans="2:14">
      <c r="B54" s="181" t="s">
        <v>231</v>
      </c>
      <c r="C54" s="142" t="s">
        <v>127</v>
      </c>
      <c r="D54" s="448">
        <f t="shared" si="15"/>
        <v>415.95128883039206</v>
      </c>
      <c r="E54" s="449">
        <f t="shared" si="15"/>
        <v>433.51781595457635</v>
      </c>
      <c r="F54" s="449">
        <f t="shared" si="15"/>
        <v>455.68936812950108</v>
      </c>
      <c r="G54" s="449">
        <f t="shared" si="15"/>
        <v>473.51576373717364</v>
      </c>
      <c r="H54" s="449">
        <f t="shared" si="15"/>
        <v>490.7675200642442</v>
      </c>
      <c r="I54" s="449">
        <f t="shared" si="15"/>
        <v>503.65048240360414</v>
      </c>
      <c r="J54" s="449">
        <f t="shared" si="15"/>
        <v>539.11364622316751</v>
      </c>
      <c r="K54" s="450">
        <f t="shared" si="15"/>
        <v>611.71050581115514</v>
      </c>
      <c r="L54" s="14"/>
    </row>
    <row r="55" spans="2:14">
      <c r="B55" t="s">
        <v>340</v>
      </c>
      <c r="C55" s="142" t="s">
        <v>127</v>
      </c>
      <c r="D55" s="646">
        <f>SUM(D53:D54)</f>
        <v>1188.4322538011202</v>
      </c>
      <c r="E55" s="647">
        <f t="shared" ref="E55:K55" si="16">SUM(E53:E54)</f>
        <v>1238.6223312987897</v>
      </c>
      <c r="F55" s="647">
        <f t="shared" si="16"/>
        <v>1301.9696232271458</v>
      </c>
      <c r="G55" s="647">
        <f t="shared" si="16"/>
        <v>1352.9021821062106</v>
      </c>
      <c r="H55" s="647">
        <f t="shared" si="16"/>
        <v>1402.1929144692692</v>
      </c>
      <c r="I55" s="647">
        <f t="shared" si="16"/>
        <v>1439.0013782960118</v>
      </c>
      <c r="J55" s="647">
        <f t="shared" si="16"/>
        <v>1540.3247034947644</v>
      </c>
      <c r="K55" s="648">
        <f t="shared" si="16"/>
        <v>1747.7443023175861</v>
      </c>
    </row>
    <row r="56" spans="2:14">
      <c r="C56" s="192"/>
      <c r="D56" s="192"/>
      <c r="E56" s="192"/>
      <c r="F56" s="192"/>
      <c r="G56" s="192"/>
      <c r="H56" s="192"/>
      <c r="I56" s="192"/>
      <c r="J56" s="192"/>
      <c r="K56" s="192"/>
      <c r="L56" s="14"/>
    </row>
    <row r="57" spans="2:14">
      <c r="B57" s="181" t="s">
        <v>339</v>
      </c>
      <c r="C57" s="142" t="s">
        <v>127</v>
      </c>
      <c r="D57" s="86">
        <f t="shared" ref="D57:K58" si="17">D$35*D49</f>
        <v>19.698264606753568</v>
      </c>
      <c r="E57" s="87">
        <f t="shared" si="17"/>
        <v>19.48352927132996</v>
      </c>
      <c r="F57" s="87">
        <f t="shared" si="17"/>
        <v>19.379817841736067</v>
      </c>
      <c r="G57" s="87">
        <f t="shared" si="17"/>
        <v>18.379176143912868</v>
      </c>
      <c r="H57" s="87">
        <f t="shared" si="17"/>
        <v>17.681652651457487</v>
      </c>
      <c r="I57" s="87">
        <f t="shared" si="17"/>
        <v>16.649245946884857</v>
      </c>
      <c r="J57" s="87">
        <f t="shared" si="17"/>
        <v>16.21961912779987</v>
      </c>
      <c r="K57" s="88">
        <f t="shared" si="17"/>
        <v>16.358886669692605</v>
      </c>
      <c r="L57" s="14"/>
    </row>
    <row r="58" spans="2:14">
      <c r="B58" s="181" t="s">
        <v>237</v>
      </c>
      <c r="C58" s="142" t="s">
        <v>127</v>
      </c>
      <c r="D58" s="649">
        <f t="shared" si="17"/>
        <v>24.957077329823523</v>
      </c>
      <c r="E58" s="650">
        <f t="shared" si="17"/>
        <v>26.011068957274581</v>
      </c>
      <c r="F58" s="650">
        <f t="shared" si="17"/>
        <v>27.341362087770062</v>
      </c>
      <c r="G58" s="650">
        <f t="shared" si="17"/>
        <v>28.410945824230417</v>
      </c>
      <c r="H58" s="650">
        <f t="shared" si="17"/>
        <v>29.446051203854648</v>
      </c>
      <c r="I58" s="650">
        <f t="shared" si="17"/>
        <v>30.219028944216248</v>
      </c>
      <c r="J58" s="650">
        <f t="shared" si="17"/>
        <v>32.346818773390055</v>
      </c>
      <c r="K58" s="651">
        <f t="shared" si="17"/>
        <v>36.702630348669302</v>
      </c>
    </row>
    <row r="59" spans="2:14">
      <c r="B59" t="s">
        <v>341</v>
      </c>
      <c r="C59" s="142" t="s">
        <v>127</v>
      </c>
      <c r="D59" s="93">
        <f t="shared" ref="D59:K59" si="18">SUM(D57:D58)</f>
        <v>44.655341936577088</v>
      </c>
      <c r="E59" s="94">
        <f t="shared" si="18"/>
        <v>45.494598228604545</v>
      </c>
      <c r="F59" s="94">
        <f t="shared" si="18"/>
        <v>46.721179929506128</v>
      </c>
      <c r="G59" s="94">
        <f t="shared" si="18"/>
        <v>46.790121968143282</v>
      </c>
      <c r="H59" s="94">
        <f t="shared" si="18"/>
        <v>47.127703855312134</v>
      </c>
      <c r="I59" s="94">
        <f t="shared" si="18"/>
        <v>46.868274891101109</v>
      </c>
      <c r="J59" s="94">
        <f t="shared" si="18"/>
        <v>48.566437901189929</v>
      </c>
      <c r="K59" s="95">
        <f t="shared" si="18"/>
        <v>53.061517018361911</v>
      </c>
    </row>
    <row r="60" spans="2:14">
      <c r="B60" s="14"/>
      <c r="C60" s="212"/>
      <c r="D60" s="212"/>
      <c r="E60" s="212"/>
      <c r="F60" s="212"/>
      <c r="G60" s="212"/>
      <c r="H60" s="212"/>
      <c r="I60" s="212"/>
      <c r="J60" s="212"/>
      <c r="K60" s="212"/>
    </row>
    <row r="61" spans="2:14">
      <c r="B61" s="14"/>
      <c r="C61" s="212"/>
      <c r="D61" s="212"/>
      <c r="E61" s="212"/>
      <c r="F61" s="212"/>
      <c r="G61" s="212"/>
      <c r="H61" s="212"/>
      <c r="I61" s="212"/>
      <c r="J61" s="212"/>
      <c r="K61" s="212"/>
    </row>
    <row r="62" spans="2:14">
      <c r="B62" s="14"/>
      <c r="C62" s="212"/>
      <c r="D62" s="212"/>
      <c r="E62" s="212"/>
      <c r="F62" s="212"/>
      <c r="G62" s="212"/>
      <c r="H62" s="212"/>
      <c r="I62" s="212"/>
      <c r="J62" s="212"/>
      <c r="K62" s="212"/>
    </row>
    <row r="63" spans="2:14">
      <c r="B63" s="14"/>
      <c r="C63" s="212"/>
      <c r="D63" s="212"/>
      <c r="E63" s="212"/>
      <c r="F63" s="212"/>
      <c r="G63" s="212"/>
      <c r="H63" s="212"/>
      <c r="I63" s="212"/>
      <c r="J63" s="212"/>
      <c r="K63" s="212"/>
    </row>
  </sheetData>
  <sheetProtection algorithmName="SHA-512" hashValue="AorpMU/Tc+a4frAR+n9oOIXref/T9qx+dWG5ehkYzbvZo//HyurjT8zIK5dc+imOYVgui19IzlQXyzo0KNiFaQ==" saltValue="GlLXZhQDaDCZW6rsgBeu8Q==" spinCount="100000" sheet="1" objects="1" scenarios="1"/>
  <conditionalFormatting sqref="D5:K6">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O103"/>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95.4609375" customWidth="1"/>
    <col min="3" max="3" width="14.15234375" customWidth="1"/>
    <col min="4" max="11" width="11.15234375" customWidth="1"/>
    <col min="12" max="12" width="5" customWidth="1"/>
  </cols>
  <sheetData>
    <row r="1" spans="1:13" ht="20">
      <c r="A1" s="782" t="s">
        <v>260</v>
      </c>
      <c r="B1" s="778"/>
      <c r="C1" s="231"/>
      <c r="D1" s="231"/>
      <c r="E1" s="231"/>
      <c r="F1" s="231"/>
      <c r="G1" s="231"/>
      <c r="H1" s="231"/>
      <c r="I1" s="232"/>
      <c r="J1" s="232"/>
      <c r="K1" s="233"/>
      <c r="L1" s="234"/>
    </row>
    <row r="2" spans="1:13" ht="20">
      <c r="A2" s="772" t="str">
        <f>'RFPR cover'!C5</f>
        <v>NPgN</v>
      </c>
      <c r="B2" s="764"/>
      <c r="C2" s="29"/>
      <c r="D2" s="29"/>
      <c r="E2" s="29"/>
      <c r="F2" s="29"/>
      <c r="G2" s="29"/>
      <c r="H2" s="29"/>
      <c r="I2" s="27"/>
      <c r="J2" s="27"/>
      <c r="K2" s="27"/>
      <c r="L2" s="114"/>
    </row>
    <row r="3" spans="1:13" ht="20">
      <c r="A3" s="774">
        <f>'RFPR cover'!C7</f>
        <v>2023</v>
      </c>
      <c r="B3" s="781"/>
      <c r="C3" s="235"/>
      <c r="D3" s="235"/>
      <c r="E3" s="235"/>
      <c r="F3" s="235"/>
      <c r="G3" s="235"/>
      <c r="H3" s="235"/>
      <c r="I3" s="230"/>
      <c r="J3" s="230"/>
      <c r="K3" s="230"/>
      <c r="L3" s="236"/>
    </row>
    <row r="4" spans="1:13" ht="12.75" customHeight="1">
      <c r="A4" s="237"/>
      <c r="B4" s="238"/>
      <c r="C4" s="237"/>
      <c r="D4" s="237"/>
      <c r="E4" s="237"/>
      <c r="F4" s="237"/>
      <c r="G4" s="237"/>
      <c r="H4" s="237"/>
      <c r="I4" s="239"/>
      <c r="J4" s="239"/>
      <c r="K4" s="239"/>
      <c r="L4" s="240"/>
      <c r="M4" s="238"/>
    </row>
    <row r="5" spans="1:13" s="2" customFormat="1">
      <c r="B5" s="3"/>
      <c r="C5" s="3"/>
      <c r="D5" s="342" t="str">
        <f>IF(D6&lt;=('RFPR cover'!$C$7-1),"Actuals","Forecast")</f>
        <v>Actuals</v>
      </c>
      <c r="E5" s="342" t="str">
        <f>IF(E6&lt;=('RFPR cover'!$C$7-1),"Actuals","Forecast")</f>
        <v>Actuals</v>
      </c>
      <c r="F5" s="342" t="str">
        <f>IF(F6&lt;=('RFPR cover'!$C$7-1),"Actuals","Forecast")</f>
        <v>Actuals</v>
      </c>
      <c r="G5" s="342" t="str">
        <f>IF(G6&lt;=('RFPR cover'!$C$7-1),"Actuals","Forecast")</f>
        <v>Actuals</v>
      </c>
      <c r="H5" s="342" t="str">
        <f>IF(H6&lt;=('RFPR cover'!$C$7-1),"Actuals","Forecast")</f>
        <v>Actuals</v>
      </c>
      <c r="I5" s="342" t="str">
        <f>IF(I6&lt;=('RFPR cover'!$C$7-1),"Actuals","Forecast")</f>
        <v>Actuals</v>
      </c>
      <c r="J5" s="342" t="str">
        <f>IF(J6&lt;=('RFPR cover'!$C$7-1),"Actuals","Forecast")</f>
        <v>Actuals</v>
      </c>
      <c r="K5" s="342" t="str">
        <f>IF(K6&lt;=('RFPR cover'!$C$7-1),"Actuals","Forecast")</f>
        <v>Forecast</v>
      </c>
    </row>
    <row r="6" spans="1:13" s="2" customFormat="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3" s="2" customFormat="1">
      <c r="D7" s="378"/>
      <c r="E7" s="378"/>
      <c r="F7" s="378"/>
      <c r="G7" s="378"/>
      <c r="H7" s="378"/>
      <c r="I7" s="378"/>
      <c r="J7" s="378"/>
      <c r="K7" s="378"/>
    </row>
    <row r="8" spans="1:13" s="2" customFormat="1">
      <c r="B8" s="322" t="s">
        <v>366</v>
      </c>
      <c r="C8" s="261"/>
      <c r="D8" s="261"/>
      <c r="E8" s="261"/>
      <c r="F8" s="261"/>
      <c r="G8" s="261"/>
      <c r="H8" s="261"/>
      <c r="I8" s="261"/>
      <c r="J8" s="261"/>
      <c r="K8" s="261"/>
      <c r="L8" s="261"/>
    </row>
    <row r="9" spans="1:13" s="2" customFormat="1">
      <c r="B9" s="322" t="s">
        <v>468</v>
      </c>
      <c r="C9" s="261"/>
      <c r="D9" s="261"/>
      <c r="E9" s="261"/>
      <c r="F9" s="261"/>
      <c r="G9" s="261"/>
      <c r="H9" s="261"/>
      <c r="I9" s="261"/>
      <c r="J9" s="261"/>
      <c r="K9" s="261"/>
      <c r="L9" s="261"/>
    </row>
    <row r="10" spans="1:13" s="2" customFormat="1">
      <c r="B10" s="322" t="s">
        <v>367</v>
      </c>
      <c r="C10" s="261"/>
      <c r="D10" s="261"/>
      <c r="E10" s="261"/>
      <c r="F10" s="261"/>
      <c r="G10" s="261"/>
      <c r="H10" s="261"/>
      <c r="I10" s="261"/>
      <c r="J10" s="261"/>
      <c r="K10" s="261"/>
      <c r="L10" s="261"/>
    </row>
    <row r="11" spans="1:13" s="2" customFormat="1">
      <c r="B11" s="377"/>
    </row>
    <row r="12" spans="1:13">
      <c r="B12" s="13" t="s">
        <v>531</v>
      </c>
      <c r="C12" s="142" t="s">
        <v>127</v>
      </c>
      <c r="D12" s="555">
        <v>24.401145915000004</v>
      </c>
      <c r="E12" s="556">
        <v>21.361662310000003</v>
      </c>
      <c r="F12" s="556">
        <v>17.335898222499999</v>
      </c>
      <c r="G12" s="556">
        <v>16.603630630000001</v>
      </c>
      <c r="H12" s="556">
        <v>17.379189960000001</v>
      </c>
      <c r="I12" s="556">
        <v>18.40862087</v>
      </c>
      <c r="J12" s="556">
        <v>24.076544310000003</v>
      </c>
      <c r="K12" s="557"/>
    </row>
    <row r="13" spans="1:13">
      <c r="B13" s="14"/>
      <c r="C13" s="14"/>
      <c r="D13" s="652"/>
      <c r="E13" s="652"/>
      <c r="F13" s="652"/>
      <c r="G13" s="652"/>
      <c r="H13" s="652"/>
      <c r="I13" s="652"/>
      <c r="J13" s="652"/>
      <c r="K13" s="652"/>
    </row>
    <row r="14" spans="1:13">
      <c r="B14" s="14" t="s">
        <v>467</v>
      </c>
      <c r="C14" s="142"/>
      <c r="D14" s="652"/>
      <c r="E14" s="652"/>
      <c r="F14" s="652"/>
      <c r="G14" s="652"/>
      <c r="H14" s="652"/>
      <c r="I14" s="652"/>
      <c r="J14" s="652"/>
      <c r="K14" s="652"/>
    </row>
    <row r="15" spans="1:13">
      <c r="B15" s="323" t="s">
        <v>489</v>
      </c>
      <c r="C15" s="142" t="s">
        <v>127</v>
      </c>
      <c r="D15" s="518">
        <v>0.75358993054463219</v>
      </c>
      <c r="E15" s="519">
        <v>0.82828421234103944</v>
      </c>
      <c r="F15" s="519">
        <v>0.73724576045973478</v>
      </c>
      <c r="G15" s="519">
        <v>1.1306690015286163</v>
      </c>
      <c r="H15" s="519">
        <v>1.2210089224996021</v>
      </c>
      <c r="I15" s="519">
        <v>1.299746959884903</v>
      </c>
      <c r="J15" s="519">
        <v>1.6396022474426939</v>
      </c>
      <c r="K15" s="529"/>
    </row>
    <row r="16" spans="1:13">
      <c r="B16" s="379" t="s">
        <v>22</v>
      </c>
      <c r="C16" s="142" t="s">
        <v>127</v>
      </c>
      <c r="D16" s="518"/>
      <c r="E16" s="519"/>
      <c r="F16" s="519"/>
      <c r="G16" s="519"/>
      <c r="H16" s="519"/>
      <c r="I16" s="519"/>
      <c r="J16" s="519"/>
      <c r="K16" s="529"/>
    </row>
    <row r="17" spans="2:15">
      <c r="B17" s="379" t="s">
        <v>22</v>
      </c>
      <c r="C17" s="142" t="s">
        <v>127</v>
      </c>
      <c r="D17" s="518"/>
      <c r="E17" s="519"/>
      <c r="F17" s="519"/>
      <c r="G17" s="519"/>
      <c r="H17" s="519"/>
      <c r="I17" s="519"/>
      <c r="J17" s="519"/>
      <c r="K17" s="529"/>
    </row>
    <row r="18" spans="2:15">
      <c r="B18" s="379" t="s">
        <v>22</v>
      </c>
      <c r="C18" s="142" t="s">
        <v>127</v>
      </c>
      <c r="D18" s="518"/>
      <c r="E18" s="519"/>
      <c r="F18" s="519"/>
      <c r="G18" s="519"/>
      <c r="H18" s="519"/>
      <c r="I18" s="519"/>
      <c r="J18" s="519"/>
      <c r="K18" s="529"/>
    </row>
    <row r="19" spans="2:15">
      <c r="B19" s="241" t="s">
        <v>368</v>
      </c>
      <c r="C19" s="142" t="s">
        <v>127</v>
      </c>
      <c r="D19" s="563">
        <f>SUM(D15:D18)</f>
        <v>0.75358993054463219</v>
      </c>
      <c r="E19" s="564">
        <f t="shared" ref="E19:K19" si="1">SUM(E15:E18)</f>
        <v>0.82828421234103944</v>
      </c>
      <c r="F19" s="564">
        <f t="shared" si="1"/>
        <v>0.73724576045973478</v>
      </c>
      <c r="G19" s="564">
        <f t="shared" si="1"/>
        <v>1.1306690015286163</v>
      </c>
      <c r="H19" s="564">
        <f t="shared" si="1"/>
        <v>1.2210089224996021</v>
      </c>
      <c r="I19" s="564">
        <f t="shared" si="1"/>
        <v>1.299746959884903</v>
      </c>
      <c r="J19" s="564">
        <f t="shared" si="1"/>
        <v>1.6396022474426939</v>
      </c>
      <c r="K19" s="565">
        <f t="shared" si="1"/>
        <v>0</v>
      </c>
    </row>
    <row r="20" spans="2:15">
      <c r="B20" s="323"/>
      <c r="C20" s="323"/>
      <c r="D20" s="653"/>
      <c r="E20" s="653"/>
      <c r="F20" s="653"/>
      <c r="G20" s="653"/>
      <c r="H20" s="653"/>
      <c r="I20" s="653"/>
      <c r="J20" s="653"/>
      <c r="K20" s="653"/>
      <c r="L20" s="323"/>
    </row>
    <row r="21" spans="2:15">
      <c r="B21" s="14" t="s">
        <v>330</v>
      </c>
      <c r="C21" s="142"/>
      <c r="D21" s="654"/>
      <c r="E21" s="654"/>
      <c r="F21" s="654"/>
      <c r="G21" s="654"/>
      <c r="H21" s="654"/>
      <c r="I21" s="654"/>
      <c r="J21" s="654"/>
      <c r="K21" s="654"/>
      <c r="L21" s="142"/>
    </row>
    <row r="22" spans="2:15">
      <c r="B22" s="323" t="s">
        <v>490</v>
      </c>
      <c r="C22" s="142" t="s">
        <v>127</v>
      </c>
      <c r="D22" s="727">
        <f>('R5 - Output Incentives'!D102)*INDEX(Data!$G$14:$G$30,MATCH('R10 - Tax'!D$6,Data!$C$14:$C$30,0),1)</f>
        <v>0.39192248582282924</v>
      </c>
      <c r="E22" s="728">
        <f>('R5 - Output Incentives'!E102)*INDEX(Data!$G$14:$G$30,MATCH('R10 - Tax'!E$6,Data!$C$14:$C$30,0),1)</f>
        <v>0.79185414533322318</v>
      </c>
      <c r="F22" s="728">
        <f>('R5 - Output Incentives'!F102)*INDEX(Data!$G$14:$G$30,MATCH('R10 - Tax'!F$6,Data!$C$14:$C$30,0),1)</f>
        <v>2.10222020572433</v>
      </c>
      <c r="G22" s="728">
        <f>('R5 - Output Incentives'!G102)*INDEX(Data!$G$14:$G$30,MATCH('R10 - Tax'!G$6,Data!$C$14:$C$30,0),1)</f>
        <v>2.7597671653367364</v>
      </c>
      <c r="H22" s="730">
        <f>('R5 - Output Incentives'!H102)*INDEX(Data!$G$14:$G$30,MATCH('R10 - Tax'!H$6,Data!$C$14:$C$30,0),1)</f>
        <v>2.6539493668060969</v>
      </c>
      <c r="I22" s="730">
        <f>('R5 - Output Incentives'!I102)*INDEX(Data!$G$14:$G$30,MATCH('R10 - Tax'!I$6,Data!$C$14:$C$30,0),1)</f>
        <v>1.9896931730529583</v>
      </c>
      <c r="J22" s="730">
        <f>('R5 - Output Incentives'!J102)*INDEX(Data!$G$14:$G$30,MATCH('R10 - Tax'!J$6,Data!$C$14:$C$30,0),1)</f>
        <v>2.4882134580454118</v>
      </c>
      <c r="K22" s="731">
        <f>('R5 - Output Incentives'!K102)*INDEX(Data!$G$14:$G$30,MATCH('R10 - Tax'!K$6,Data!$C$14:$C$30,0),1)</f>
        <v>3.2495146214890092</v>
      </c>
    </row>
    <row r="23" spans="2:15">
      <c r="B23" s="323" t="s">
        <v>491</v>
      </c>
      <c r="C23" s="142" t="s">
        <v>127</v>
      </c>
      <c r="D23" s="522">
        <f>('R4 - Totex'!D77-'R4 - Totex'!D79)*D53</f>
        <v>0</v>
      </c>
      <c r="E23" s="524">
        <f>('R4 - Totex'!E77-'R4 - Totex'!E79)*E53</f>
        <v>0</v>
      </c>
      <c r="F23" s="524">
        <f>('R4 - Totex'!F77-'R4 - Totex'!F79)*F53</f>
        <v>0</v>
      </c>
      <c r="G23" s="524">
        <f>('R4 - Totex'!G77-'R4 - Totex'!G79)*G53</f>
        <v>0</v>
      </c>
      <c r="H23" s="732">
        <f>('R4 - Totex'!H77-'R4 - Totex'!H79)*H53</f>
        <v>0</v>
      </c>
      <c r="I23" s="732">
        <f>('R4 - Totex'!I77-'R4 - Totex'!I79)*I53</f>
        <v>0</v>
      </c>
      <c r="J23" s="732">
        <f>('R4 - Totex'!J77-'R4 - Totex'!J79)*J53</f>
        <v>0</v>
      </c>
      <c r="K23" s="733">
        <f>('R4 - Totex'!K77-'R4 - Totex'!K79)*K53</f>
        <v>0</v>
      </c>
    </row>
    <row r="24" spans="2:15">
      <c r="B24" s="323" t="s">
        <v>492</v>
      </c>
      <c r="C24" s="142" t="s">
        <v>127</v>
      </c>
      <c r="D24" s="520">
        <v>3.2231592</v>
      </c>
      <c r="E24" s="521">
        <v>4.0386846582417064</v>
      </c>
      <c r="F24" s="521">
        <v>0.27723389162376383</v>
      </c>
      <c r="G24" s="521">
        <v>-0.35589530864452995</v>
      </c>
      <c r="H24" s="521">
        <v>0.47245033152698707</v>
      </c>
      <c r="I24" s="521">
        <v>2.8801715370855376</v>
      </c>
      <c r="J24" s="521">
        <v>2.1467163083026253</v>
      </c>
      <c r="K24" s="530"/>
      <c r="O24" s="808"/>
    </row>
    <row r="25" spans="2:15">
      <c r="B25" s="323" t="s">
        <v>493</v>
      </c>
      <c r="C25" s="142" t="s">
        <v>127</v>
      </c>
      <c r="D25" s="520">
        <v>1.4774727442491281E-3</v>
      </c>
      <c r="E25" s="521">
        <v>1.1352406625682299</v>
      </c>
      <c r="F25" s="521">
        <v>0.62031978011309596</v>
      </c>
      <c r="G25" s="521">
        <v>-0.18340645124257726</v>
      </c>
      <c r="H25" s="521">
        <v>-0.20913755057968814</v>
      </c>
      <c r="I25" s="521">
        <v>-0.22228305110573982</v>
      </c>
      <c r="J25" s="521">
        <v>2.5955954989300913</v>
      </c>
      <c r="K25" s="530"/>
      <c r="O25" s="808"/>
    </row>
    <row r="26" spans="2:15">
      <c r="B26" s="323" t="s">
        <v>494</v>
      </c>
      <c r="C26" s="142" t="s">
        <v>127</v>
      </c>
      <c r="D26" s="520">
        <v>-0.82160428650301132</v>
      </c>
      <c r="E26" s="521">
        <v>-0.53392488483283018</v>
      </c>
      <c r="F26" s="521">
        <v>-0.70462076398042639</v>
      </c>
      <c r="G26" s="521">
        <v>-0.5841264535417946</v>
      </c>
      <c r="H26" s="521">
        <v>-0.58479690365585579</v>
      </c>
      <c r="I26" s="521">
        <v>-0.64571350113065473</v>
      </c>
      <c r="J26" s="521">
        <v>0</v>
      </c>
      <c r="K26" s="530"/>
      <c r="O26" s="808"/>
    </row>
    <row r="27" spans="2:15">
      <c r="B27" s="323" t="s">
        <v>495</v>
      </c>
      <c r="C27" s="142" t="s">
        <v>127</v>
      </c>
      <c r="D27" s="520"/>
      <c r="E27" s="521"/>
      <c r="F27" s="521"/>
      <c r="G27" s="521"/>
      <c r="H27" s="521"/>
      <c r="I27" s="521"/>
      <c r="J27" s="521"/>
      <c r="K27" s="530"/>
    </row>
    <row r="28" spans="2:15">
      <c r="B28" s="323" t="s">
        <v>545</v>
      </c>
      <c r="C28" s="142" t="s">
        <v>127</v>
      </c>
      <c r="D28" s="520"/>
      <c r="E28" s="521"/>
      <c r="F28" s="521"/>
      <c r="G28" s="521"/>
      <c r="H28" s="521"/>
      <c r="I28" s="521"/>
      <c r="J28" s="521"/>
      <c r="K28" s="530"/>
    </row>
    <row r="29" spans="2:15" ht="16.5" customHeight="1">
      <c r="B29" s="798" t="s">
        <v>579</v>
      </c>
      <c r="C29" s="142" t="s">
        <v>127</v>
      </c>
      <c r="D29" s="520"/>
      <c r="E29" s="521"/>
      <c r="F29" s="521"/>
      <c r="G29" s="521"/>
      <c r="H29" s="521"/>
      <c r="I29" s="521"/>
      <c r="J29" s="521"/>
      <c r="K29" s="530"/>
    </row>
    <row r="30" spans="2:15" ht="30" customHeight="1">
      <c r="B30" s="797" t="s">
        <v>580</v>
      </c>
      <c r="C30" s="142" t="s">
        <v>127</v>
      </c>
      <c r="D30" s="520">
        <v>12.644768001349997</v>
      </c>
      <c r="E30" s="521">
        <v>9.300693929999996</v>
      </c>
      <c r="F30" s="521">
        <v>10.176355462000004</v>
      </c>
      <c r="G30" s="521">
        <v>9.0249496595000025</v>
      </c>
      <c r="H30" s="521">
        <v>8.1821988131999994</v>
      </c>
      <c r="I30" s="521">
        <v>8.6316009606000019</v>
      </c>
      <c r="J30" s="521">
        <v>9.688775598200003</v>
      </c>
      <c r="K30" s="530"/>
      <c r="O30" s="808"/>
    </row>
    <row r="31" spans="2:15" ht="25.5" customHeight="1">
      <c r="B31" s="797" t="s">
        <v>581</v>
      </c>
      <c r="C31" s="142" t="s">
        <v>127</v>
      </c>
      <c r="D31" s="520">
        <v>-9.300693929999996</v>
      </c>
      <c r="E31" s="521">
        <v>-10.176355462000004</v>
      </c>
      <c r="F31" s="521">
        <v>-9.0249496595000025</v>
      </c>
      <c r="G31" s="521">
        <v>-8.1821988131999994</v>
      </c>
      <c r="H31" s="521">
        <v>-8.6316009606000019</v>
      </c>
      <c r="I31" s="521">
        <v>-9.688775598200003</v>
      </c>
      <c r="J31" s="521">
        <v>-9.189481711800001</v>
      </c>
      <c r="K31" s="530"/>
      <c r="O31" s="808"/>
    </row>
    <row r="32" spans="2:15">
      <c r="B32" s="798" t="s">
        <v>330</v>
      </c>
      <c r="C32" s="142" t="s">
        <v>127</v>
      </c>
      <c r="D32" s="520"/>
      <c r="E32" s="521"/>
      <c r="F32" s="521"/>
      <c r="G32" s="521"/>
      <c r="H32" s="521"/>
      <c r="I32" s="521"/>
      <c r="J32" s="521"/>
      <c r="K32" s="530"/>
    </row>
    <row r="33" spans="2:15">
      <c r="B33" s="379" t="s">
        <v>582</v>
      </c>
      <c r="C33" s="142" t="s">
        <v>127</v>
      </c>
      <c r="D33" s="531">
        <v>-1.6805967735396194</v>
      </c>
      <c r="E33" s="532">
        <v>-0.55613844644200194</v>
      </c>
      <c r="F33" s="532">
        <v>0</v>
      </c>
      <c r="G33" s="532">
        <v>0</v>
      </c>
      <c r="H33" s="532">
        <v>0</v>
      </c>
      <c r="I33" s="532">
        <v>0</v>
      </c>
      <c r="J33" s="532">
        <v>0</v>
      </c>
      <c r="K33" s="533"/>
      <c r="O33" s="808"/>
    </row>
    <row r="34" spans="2:15">
      <c r="B34" s="379" t="s">
        <v>583</v>
      </c>
      <c r="C34" s="142" t="s">
        <v>127</v>
      </c>
      <c r="D34" s="531">
        <v>0.23244185250127455</v>
      </c>
      <c r="E34" s="532">
        <v>-0.16541091073121891</v>
      </c>
      <c r="F34" s="532">
        <v>0.25129121384012126</v>
      </c>
      <c r="G34" s="532">
        <v>0.2679260501198083</v>
      </c>
      <c r="H34" s="532">
        <v>0.28409996429091888</v>
      </c>
      <c r="I34" s="532">
        <v>0.29691098122541248</v>
      </c>
      <c r="J34" s="532">
        <v>0.32396279948627177</v>
      </c>
      <c r="K34" s="533"/>
      <c r="O34" s="808"/>
    </row>
    <row r="35" spans="2:15">
      <c r="B35" s="379" t="s">
        <v>584</v>
      </c>
      <c r="C35" s="142" t="s">
        <v>127</v>
      </c>
      <c r="D35" s="531">
        <v>-0.51582544012579701</v>
      </c>
      <c r="E35" s="532">
        <v>-0.49374204748833067</v>
      </c>
      <c r="F35" s="532">
        <v>-0.54324150887875367</v>
      </c>
      <c r="G35" s="532">
        <v>-0.5457726976068028</v>
      </c>
      <c r="H35" s="532">
        <v>-0.71216743030654139</v>
      </c>
      <c r="I35" s="532">
        <v>-0.66083007052487142</v>
      </c>
      <c r="J35" s="532">
        <v>-0.76614058961899301</v>
      </c>
      <c r="K35" s="533"/>
      <c r="O35" s="808"/>
    </row>
    <row r="36" spans="2:15">
      <c r="B36" s="379" t="s">
        <v>585</v>
      </c>
      <c r="C36" s="142" t="s">
        <v>127</v>
      </c>
      <c r="D36" s="531">
        <v>-0.11525948400000002</v>
      </c>
      <c r="E36" s="532">
        <v>-0.16538740800000001</v>
      </c>
      <c r="F36" s="532">
        <v>-0.1208211444</v>
      </c>
      <c r="G36" s="532">
        <v>-0.29987987469999999</v>
      </c>
      <c r="H36" s="532">
        <v>-0.2457155734</v>
      </c>
      <c r="I36" s="532">
        <v>-9.9974407099999982E-2</v>
      </c>
      <c r="J36" s="532">
        <v>-2.9189485243000002</v>
      </c>
      <c r="K36" s="533"/>
      <c r="O36" s="808"/>
    </row>
    <row r="37" spans="2:15">
      <c r="B37" s="379" t="s">
        <v>586</v>
      </c>
      <c r="C37" s="142" t="s">
        <v>127</v>
      </c>
      <c r="D37" s="531">
        <v>-1.2650494906033228E-2</v>
      </c>
      <c r="E37" s="532">
        <v>-1.2331281822172246E-2</v>
      </c>
      <c r="F37" s="532">
        <v>-3.3779026089782019E-2</v>
      </c>
      <c r="G37" s="532">
        <v>-3.5074786612656124E-2</v>
      </c>
      <c r="H37" s="532">
        <v>-3.3886718938971022E-2</v>
      </c>
      <c r="I37" s="532">
        <v>-3.5395645264789659E-2</v>
      </c>
      <c r="J37" s="532">
        <v>-1.389331703240795E-2</v>
      </c>
      <c r="K37" s="533"/>
      <c r="O37" s="808"/>
    </row>
    <row r="38" spans="2:15">
      <c r="B38" s="379" t="s">
        <v>587</v>
      </c>
      <c r="C38" s="142" t="s">
        <v>127</v>
      </c>
      <c r="D38" s="531">
        <v>0.3200758115000002</v>
      </c>
      <c r="E38" s="532">
        <v>1.1679591999999999E-2</v>
      </c>
      <c r="F38" s="532">
        <v>5.3530087000000018E-3</v>
      </c>
      <c r="G38" s="532">
        <v>-7.7606506999999963E-3</v>
      </c>
      <c r="H38" s="532">
        <v>-2.3174812999999985E-3</v>
      </c>
      <c r="I38" s="532">
        <v>7.5999999973874743E-9</v>
      </c>
      <c r="J38" s="532">
        <v>7.0942029000000007E-3</v>
      </c>
      <c r="K38" s="533"/>
      <c r="O38" s="808"/>
    </row>
    <row r="39" spans="2:15">
      <c r="B39" s="379" t="s">
        <v>588</v>
      </c>
      <c r="C39" s="142" t="s">
        <v>127</v>
      </c>
      <c r="D39" s="531">
        <v>-0.50863422585341433</v>
      </c>
      <c r="E39" s="532">
        <v>-0.72778957031751679</v>
      </c>
      <c r="F39" s="532">
        <v>-0.76754906116445742</v>
      </c>
      <c r="G39" s="532">
        <v>-0.84017601023169353</v>
      </c>
      <c r="H39" s="532">
        <v>-0.65929706488034789</v>
      </c>
      <c r="I39" s="532">
        <v>-0.67031150525858096</v>
      </c>
      <c r="J39" s="532">
        <v>-0.82247844301056994</v>
      </c>
      <c r="K39" s="533"/>
      <c r="O39" s="808"/>
    </row>
    <row r="40" spans="2:15">
      <c r="B40" s="379" t="s">
        <v>608</v>
      </c>
      <c r="C40" s="142" t="s">
        <v>127</v>
      </c>
      <c r="D40" s="531"/>
      <c r="E40" s="532"/>
      <c r="F40" s="532"/>
      <c r="G40" s="532"/>
      <c r="H40" s="532"/>
      <c r="I40" s="532"/>
      <c r="J40" s="532">
        <v>1.4038455308942841</v>
      </c>
      <c r="K40" s="533"/>
      <c r="O40" s="808"/>
    </row>
    <row r="41" spans="2:15">
      <c r="B41" s="798" t="s">
        <v>589</v>
      </c>
      <c r="C41" s="142" t="s">
        <v>127</v>
      </c>
      <c r="D41" s="531"/>
      <c r="E41" s="532"/>
      <c r="F41" s="532"/>
      <c r="G41" s="532"/>
      <c r="H41" s="532"/>
      <c r="I41" s="532"/>
      <c r="J41" s="532"/>
      <c r="K41" s="533"/>
    </row>
    <row r="42" spans="2:15">
      <c r="B42" s="379" t="s">
        <v>590</v>
      </c>
      <c r="C42" s="142" t="s">
        <v>127</v>
      </c>
      <c r="D42" s="531">
        <v>-0.28094599643751511</v>
      </c>
      <c r="E42" s="532">
        <v>0.36118212246753956</v>
      </c>
      <c r="F42" s="532">
        <v>-0.45400943826349532</v>
      </c>
      <c r="G42" s="532">
        <v>-2.757999607364702</v>
      </c>
      <c r="H42" s="532">
        <v>-2.0671030867337032</v>
      </c>
      <c r="I42" s="532">
        <v>-3.777115052198929</v>
      </c>
      <c r="J42" s="532">
        <v>0.25969455161753613</v>
      </c>
      <c r="K42" s="533"/>
      <c r="O42" s="808"/>
    </row>
    <row r="43" spans="2:15">
      <c r="B43" s="379" t="s">
        <v>596</v>
      </c>
      <c r="C43" s="142" t="s">
        <v>127</v>
      </c>
      <c r="D43" s="520">
        <v>0.18556014444102087</v>
      </c>
      <c r="E43" s="521">
        <v>2.7091255716703261E-2</v>
      </c>
      <c r="F43" s="521">
        <v>-1.7714269766065049E-2</v>
      </c>
      <c r="G43" s="521">
        <v>0.22357438575581337</v>
      </c>
      <c r="H43" s="532">
        <v>-1.0378944109943213</v>
      </c>
      <c r="I43" s="532">
        <v>-1.2741218199821578</v>
      </c>
      <c r="J43" s="532">
        <v>8.5911396147952998E-2</v>
      </c>
      <c r="K43" s="533"/>
      <c r="O43" s="808"/>
    </row>
    <row r="44" spans="2:15">
      <c r="B44" s="379" t="s">
        <v>591</v>
      </c>
      <c r="C44" s="142" t="s">
        <v>127</v>
      </c>
      <c r="D44" s="531">
        <v>1.0802596791662458</v>
      </c>
      <c r="E44" s="532">
        <v>0.1945989475835285</v>
      </c>
      <c r="F44" s="532">
        <v>-0.10581566173044644</v>
      </c>
      <c r="G44" s="532">
        <v>4.3541285110563814E-2</v>
      </c>
      <c r="H44" s="532">
        <v>0.38045569563250198</v>
      </c>
      <c r="I44" s="532">
        <v>0.66160095688159459</v>
      </c>
      <c r="J44" s="532">
        <v>-1.5344116756922506</v>
      </c>
      <c r="K44" s="533"/>
      <c r="O44" s="808"/>
    </row>
    <row r="45" spans="2:15">
      <c r="B45" s="379" t="s">
        <v>592</v>
      </c>
      <c r="C45" s="142" t="s">
        <v>127</v>
      </c>
      <c r="D45" s="531">
        <v>0</v>
      </c>
      <c r="E45" s="532">
        <v>0</v>
      </c>
      <c r="F45" s="532">
        <v>-1.1670969347455651</v>
      </c>
      <c r="G45" s="532">
        <v>-0.2124275333598431</v>
      </c>
      <c r="H45" s="532">
        <v>0.13763885417620081</v>
      </c>
      <c r="I45" s="532">
        <v>-5.9569311609468267E-2</v>
      </c>
      <c r="J45" s="532">
        <v>-0.53564420208448404</v>
      </c>
      <c r="K45" s="533"/>
      <c r="O45" s="808"/>
    </row>
    <row r="46" spans="2:15">
      <c r="B46" s="379" t="s">
        <v>569</v>
      </c>
      <c r="C46" s="142" t="s">
        <v>127</v>
      </c>
      <c r="D46" s="531">
        <v>-0.21051714949371603</v>
      </c>
      <c r="E46" s="532">
        <v>-0.55523175102995592</v>
      </c>
      <c r="F46" s="532">
        <v>-0.43610180951592015</v>
      </c>
      <c r="G46" s="532">
        <v>-0.6091946152189619</v>
      </c>
      <c r="H46" s="532">
        <v>-0.41970941784608023</v>
      </c>
      <c r="I46" s="532">
        <v>-4.2422918723629584E-2</v>
      </c>
      <c r="J46" s="532">
        <v>0.31429250674002229</v>
      </c>
      <c r="K46" s="533"/>
      <c r="O46" s="808"/>
    </row>
    <row r="47" spans="2:15">
      <c r="B47" s="797" t="s">
        <v>20</v>
      </c>
      <c r="C47" s="142" t="s">
        <v>127</v>
      </c>
      <c r="D47" s="531"/>
      <c r="E47" s="532"/>
      <c r="F47" s="532"/>
      <c r="G47" s="532"/>
      <c r="H47" s="532"/>
      <c r="I47" s="532"/>
      <c r="J47" s="532"/>
      <c r="K47" s="533"/>
    </row>
    <row r="48" spans="2:15">
      <c r="B48" s="14" t="s">
        <v>176</v>
      </c>
      <c r="C48" s="142" t="s">
        <v>127</v>
      </c>
      <c r="D48" s="655">
        <f t="shared" ref="D48:K48" si="2">SUM(D22:D47)</f>
        <v>4.6329368666665118</v>
      </c>
      <c r="E48" s="656">
        <f t="shared" si="2"/>
        <v>2.4747135512468978</v>
      </c>
      <c r="F48" s="656">
        <f t="shared" si="2"/>
        <v>5.7074283966401129E-2</v>
      </c>
      <c r="G48" s="656">
        <f t="shared" si="2"/>
        <v>-2.2941542566006361</v>
      </c>
      <c r="H48" s="656">
        <f t="shared" si="2"/>
        <v>-2.4928335736028067</v>
      </c>
      <c r="I48" s="656">
        <f t="shared" si="2"/>
        <v>-2.7165352646533205</v>
      </c>
      <c r="J48" s="656">
        <f t="shared" si="2"/>
        <v>3.533103387725494</v>
      </c>
      <c r="K48" s="657">
        <f t="shared" si="2"/>
        <v>3.2495146214890092</v>
      </c>
    </row>
    <row r="50" spans="2:13" ht="12.75" customHeight="1">
      <c r="B50" s="380" t="s">
        <v>502</v>
      </c>
      <c r="C50" s="142" t="s">
        <v>127</v>
      </c>
      <c r="D50" s="555"/>
      <c r="E50" s="555"/>
      <c r="F50" s="556"/>
      <c r="G50" s="556"/>
      <c r="H50" s="556"/>
      <c r="I50" s="556"/>
      <c r="J50" s="556"/>
      <c r="K50" s="556">
        <v>26.340469885489423</v>
      </c>
    </row>
    <row r="51" spans="2:13" ht="12.75" customHeight="1">
      <c r="B51" s="380" t="s">
        <v>471</v>
      </c>
      <c r="C51" s="142" t="s">
        <v>127</v>
      </c>
      <c r="D51" s="655">
        <f t="shared" ref="D51:K51" si="3">D12+D50-D19-D48</f>
        <v>19.014619117788861</v>
      </c>
      <c r="E51" s="656">
        <f t="shared" si="3"/>
        <v>18.058664546412068</v>
      </c>
      <c r="F51" s="656">
        <f t="shared" si="3"/>
        <v>16.541578178073863</v>
      </c>
      <c r="G51" s="656">
        <f t="shared" si="3"/>
        <v>17.76711588507202</v>
      </c>
      <c r="H51" s="656">
        <f t="shared" si="3"/>
        <v>18.651014611103204</v>
      </c>
      <c r="I51" s="656">
        <f t="shared" si="3"/>
        <v>19.825409174768417</v>
      </c>
      <c r="J51" s="656">
        <f t="shared" si="3"/>
        <v>18.903838674831814</v>
      </c>
      <c r="K51" s="657">
        <f t="shared" si="3"/>
        <v>23.090955264000414</v>
      </c>
    </row>
    <row r="52" spans="2:13" ht="12.75" customHeight="1">
      <c r="B52" s="13"/>
      <c r="C52" s="142"/>
      <c r="D52" s="142"/>
      <c r="E52" s="142"/>
      <c r="F52" s="142"/>
      <c r="G52" s="142"/>
      <c r="H52" s="142"/>
      <c r="I52" s="142"/>
      <c r="J52" s="142"/>
      <c r="K52" s="142"/>
    </row>
    <row r="53" spans="2:13">
      <c r="B53" t="s">
        <v>479</v>
      </c>
      <c r="C53" s="183" t="s">
        <v>126</v>
      </c>
      <c r="D53" s="103">
        <f>Data!C$34</f>
        <v>1.0603167467048125</v>
      </c>
      <c r="E53" s="103">
        <f>Data!D$34</f>
        <v>1.0830366813119445</v>
      </c>
      <c r="F53" s="103">
        <f>Data!E$34</f>
        <v>1.1235639113109226</v>
      </c>
      <c r="G53" s="103">
        <f>Data!F$34</f>
        <v>1.1578951670583426</v>
      </c>
      <c r="H53" s="103">
        <f>Data!G$34</f>
        <v>1.1878696229692449</v>
      </c>
      <c r="I53" s="103">
        <f>Data!H$34</f>
        <v>1.2022764892203943</v>
      </c>
      <c r="J53" s="103">
        <f>Data!I$34</f>
        <v>1.2717196280780627</v>
      </c>
      <c r="K53" s="103">
        <f>Data!J$34</f>
        <v>1.4354429345049555</v>
      </c>
      <c r="L53" s="142"/>
    </row>
    <row r="54" spans="2:13">
      <c r="B54" s="13"/>
      <c r="C54" s="142"/>
      <c r="D54" s="142"/>
      <c r="E54" s="142"/>
      <c r="F54" s="142"/>
      <c r="G54" s="142"/>
      <c r="H54" s="142"/>
      <c r="I54" s="142"/>
      <c r="J54" s="142"/>
      <c r="K54" s="142"/>
    </row>
    <row r="55" spans="2:13">
      <c r="B55" s="380" t="s">
        <v>472</v>
      </c>
      <c r="C55" s="192" t="str">
        <f>'RFPR cover'!$C$14</f>
        <v>£m 12/13</v>
      </c>
      <c r="D55" s="655">
        <f t="shared" ref="D55:K55" si="4">D51/D53</f>
        <v>17.932961237178731</v>
      </c>
      <c r="E55" s="656">
        <f t="shared" si="4"/>
        <v>16.674102417783828</v>
      </c>
      <c r="F55" s="656">
        <f t="shared" si="4"/>
        <v>14.722418557190851</v>
      </c>
      <c r="G55" s="656">
        <f t="shared" si="4"/>
        <v>15.344321654100826</v>
      </c>
      <c r="H55" s="656">
        <f t="shared" si="4"/>
        <v>15.701230379544857</v>
      </c>
      <c r="I55" s="656">
        <f t="shared" si="4"/>
        <v>16.489891761606376</v>
      </c>
      <c r="J55" s="656">
        <f t="shared" si="4"/>
        <v>14.864784860953195</v>
      </c>
      <c r="K55" s="657">
        <f t="shared" si="4"/>
        <v>16.086292745565565</v>
      </c>
    </row>
    <row r="56" spans="2:13">
      <c r="B56" s="380"/>
      <c r="C56" s="380"/>
      <c r="D56" s="380"/>
      <c r="E56" s="380"/>
      <c r="F56" s="380"/>
      <c r="G56" s="380"/>
      <c r="H56" s="380"/>
      <c r="I56" s="380"/>
      <c r="J56" s="380"/>
      <c r="K56" s="380"/>
    </row>
    <row r="57" spans="2:13">
      <c r="B57" s="713" t="s">
        <v>452</v>
      </c>
      <c r="C57" s="192"/>
      <c r="D57" s="192"/>
      <c r="E57" s="192"/>
      <c r="F57" s="192"/>
      <c r="G57" s="192"/>
      <c r="H57" s="192"/>
      <c r="I57" s="192"/>
      <c r="J57" s="192"/>
      <c r="K57" s="192"/>
    </row>
    <row r="58" spans="2:13">
      <c r="B58" s="322" t="s">
        <v>443</v>
      </c>
      <c r="C58" s="380"/>
      <c r="D58" s="380"/>
      <c r="E58" s="380"/>
      <c r="F58" s="380"/>
      <c r="G58" s="380"/>
      <c r="H58" s="380"/>
      <c r="I58" s="380"/>
      <c r="J58" s="380"/>
      <c r="K58" s="380"/>
      <c r="L58" s="380"/>
      <c r="M58" s="380"/>
    </row>
    <row r="60" spans="2:13" ht="12.75" customHeight="1">
      <c r="B60" s="181" t="s">
        <v>115</v>
      </c>
      <c r="C60" s="57" t="s">
        <v>7</v>
      </c>
      <c r="D60" s="756">
        <f>'RFPR cover'!$C$12</f>
        <v>0.65</v>
      </c>
      <c r="E60" s="757">
        <f>'RFPR cover'!$C$12</f>
        <v>0.65</v>
      </c>
      <c r="F60" s="757">
        <f>'RFPR cover'!$C$12</f>
        <v>0.65</v>
      </c>
      <c r="G60" s="757">
        <f>'RFPR cover'!$C$12</f>
        <v>0.65</v>
      </c>
      <c r="H60" s="757">
        <f>'RFPR cover'!$C$12</f>
        <v>0.65</v>
      </c>
      <c r="I60" s="757">
        <f>'RFPR cover'!$C$12</f>
        <v>0.65</v>
      </c>
      <c r="J60" s="757">
        <f>'RFPR cover'!$C$12</f>
        <v>0.65</v>
      </c>
      <c r="K60" s="758">
        <f>'RFPR cover'!$C$12</f>
        <v>0.65</v>
      </c>
    </row>
    <row r="61" spans="2:13" ht="12.75" customHeight="1">
      <c r="B61" s="181" t="s">
        <v>405</v>
      </c>
      <c r="C61" s="57" t="s">
        <v>7</v>
      </c>
      <c r="D61" s="756">
        <f>'R8 - Net Debt'!D57</f>
        <v>0.5196175590661517</v>
      </c>
      <c r="E61" s="757">
        <f>'R8 - Net Debt'!E57</f>
        <v>0.50883390211418367</v>
      </c>
      <c r="F61" s="757">
        <f>'R8 - Net Debt'!F57</f>
        <v>0.49560151152864818</v>
      </c>
      <c r="G61" s="757">
        <f>'R8 - Net Debt'!G57</f>
        <v>0.4986567661999321</v>
      </c>
      <c r="H61" s="757">
        <f>'R8 - Net Debt'!H57</f>
        <v>0.51444579002537727</v>
      </c>
      <c r="I61" s="757">
        <f>'R8 - Net Debt'!I57</f>
        <v>0.53858640242068934</v>
      </c>
      <c r="J61" s="757">
        <f>'R8 - Net Debt'!J57</f>
        <v>0.52336872105579213</v>
      </c>
      <c r="K61" s="758">
        <f>'R8 - Net Debt'!K57</f>
        <v>0.46848493711809669</v>
      </c>
    </row>
    <row r="62" spans="2:13" ht="12.75" customHeight="1">
      <c r="B62" s="181"/>
      <c r="C62" s="57"/>
      <c r="D62" s="57"/>
      <c r="E62" s="57"/>
      <c r="F62" s="57"/>
      <c r="G62" s="57"/>
      <c r="H62" s="57"/>
      <c r="I62" s="57"/>
      <c r="J62" s="57"/>
      <c r="K62" s="57"/>
      <c r="L62" s="57"/>
    </row>
    <row r="63" spans="2:13" ht="12.75" customHeight="1">
      <c r="B63" s="380" t="s">
        <v>472</v>
      </c>
      <c r="C63" s="142" t="s">
        <v>127</v>
      </c>
      <c r="D63" s="655">
        <f>D51</f>
        <v>19.014619117788861</v>
      </c>
      <c r="E63" s="655">
        <f t="shared" ref="E63:K63" si="5">E51</f>
        <v>18.058664546412068</v>
      </c>
      <c r="F63" s="655">
        <f t="shared" si="5"/>
        <v>16.541578178073863</v>
      </c>
      <c r="G63" s="655">
        <f t="shared" si="5"/>
        <v>17.76711588507202</v>
      </c>
      <c r="H63" s="655">
        <f t="shared" si="5"/>
        <v>18.651014611103204</v>
      </c>
      <c r="I63" s="655">
        <f t="shared" si="5"/>
        <v>19.825409174768417</v>
      </c>
      <c r="J63" s="655">
        <f t="shared" si="5"/>
        <v>18.903838674831814</v>
      </c>
      <c r="K63" s="655">
        <f t="shared" si="5"/>
        <v>23.090955264000414</v>
      </c>
    </row>
    <row r="64" spans="2:13">
      <c r="B64" s="181" t="s">
        <v>453</v>
      </c>
      <c r="C64" s="142" t="s">
        <v>127</v>
      </c>
      <c r="D64" s="655">
        <f>D99-D101</f>
        <v>-1.5073015668317888</v>
      </c>
      <c r="E64" s="655">
        <f t="shared" ref="E64:K64" si="6">E99-E101</f>
        <v>-1.7280875025572529</v>
      </c>
      <c r="F64" s="655">
        <f t="shared" si="6"/>
        <v>-1.8640491976965199</v>
      </c>
      <c r="G64" s="655">
        <f t="shared" si="6"/>
        <v>-1.7707874119512819</v>
      </c>
      <c r="H64" s="655">
        <f t="shared" si="6"/>
        <v>-1.6145193185051314</v>
      </c>
      <c r="I64" s="655">
        <f t="shared" si="6"/>
        <v>-1.2118985959186088</v>
      </c>
      <c r="J64" s="655">
        <f>J99-J101</f>
        <v>-1.2544649654323239</v>
      </c>
      <c r="K64" s="655">
        <f t="shared" si="6"/>
        <v>-2.2723704397970277</v>
      </c>
      <c r="L64" s="142"/>
    </row>
    <row r="65" spans="2:13">
      <c r="B65" s="181" t="s">
        <v>413</v>
      </c>
      <c r="C65" s="142" t="s">
        <v>127</v>
      </c>
      <c r="D65" s="655">
        <f>SUM(D63:D64)</f>
        <v>17.507317550957072</v>
      </c>
      <c r="E65" s="656">
        <f t="shared" ref="E65:K65" si="7">SUM(E63:E64)</f>
        <v>16.330577043854817</v>
      </c>
      <c r="F65" s="656">
        <f t="shared" si="7"/>
        <v>14.677528980377343</v>
      </c>
      <c r="G65" s="656">
        <f t="shared" si="7"/>
        <v>15.996328473120737</v>
      </c>
      <c r="H65" s="656">
        <f t="shared" si="7"/>
        <v>17.036495292598072</v>
      </c>
      <c r="I65" s="656">
        <f t="shared" si="7"/>
        <v>18.613510578849809</v>
      </c>
      <c r="J65" s="656">
        <f t="shared" si="7"/>
        <v>17.649373709399491</v>
      </c>
      <c r="K65" s="657">
        <f t="shared" si="7"/>
        <v>20.818584824203384</v>
      </c>
      <c r="L65" s="142"/>
    </row>
    <row r="67" spans="2:13">
      <c r="B67" s="181" t="s">
        <v>413</v>
      </c>
      <c r="C67" s="192" t="str">
        <f>'RFPR cover'!$C$14</f>
        <v>£m 12/13</v>
      </c>
      <c r="D67" s="655">
        <f>D65/D53</f>
        <v>16.51140341352265</v>
      </c>
      <c r="E67" s="656">
        <f t="shared" ref="E67:K67" si="8">E65/E53</f>
        <v>15.078507797236055</v>
      </c>
      <c r="F67" s="656">
        <f t="shared" si="8"/>
        <v>13.063368120512413</v>
      </c>
      <c r="G67" s="656">
        <f t="shared" si="8"/>
        <v>13.815005821088063</v>
      </c>
      <c r="H67" s="656">
        <f t="shared" si="8"/>
        <v>14.342058221855181</v>
      </c>
      <c r="I67" s="656">
        <f t="shared" si="8"/>
        <v>15.481888522098254</v>
      </c>
      <c r="J67" s="656">
        <f t="shared" si="8"/>
        <v>13.878352837938669</v>
      </c>
      <c r="K67" s="657">
        <f t="shared" si="8"/>
        <v>14.5032479688112</v>
      </c>
    </row>
    <row r="68" spans="2:13">
      <c r="B68" s="181"/>
      <c r="C68" s="192"/>
      <c r="D68" s="192"/>
      <c r="E68" s="192"/>
      <c r="F68" s="192"/>
      <c r="G68" s="192"/>
      <c r="H68" s="192"/>
      <c r="I68" s="192"/>
      <c r="J68" s="192"/>
      <c r="K68" s="192"/>
    </row>
    <row r="70" spans="2:13">
      <c r="B70" s="683" t="s">
        <v>379</v>
      </c>
      <c r="C70" s="684"/>
      <c r="D70" s="684"/>
      <c r="E70" s="684"/>
      <c r="F70" s="684"/>
      <c r="G70" s="684"/>
      <c r="H70" s="684"/>
      <c r="I70" s="684"/>
      <c r="J70" s="684"/>
      <c r="K70" s="684"/>
      <c r="L70" s="684"/>
      <c r="M70" s="380"/>
    </row>
    <row r="71" spans="2:13">
      <c r="B71" s="13"/>
      <c r="C71" s="380"/>
      <c r="D71" s="380"/>
      <c r="E71" s="380"/>
      <c r="F71" s="380"/>
      <c r="G71" s="380"/>
      <c r="H71" s="380"/>
      <c r="I71" s="380"/>
      <c r="J71" s="380"/>
      <c r="K71" s="380"/>
      <c r="L71" s="380"/>
      <c r="M71" s="380"/>
    </row>
    <row r="72" spans="2:13">
      <c r="B72" s="321" t="s">
        <v>473</v>
      </c>
      <c r="C72" s="261"/>
      <c r="D72" s="261"/>
      <c r="E72" s="261"/>
      <c r="F72" s="261"/>
      <c r="G72" s="261"/>
      <c r="H72" s="261"/>
      <c r="I72" s="261"/>
      <c r="J72" s="261"/>
      <c r="K72" s="261"/>
      <c r="L72" s="261"/>
    </row>
    <row r="73" spans="2:13">
      <c r="B73" s="325"/>
      <c r="C73" s="2"/>
      <c r="D73" s="2"/>
      <c r="E73" s="2"/>
      <c r="F73" s="2"/>
      <c r="G73" s="2"/>
      <c r="H73" s="2"/>
      <c r="I73" s="2"/>
      <c r="J73" s="2"/>
      <c r="K73" s="2"/>
      <c r="L73" s="2"/>
    </row>
    <row r="74" spans="2:13">
      <c r="B74" t="s">
        <v>378</v>
      </c>
      <c r="C74" s="192" t="str">
        <f>'RFPR cover'!$C$14</f>
        <v>£m 12/13</v>
      </c>
      <c r="D74" s="506">
        <v>16.381566037783891</v>
      </c>
      <c r="E74" s="507">
        <v>15.98817516566278</v>
      </c>
      <c r="F74" s="507">
        <v>14.800543943622991</v>
      </c>
      <c r="G74" s="507">
        <v>14.802919529200597</v>
      </c>
      <c r="H74" s="507">
        <v>14.586555775913581</v>
      </c>
      <c r="I74" s="507">
        <v>14.742780326184882</v>
      </c>
      <c r="J74" s="507">
        <v>14.281090487833529</v>
      </c>
      <c r="K74" s="601">
        <v>15.290413420221986</v>
      </c>
    </row>
    <row r="75" spans="2:13">
      <c r="B75" t="s">
        <v>381</v>
      </c>
      <c r="C75" s="192" t="str">
        <f>'RFPR cover'!$C$14</f>
        <v>£m 12/13</v>
      </c>
      <c r="D75" s="514"/>
      <c r="E75" s="515"/>
      <c r="F75" s="515"/>
      <c r="G75" s="515"/>
      <c r="H75" s="515"/>
      <c r="I75" s="515"/>
      <c r="J75" s="515"/>
      <c r="K75" s="600"/>
    </row>
    <row r="76" spans="2:13">
      <c r="B76" t="s">
        <v>382</v>
      </c>
      <c r="C76" s="192" t="str">
        <f>'RFPR cover'!$C$14</f>
        <v>£m 12/13</v>
      </c>
      <c r="D76" s="563">
        <f t="shared" ref="D76:K76" si="9">SUM(D74:D75)</f>
        <v>16.381566037783891</v>
      </c>
      <c r="E76" s="564">
        <f t="shared" si="9"/>
        <v>15.98817516566278</v>
      </c>
      <c r="F76" s="564">
        <f t="shared" si="9"/>
        <v>14.800543943622991</v>
      </c>
      <c r="G76" s="564">
        <f t="shared" si="9"/>
        <v>14.802919529200597</v>
      </c>
      <c r="H76" s="564">
        <f t="shared" si="9"/>
        <v>14.586555775913581</v>
      </c>
      <c r="I76" s="564">
        <f t="shared" si="9"/>
        <v>14.742780326184882</v>
      </c>
      <c r="J76" s="564">
        <f t="shared" si="9"/>
        <v>14.281090487833529</v>
      </c>
      <c r="K76" s="565">
        <f t="shared" si="9"/>
        <v>15.290413420221986</v>
      </c>
    </row>
    <row r="77" spans="2:13">
      <c r="C77" s="192"/>
      <c r="D77" s="192"/>
      <c r="E77" s="192"/>
      <c r="F77" s="192"/>
      <c r="G77" s="192"/>
      <c r="H77" s="192"/>
      <c r="I77" s="192"/>
      <c r="J77" s="192"/>
      <c r="K77" s="192"/>
      <c r="L77" s="192"/>
    </row>
    <row r="78" spans="2:13">
      <c r="B78" s="440" t="s">
        <v>474</v>
      </c>
      <c r="C78" s="261"/>
      <c r="D78" s="261"/>
      <c r="E78" s="261"/>
      <c r="F78" s="261"/>
      <c r="G78" s="261"/>
      <c r="H78" s="261"/>
      <c r="I78" s="261"/>
      <c r="J78" s="261"/>
      <c r="K78" s="261"/>
      <c r="L78" s="261"/>
    </row>
    <row r="79" spans="2:13">
      <c r="B79" s="441"/>
      <c r="C79" s="2"/>
      <c r="D79" s="2"/>
      <c r="E79" s="2"/>
      <c r="F79" s="2"/>
      <c r="G79" s="2"/>
      <c r="H79" s="2"/>
      <c r="I79" s="2"/>
      <c r="J79" s="2"/>
      <c r="K79" s="2"/>
      <c r="L79" s="2"/>
    </row>
    <row r="80" spans="2:13">
      <c r="B80" t="s">
        <v>369</v>
      </c>
      <c r="C80" s="192" t="str">
        <f>'RFPR cover'!$C$14</f>
        <v>£m 12/13</v>
      </c>
      <c r="D80" s="506">
        <v>16.381566037783891</v>
      </c>
      <c r="E80" s="506">
        <v>15.98817516566278</v>
      </c>
      <c r="F80" s="506">
        <v>14.800543943622991</v>
      </c>
      <c r="G80" s="506">
        <v>14.802919529200597</v>
      </c>
      <c r="H80" s="506">
        <v>14.586555775913581</v>
      </c>
      <c r="I80" s="506">
        <v>14.742780326184882</v>
      </c>
      <c r="J80" s="506">
        <v>14.209503695854899</v>
      </c>
      <c r="K80" s="506">
        <v>14.190799859329021</v>
      </c>
    </row>
    <row r="81" spans="2:12">
      <c r="B81" t="s">
        <v>384</v>
      </c>
      <c r="C81" s="192" t="str">
        <f>'RFPR cover'!$C$14</f>
        <v>£m 12/13</v>
      </c>
      <c r="D81" s="514"/>
      <c r="E81" s="515"/>
      <c r="F81" s="515"/>
      <c r="G81" s="515"/>
      <c r="H81" s="515"/>
      <c r="I81" s="515"/>
      <c r="J81" s="515"/>
      <c r="K81" s="600"/>
    </row>
    <row r="82" spans="2:12">
      <c r="B82" s="14" t="s">
        <v>385</v>
      </c>
      <c r="C82" s="192" t="str">
        <f>'RFPR cover'!$C$14</f>
        <v>£m 12/13</v>
      </c>
      <c r="D82" s="534">
        <f t="shared" ref="D82:K82" si="10">SUM(D80:D81)</f>
        <v>16.381566037783891</v>
      </c>
      <c r="E82" s="535">
        <f t="shared" si="10"/>
        <v>15.98817516566278</v>
      </c>
      <c r="F82" s="535">
        <f t="shared" si="10"/>
        <v>14.800543943622991</v>
      </c>
      <c r="G82" s="535">
        <f t="shared" si="10"/>
        <v>14.802919529200597</v>
      </c>
      <c r="H82" s="535">
        <f t="shared" si="10"/>
        <v>14.586555775913581</v>
      </c>
      <c r="I82" s="535">
        <f t="shared" si="10"/>
        <v>14.742780326184882</v>
      </c>
      <c r="J82" s="535">
        <f t="shared" si="10"/>
        <v>14.209503695854899</v>
      </c>
      <c r="K82" s="536">
        <f t="shared" si="10"/>
        <v>14.190799859329021</v>
      </c>
    </row>
    <row r="83" spans="2:12">
      <c r="B83" s="441"/>
      <c r="C83" s="2"/>
      <c r="D83" s="658"/>
      <c r="E83" s="658"/>
      <c r="F83" s="658"/>
      <c r="G83" s="658"/>
      <c r="H83" s="658"/>
      <c r="I83" s="658"/>
      <c r="J83" s="658"/>
      <c r="K83" s="658"/>
      <c r="L83" s="2"/>
    </row>
    <row r="84" spans="2:12">
      <c r="B84" s="442" t="s">
        <v>383</v>
      </c>
      <c r="C84" s="2"/>
      <c r="D84" s="597">
        <f t="shared" ref="D84:K84" si="11">D82-D76</f>
        <v>0</v>
      </c>
      <c r="E84" s="619">
        <f t="shared" si="11"/>
        <v>0</v>
      </c>
      <c r="F84" s="619">
        <f t="shared" si="11"/>
        <v>0</v>
      </c>
      <c r="G84" s="619">
        <f t="shared" si="11"/>
        <v>0</v>
      </c>
      <c r="H84" s="619">
        <f t="shared" si="11"/>
        <v>0</v>
      </c>
      <c r="I84" s="619">
        <f t="shared" si="11"/>
        <v>0</v>
      </c>
      <c r="J84" s="619">
        <f t="shared" si="11"/>
        <v>-7.158679197863016E-2</v>
      </c>
      <c r="K84" s="620">
        <f t="shared" si="11"/>
        <v>-1.0996135608929656</v>
      </c>
      <c r="L84" s="2"/>
    </row>
    <row r="85" spans="2:12">
      <c r="B85" t="s">
        <v>380</v>
      </c>
      <c r="C85" s="192" t="str">
        <f>'RFPR cover'!$C$14</f>
        <v>£m 12/13</v>
      </c>
      <c r="D85" s="510"/>
      <c r="E85" s="511"/>
      <c r="F85" s="511"/>
      <c r="G85" s="511"/>
      <c r="H85" s="511"/>
      <c r="I85" s="511"/>
      <c r="J85" s="511"/>
      <c r="K85" s="511"/>
      <c r="L85" s="2"/>
    </row>
    <row r="86" spans="2:12">
      <c r="B86" t="s">
        <v>431</v>
      </c>
      <c r="C86" s="192" t="str">
        <f>'RFPR cover'!$C$14</f>
        <v>£m 12/13</v>
      </c>
      <c r="D86" s="510"/>
      <c r="E86" s="511"/>
      <c r="F86" s="511"/>
      <c r="G86" s="511"/>
      <c r="H86" s="511"/>
      <c r="I86" s="511"/>
      <c r="J86" s="511"/>
      <c r="K86" s="511"/>
      <c r="L86" s="2"/>
    </row>
    <row r="87" spans="2:12">
      <c r="B87" t="s">
        <v>330</v>
      </c>
      <c r="C87" s="192" t="str">
        <f>'RFPR cover'!$C$14</f>
        <v>£m 12/13</v>
      </c>
      <c r="D87" s="659">
        <f t="shared" ref="D87:G87" si="12">D80-D74-SUM(D85:D86)</f>
        <v>0</v>
      </c>
      <c r="E87" s="660">
        <f t="shared" si="12"/>
        <v>0</v>
      </c>
      <c r="F87" s="660">
        <f t="shared" si="12"/>
        <v>0</v>
      </c>
      <c r="G87" s="660">
        <f t="shared" si="12"/>
        <v>0</v>
      </c>
      <c r="H87" s="660">
        <f>H80-H74-SUM(H85:H86)</f>
        <v>0</v>
      </c>
      <c r="I87" s="660">
        <f t="shared" ref="I87:K87" si="13">I80-I74-SUM(I85:I86)</f>
        <v>0</v>
      </c>
      <c r="J87" s="660">
        <f t="shared" si="13"/>
        <v>-7.158679197863016E-2</v>
      </c>
      <c r="K87" s="660">
        <f t="shared" si="13"/>
        <v>-1.0996135608929656</v>
      </c>
      <c r="L87" s="2"/>
    </row>
    <row r="88" spans="2:12">
      <c r="B88" t="s">
        <v>121</v>
      </c>
      <c r="C88" s="192" t="str">
        <f>'RFPR cover'!$C$14</f>
        <v>£m 12/13</v>
      </c>
      <c r="D88" s="443" t="str">
        <f>IF(ABS(D84-SUM(D85:D87))&lt;'RFPR cover'!$F$14,"OK","ERROR")</f>
        <v>OK</v>
      </c>
      <c r="E88" s="444" t="str">
        <f>IF(ABS(E84-SUM(E85:E87))&lt;'RFPR cover'!$F$14,"OK","ERROR")</f>
        <v>OK</v>
      </c>
      <c r="F88" s="444" t="str">
        <f>IF(ABS(F84-SUM(F85:F87))&lt;'RFPR cover'!$F$14,"OK","ERROR")</f>
        <v>OK</v>
      </c>
      <c r="G88" s="444" t="str">
        <f>IF(ABS(G84-SUM(G85:G87))&lt;'RFPR cover'!$F$14,"OK","ERROR")</f>
        <v>OK</v>
      </c>
      <c r="H88" s="444" t="str">
        <f>IF(ABS(H84-SUM(H85:H87))&lt;'RFPR cover'!$F$14,"OK","ERROR")</f>
        <v>OK</v>
      </c>
      <c r="I88" s="444" t="str">
        <f>IF(ABS(I84-SUM(I85:I87))&lt;'RFPR cover'!$F$14,"OK","ERROR")</f>
        <v>OK</v>
      </c>
      <c r="J88" s="444" t="str">
        <f>IF(ABS(J84-SUM(J85:J87))&lt;'RFPR cover'!$F$14,"OK","ERROR")</f>
        <v>OK</v>
      </c>
      <c r="K88" s="445" t="str">
        <f>IF(ABS(K84-SUM(K85:K87))&lt;'RFPR cover'!$F$14,"OK","ERROR")</f>
        <v>OK</v>
      </c>
    </row>
    <row r="91" spans="2:12">
      <c r="B91" s="716" t="s">
        <v>433</v>
      </c>
      <c r="C91" s="716"/>
      <c r="D91" s="716"/>
      <c r="E91" s="716"/>
      <c r="F91" s="716"/>
      <c r="G91" s="716"/>
      <c r="H91" s="716"/>
      <c r="I91" s="716"/>
      <c r="J91" s="716"/>
      <c r="K91" s="716"/>
      <c r="L91" s="716"/>
    </row>
    <row r="93" spans="2:12">
      <c r="B93" s="14" t="s">
        <v>434</v>
      </c>
      <c r="C93" s="193" t="str">
        <f>'RFPR cover'!$C$14</f>
        <v>£m 12/13</v>
      </c>
      <c r="D93" s="534">
        <f t="shared" ref="D93:K93" si="14">D$82-D55</f>
        <v>-1.5513951993948396</v>
      </c>
      <c r="E93" s="535">
        <f t="shared" si="14"/>
        <v>-0.68592725212104888</v>
      </c>
      <c r="F93" s="535">
        <f t="shared" si="14"/>
        <v>7.8125386432139621E-2</v>
      </c>
      <c r="G93" s="535">
        <f t="shared" si="14"/>
        <v>-0.54140212490022854</v>
      </c>
      <c r="H93" s="535">
        <f t="shared" si="14"/>
        <v>-1.1146746036312756</v>
      </c>
      <c r="I93" s="535">
        <f t="shared" si="14"/>
        <v>-1.7471114354214947</v>
      </c>
      <c r="J93" s="535">
        <f t="shared" si="14"/>
        <v>-0.65528116509829637</v>
      </c>
      <c r="K93" s="536">
        <f t="shared" si="14"/>
        <v>-1.8954928862365445</v>
      </c>
    </row>
    <row r="94" spans="2:12">
      <c r="B94" s="14"/>
      <c r="C94" s="14"/>
      <c r="D94" s="14"/>
      <c r="E94" s="14"/>
      <c r="F94" s="14"/>
      <c r="G94" s="14"/>
      <c r="H94" s="14"/>
      <c r="I94" s="14"/>
      <c r="J94" s="14"/>
      <c r="K94" s="14"/>
    </row>
    <row r="95" spans="2:12">
      <c r="B95" s="14" t="s">
        <v>445</v>
      </c>
      <c r="C95" s="193" t="str">
        <f>'RFPR cover'!$C$14</f>
        <v>£m 12/13</v>
      </c>
      <c r="D95" s="534">
        <f t="shared" ref="D95:K95" si="15">D$82-D67</f>
        <v>-0.12983737573875942</v>
      </c>
      <c r="E95" s="535">
        <f t="shared" si="15"/>
        <v>0.90966736842672447</v>
      </c>
      <c r="F95" s="535">
        <f t="shared" si="15"/>
        <v>1.7371758231105776</v>
      </c>
      <c r="G95" s="535">
        <f t="shared" si="15"/>
        <v>0.98791370811253465</v>
      </c>
      <c r="H95" s="535">
        <f t="shared" si="15"/>
        <v>0.24449755405840001</v>
      </c>
      <c r="I95" s="535">
        <f t="shared" si="15"/>
        <v>-0.73910819591337251</v>
      </c>
      <c r="J95" s="535">
        <f t="shared" si="15"/>
        <v>0.33115085791622967</v>
      </c>
      <c r="K95" s="536">
        <f t="shared" si="15"/>
        <v>-0.3124481094821796</v>
      </c>
    </row>
    <row r="97" spans="2:11">
      <c r="B97" s="14" t="s">
        <v>444</v>
      </c>
      <c r="C97" s="193" t="str">
        <f>'RFPR cover'!$C$14</f>
        <v>£m 12/13</v>
      </c>
      <c r="D97" s="534">
        <f>D93-D95</f>
        <v>-1.4215578236560802</v>
      </c>
      <c r="E97" s="535">
        <f t="shared" ref="E97:K97" si="16">E93-E95</f>
        <v>-1.5955946205477733</v>
      </c>
      <c r="F97" s="535">
        <f t="shared" si="16"/>
        <v>-1.659050436678438</v>
      </c>
      <c r="G97" s="535">
        <f t="shared" si="16"/>
        <v>-1.5293158330127632</v>
      </c>
      <c r="H97" s="535">
        <f t="shared" si="16"/>
        <v>-1.3591721576896756</v>
      </c>
      <c r="I97" s="535">
        <f t="shared" si="16"/>
        <v>-1.0080032395081222</v>
      </c>
      <c r="J97" s="535">
        <f t="shared" si="16"/>
        <v>-0.98643202301452604</v>
      </c>
      <c r="K97" s="536">
        <f t="shared" si="16"/>
        <v>-1.5830447767543649</v>
      </c>
    </row>
    <row r="99" spans="2:11">
      <c r="B99" t="s">
        <v>525</v>
      </c>
      <c r="C99" s="142" t="s">
        <v>127</v>
      </c>
      <c r="D99" s="510">
        <v>-2.6237400848125585</v>
      </c>
      <c r="E99" s="510">
        <v>-2.5854399319403329</v>
      </c>
      <c r="F99" s="510">
        <v>-2.6040455188241172</v>
      </c>
      <c r="G99" s="510">
        <v>-2.7421472539277643</v>
      </c>
      <c r="H99" s="510">
        <v>-2.5932360812675546</v>
      </c>
      <c r="I99" s="510">
        <v>-2.9254961176517571</v>
      </c>
      <c r="J99" s="510">
        <v>-3.9329164448689813</v>
      </c>
      <c r="K99" s="510">
        <v>-3.8896524200355374</v>
      </c>
    </row>
    <row r="100" spans="2:11">
      <c r="B100" t="s">
        <v>525</v>
      </c>
      <c r="C100" s="192" t="str">
        <f>'RFPR cover'!$C$14</f>
        <v>£m 12/13</v>
      </c>
      <c r="D100" s="655">
        <f>D99/D$53</f>
        <v>-2.4744870747033447</v>
      </c>
      <c r="E100" s="655">
        <f t="shared" ref="E100:K100" si="17">E99/E$53</f>
        <v>-2.3872136341757519</v>
      </c>
      <c r="F100" s="655">
        <f t="shared" si="17"/>
        <v>-2.3176656820401402</v>
      </c>
      <c r="G100" s="655">
        <f t="shared" si="17"/>
        <v>-2.3682172030255968</v>
      </c>
      <c r="H100" s="655">
        <f t="shared" si="17"/>
        <v>-2.1830982383280424</v>
      </c>
      <c r="I100" s="655">
        <f t="shared" si="17"/>
        <v>-2.4332972855094002</v>
      </c>
      <c r="J100" s="655">
        <f t="shared" si="17"/>
        <v>-3.0925971086982114</v>
      </c>
      <c r="K100" s="655">
        <f t="shared" si="17"/>
        <v>-2.7097227807087787</v>
      </c>
    </row>
    <row r="101" spans="2:11">
      <c r="B101" t="s">
        <v>526</v>
      </c>
      <c r="C101" s="142" t="s">
        <v>127</v>
      </c>
      <c r="D101" s="510">
        <v>-1.1164385179807697</v>
      </c>
      <c r="E101" s="510">
        <v>-0.85735242938308009</v>
      </c>
      <c r="F101" s="510">
        <v>-0.73999632112759728</v>
      </c>
      <c r="G101" s="510">
        <v>-0.97135984197648229</v>
      </c>
      <c r="H101" s="510">
        <v>-0.97871676276242314</v>
      </c>
      <c r="I101" s="510">
        <v>-1.7135975217331483</v>
      </c>
      <c r="J101" s="510">
        <v>-2.6784514794366574</v>
      </c>
      <c r="K101" s="510">
        <v>-1.6172819802385097</v>
      </c>
    </row>
    <row r="102" spans="2:11">
      <c r="B102" t="s">
        <v>526</v>
      </c>
      <c r="C102" s="192" t="str">
        <f>'RFPR cover'!$C$14</f>
        <v>£m 12/13</v>
      </c>
      <c r="D102" s="655">
        <f t="shared" ref="D102:K102" si="18">D101/D$53</f>
        <v>-1.0529292510472639</v>
      </c>
      <c r="E102" s="655">
        <f t="shared" si="18"/>
        <v>-0.79161901362797782</v>
      </c>
      <c r="F102" s="655">
        <f t="shared" si="18"/>
        <v>-0.65861524536170235</v>
      </c>
      <c r="G102" s="655">
        <f t="shared" si="18"/>
        <v>-0.83890137001283349</v>
      </c>
      <c r="H102" s="655">
        <f t="shared" si="18"/>
        <v>-0.8239260806383657</v>
      </c>
      <c r="I102" s="655">
        <f t="shared" si="18"/>
        <v>-1.4252940460012784</v>
      </c>
      <c r="J102" s="655">
        <f t="shared" si="18"/>
        <v>-2.1061650856836853</v>
      </c>
      <c r="K102" s="655">
        <f t="shared" si="18"/>
        <v>-1.1266780039544138</v>
      </c>
    </row>
    <row r="103" spans="2:11">
      <c r="B103" t="s">
        <v>529</v>
      </c>
      <c r="C103" s="192" t="str">
        <f>'RFPR cover'!$C$14</f>
        <v>£m 12/13</v>
      </c>
      <c r="D103" s="655">
        <f>D100-D102</f>
        <v>-1.4215578236560809</v>
      </c>
      <c r="E103" s="655">
        <f t="shared" ref="E103:K103" si="19">E100-E102</f>
        <v>-1.5955946205477742</v>
      </c>
      <c r="F103" s="655">
        <f t="shared" si="19"/>
        <v>-1.659050436678438</v>
      </c>
      <c r="G103" s="655">
        <f t="shared" si="19"/>
        <v>-1.5293158330127632</v>
      </c>
      <c r="H103" s="655">
        <f t="shared" si="19"/>
        <v>-1.3591721576896767</v>
      </c>
      <c r="I103" s="655">
        <f t="shared" si="19"/>
        <v>-1.0080032395081218</v>
      </c>
      <c r="J103" s="655">
        <f t="shared" si="19"/>
        <v>-0.98643202301452604</v>
      </c>
      <c r="K103" s="655">
        <f t="shared" si="19"/>
        <v>-1.5830447767543649</v>
      </c>
    </row>
  </sheetData>
  <sheetProtection algorithmName="SHA-512" hashValue="IUFW4GcVy2ASd2nfQn5htPpnOIJ4mMlWSLUGnJ5yaFY9weEbAU2TbN3EdjkI0gbBBsrRNOld1tvuBO6FS670MQ==" saltValue="pTdrJXza4Y8IaOBrk7ToYQ==" spinCount="100000" sheet="1" objects="1" scenarios="1"/>
  <conditionalFormatting sqref="D50:F50 K50">
    <cfRule type="expression" dxfId="20" priority="19">
      <formula>AND(D$5="Actuals",E$5="Actuals")</formula>
    </cfRule>
  </conditionalFormatting>
  <conditionalFormatting sqref="D5:K5">
    <cfRule type="expression" dxfId="19" priority="51">
      <formula>AND(D$5="Actuals",E$5="Forecast")</formula>
    </cfRule>
  </conditionalFormatting>
  <conditionalFormatting sqref="D6:K7">
    <cfRule type="expression" dxfId="18" priority="76">
      <formula>AND(D$6="Actuals",E$6="Forecast")</formula>
    </cfRule>
  </conditionalFormatting>
  <conditionalFormatting sqref="D12:K12 D15:K19 D24:K44 D44:F46 D47:K47">
    <cfRule type="expression" dxfId="17" priority="18">
      <formula>NOT(AND(D$5="Actuals"))</formula>
    </cfRule>
  </conditionalFormatting>
  <conditionalFormatting sqref="G50:J50">
    <cfRule type="expression" dxfId="16" priority="1">
      <formula>AND(E$5="Actuals",F$5="Actuals")</formula>
    </cfRule>
  </conditionalFormatting>
  <conditionalFormatting sqref="G45:K46">
    <cfRule type="expression" dxfId="15" priority="4">
      <formula>NOT(AND(G$5="Actuals"))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83.15234375" bestFit="1" customWidth="1"/>
    <col min="3" max="3" width="14.15234375" customWidth="1"/>
    <col min="4" max="11" width="11.15234375" customWidth="1"/>
    <col min="12" max="12" width="5" customWidth="1"/>
    <col min="17" max="17" width="13.15234375" customWidth="1"/>
  </cols>
  <sheetData>
    <row r="1" spans="1:18" ht="20">
      <c r="A1" s="785" t="s">
        <v>259</v>
      </c>
      <c r="B1" s="795"/>
      <c r="C1" s="111"/>
      <c r="D1" s="111"/>
      <c r="E1" s="111"/>
      <c r="F1" s="111"/>
      <c r="G1" s="111"/>
      <c r="H1" s="111"/>
      <c r="I1" s="117"/>
      <c r="J1" s="117"/>
      <c r="K1" s="118"/>
      <c r="L1" s="119"/>
    </row>
    <row r="2" spans="1:18" ht="20">
      <c r="A2" s="772" t="str">
        <f>'RFPR cover'!C5</f>
        <v>NPgN</v>
      </c>
      <c r="B2" s="764"/>
      <c r="C2" s="29"/>
      <c r="D2" s="29"/>
      <c r="E2" s="29"/>
      <c r="F2" s="29"/>
      <c r="G2" s="29"/>
      <c r="H2" s="29"/>
      <c r="I2" s="27"/>
      <c r="J2" s="27"/>
      <c r="K2" s="27"/>
      <c r="L2" s="114"/>
    </row>
    <row r="3" spans="1:18" ht="23">
      <c r="A3" s="787">
        <f>'RFPR cover'!C7</f>
        <v>2023</v>
      </c>
      <c r="B3" s="780" t="str">
        <f>'R1 - RoRE'!B3</f>
        <v/>
      </c>
      <c r="C3" s="115"/>
      <c r="D3" s="115"/>
      <c r="E3" s="115"/>
      <c r="F3" s="115"/>
      <c r="G3" s="115"/>
      <c r="H3" s="115"/>
      <c r="I3" s="28"/>
      <c r="J3" s="28"/>
      <c r="K3" s="28"/>
      <c r="L3" s="116"/>
    </row>
    <row r="4" spans="1:18" s="2" customFormat="1" ht="12.75" customHeight="1"/>
    <row r="5" spans="1:18" s="2" customFormat="1">
      <c r="B5" s="3"/>
      <c r="C5" s="3"/>
      <c r="D5" s="342" t="str">
        <f>IF(D6&lt;='RFPR cover'!$C$7,"Actuals","N/A")</f>
        <v>Actuals</v>
      </c>
      <c r="E5" s="343" t="str">
        <f>IF(E6&lt;='RFPR cover'!$C$7,"Actuals","N/A")</f>
        <v>Actuals</v>
      </c>
      <c r="F5" s="343" t="str">
        <f>IF(F6&lt;='RFPR cover'!$C$7,"Actuals","N/A")</f>
        <v>Actuals</v>
      </c>
      <c r="G5" s="343" t="str">
        <f>IF(G6&lt;='RFPR cover'!$C$7,"Actuals","N/A")</f>
        <v>Actuals</v>
      </c>
      <c r="H5" s="343" t="str">
        <f>IF(H6&lt;='RFPR cover'!$C$7,"Actuals","N/A")</f>
        <v>Actuals</v>
      </c>
      <c r="I5" s="343" t="str">
        <f>IF(I6&lt;='RFPR cover'!$C$7,"Actuals","N/A")</f>
        <v>Actuals</v>
      </c>
      <c r="J5" s="343" t="str">
        <f>IF(J6&lt;='RFPR cover'!$C$7,"Actuals","N/A")</f>
        <v>Actuals</v>
      </c>
      <c r="K5" s="344" t="str">
        <f>IF(K6&lt;='RFPR cover'!$C$7,"Actuals","N/A")</f>
        <v>Actuals</v>
      </c>
    </row>
    <row r="6" spans="1:18" s="2" customFormat="1">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8" s="2" customFormat="1"/>
    <row r="8" spans="1:18">
      <c r="B8" s="14" t="s">
        <v>229</v>
      </c>
      <c r="C8" s="142" t="s">
        <v>127</v>
      </c>
      <c r="D8" s="555">
        <v>20.6</v>
      </c>
      <c r="E8" s="556">
        <v>21.8</v>
      </c>
      <c r="F8" s="556">
        <v>22.7</v>
      </c>
      <c r="G8" s="556">
        <v>23.7</v>
      </c>
      <c r="H8" s="556">
        <v>24.6</v>
      </c>
      <c r="I8" s="556">
        <v>25.4</v>
      </c>
      <c r="J8" s="556">
        <v>26</v>
      </c>
      <c r="K8" s="557">
        <v>27.7</v>
      </c>
    </row>
    <row r="9" spans="1:18">
      <c r="B9" s="15" t="s">
        <v>105</v>
      </c>
      <c r="C9" s="14"/>
      <c r="D9" s="661"/>
      <c r="E9" s="661"/>
      <c r="F9" s="661"/>
      <c r="G9" s="661"/>
      <c r="H9" s="661"/>
      <c r="I9" s="661"/>
      <c r="J9" s="661"/>
      <c r="K9" s="661"/>
    </row>
    <row r="10" spans="1:18">
      <c r="B10" s="379" t="s">
        <v>22</v>
      </c>
      <c r="C10" s="142" t="s">
        <v>127</v>
      </c>
      <c r="D10" s="518"/>
      <c r="E10" s="519"/>
      <c r="F10" s="519"/>
      <c r="G10" s="519"/>
      <c r="H10" s="519"/>
      <c r="I10" s="519"/>
      <c r="J10" s="519"/>
      <c r="K10" s="529"/>
    </row>
    <row r="11" spans="1:18">
      <c r="B11" s="379" t="s">
        <v>22</v>
      </c>
      <c r="C11" s="142" t="s">
        <v>127</v>
      </c>
      <c r="D11" s="520"/>
      <c r="E11" s="521"/>
      <c r="F11" s="521"/>
      <c r="G11" s="521"/>
      <c r="H11" s="521"/>
      <c r="I11" s="521"/>
      <c r="J11" s="521"/>
      <c r="K11" s="530"/>
    </row>
    <row r="12" spans="1:18">
      <c r="B12" s="379" t="s">
        <v>20</v>
      </c>
      <c r="C12" s="142" t="s">
        <v>127</v>
      </c>
      <c r="D12" s="531"/>
      <c r="E12" s="532"/>
      <c r="F12" s="532"/>
      <c r="G12" s="532"/>
      <c r="H12" s="532"/>
      <c r="I12" s="532"/>
      <c r="J12" s="532"/>
      <c r="K12" s="533"/>
      <c r="Q12" s="196"/>
    </row>
    <row r="13" spans="1:18">
      <c r="B13" s="14" t="s">
        <v>106</v>
      </c>
      <c r="C13" s="142" t="s">
        <v>127</v>
      </c>
      <c r="D13" s="563">
        <f>D8-SUM(D10:D12)</f>
        <v>20.6</v>
      </c>
      <c r="E13" s="564">
        <f t="shared" ref="E13:K13" si="1">E8-SUM(E10:E12)</f>
        <v>21.8</v>
      </c>
      <c r="F13" s="564">
        <f t="shared" si="1"/>
        <v>22.7</v>
      </c>
      <c r="G13" s="564">
        <f t="shared" si="1"/>
        <v>23.7</v>
      </c>
      <c r="H13" s="564">
        <f t="shared" si="1"/>
        <v>24.6</v>
      </c>
      <c r="I13" s="564">
        <f t="shared" si="1"/>
        <v>25.4</v>
      </c>
      <c r="J13" s="564">
        <f t="shared" si="1"/>
        <v>26</v>
      </c>
      <c r="K13" s="565">
        <f t="shared" si="1"/>
        <v>27.7</v>
      </c>
      <c r="R13" s="195"/>
    </row>
    <row r="14" spans="1:18">
      <c r="C14" s="14"/>
      <c r="Q14" s="196"/>
    </row>
    <row r="15" spans="1:18">
      <c r="B15" s="14" t="s">
        <v>501</v>
      </c>
      <c r="C15" s="142" t="s">
        <v>127</v>
      </c>
      <c r="D15" s="518"/>
      <c r="E15" s="519"/>
      <c r="F15" s="519"/>
      <c r="G15" s="519"/>
      <c r="H15" s="519"/>
      <c r="I15" s="519"/>
      <c r="J15" s="519"/>
      <c r="K15" s="529"/>
    </row>
  </sheetData>
  <sheetProtection algorithmName="SHA-512" hashValue="QdqUxJ4YYM5Nh4pqZ1BSgiACoIRlgO3ScLfHmFYI4clEsbd+xFUWQHthkByedtQqwb8HzyzbXj1lh/QsP2UGeQ==" saltValue="lmAToTZ7eM88Fj9UfBnjIA==" spinCount="100000" sheet="1" objects="1" scenarios="1"/>
  <conditionalFormatting sqref="D5:K6 D10:K13">
    <cfRule type="expression" dxfId="14" priority="3">
      <formula>D$5="N/A"</formula>
    </cfRule>
  </conditionalFormatting>
  <conditionalFormatting sqref="D5:K6">
    <cfRule type="expression" dxfId="13" priority="4">
      <formula>AND(D$5="Actuals",E$5="N/A")</formula>
    </cfRule>
  </conditionalFormatting>
  <conditionalFormatting sqref="D8:K8">
    <cfRule type="expression" dxfId="12" priority="1">
      <formula>D$5="N/A"</formula>
    </cfRule>
  </conditionalFormatting>
  <conditionalFormatting sqref="D15:K15">
    <cfRule type="expression" dxfId="11" priority="2">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82" customWidth="1"/>
    <col min="3" max="3" width="14.15234375" customWidth="1"/>
    <col min="4" max="11" width="11.15234375" customWidth="1"/>
    <col min="12" max="12" width="5" customWidth="1"/>
  </cols>
  <sheetData>
    <row r="1" spans="1:12" ht="20">
      <c r="A1" s="782" t="s">
        <v>258</v>
      </c>
      <c r="B1" s="778"/>
      <c r="C1" s="231"/>
      <c r="D1" s="231"/>
      <c r="E1" s="231"/>
      <c r="F1" s="231"/>
      <c r="G1" s="231"/>
      <c r="H1" s="231"/>
      <c r="I1" s="232"/>
      <c r="J1" s="232"/>
      <c r="K1" s="233"/>
      <c r="L1" s="234"/>
    </row>
    <row r="2" spans="1:12" ht="20">
      <c r="A2" s="772" t="str">
        <f>'RFPR cover'!C5</f>
        <v>NPgN</v>
      </c>
      <c r="B2" s="764"/>
      <c r="C2" s="29"/>
      <c r="D2" s="29"/>
      <c r="E2" s="29"/>
      <c r="F2" s="29"/>
      <c r="G2" s="29"/>
      <c r="H2" s="29"/>
      <c r="I2" s="27"/>
      <c r="J2" s="27"/>
      <c r="K2" s="27"/>
      <c r="L2" s="114"/>
    </row>
    <row r="3" spans="1:12" ht="20">
      <c r="A3" s="774">
        <f>'RFPR cover'!C7</f>
        <v>2023</v>
      </c>
      <c r="B3" s="781"/>
      <c r="C3" s="235"/>
      <c r="D3" s="235"/>
      <c r="E3" s="235"/>
      <c r="F3" s="235"/>
      <c r="G3" s="235"/>
      <c r="H3" s="235"/>
      <c r="I3" s="230"/>
      <c r="J3" s="230"/>
      <c r="K3" s="230"/>
      <c r="L3" s="236"/>
    </row>
    <row r="4" spans="1:12" s="2" customFormat="1" ht="12.75" customHeight="1">
      <c r="B4" s="3"/>
      <c r="C4"/>
      <c r="D4" s="242"/>
      <c r="E4" s="242"/>
    </row>
    <row r="5" spans="1:12" s="2" customFormat="1" ht="12.75" customHeight="1">
      <c r="B5" s="3"/>
      <c r="C5"/>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row>
    <row r="6" spans="1:12" s="2" customFormat="1">
      <c r="C6"/>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2" s="2" customFormat="1">
      <c r="C7"/>
      <c r="D7"/>
      <c r="E7"/>
      <c r="F7"/>
      <c r="G7"/>
      <c r="H7"/>
      <c r="I7"/>
      <c r="J7"/>
      <c r="K7"/>
      <c r="L7"/>
    </row>
    <row r="8" spans="1:12">
      <c r="B8" s="14" t="s">
        <v>393</v>
      </c>
      <c r="C8" s="142" t="s">
        <v>127</v>
      </c>
      <c r="D8" s="662">
        <v>19.721484</v>
      </c>
      <c r="E8" s="663">
        <v>12.809784599999999</v>
      </c>
      <c r="F8" s="663">
        <v>17.97593625</v>
      </c>
      <c r="G8" s="663">
        <v>18.284579800000003</v>
      </c>
      <c r="H8" s="663">
        <v>18.803709503269051</v>
      </c>
      <c r="I8" s="663">
        <v>19.444011576931267</v>
      </c>
      <c r="J8" s="663">
        <v>0</v>
      </c>
      <c r="K8" s="664">
        <v>0</v>
      </c>
    </row>
    <row r="9" spans="1:12">
      <c r="B9" s="16" t="s">
        <v>24</v>
      </c>
      <c r="D9" s="661"/>
      <c r="E9" s="661"/>
      <c r="F9" s="661"/>
      <c r="G9" s="661"/>
      <c r="H9" s="661"/>
      <c r="I9" s="661"/>
      <c r="J9" s="661"/>
      <c r="K9" s="661"/>
    </row>
    <row r="10" spans="1:12">
      <c r="B10" t="s">
        <v>23</v>
      </c>
      <c r="C10" s="142" t="s">
        <v>127</v>
      </c>
      <c r="D10" s="594">
        <v>15.902708639944068</v>
      </c>
      <c r="E10" s="595">
        <v>10.334478554453197</v>
      </c>
      <c r="F10" s="595">
        <v>13.442925707354583</v>
      </c>
      <c r="G10" s="595">
        <v>13.85960794405335</v>
      </c>
      <c r="H10" s="595">
        <v>14.329425162495836</v>
      </c>
      <c r="I10" s="595">
        <v>14.557641615379646</v>
      </c>
      <c r="J10" s="595">
        <v>0</v>
      </c>
      <c r="K10" s="596">
        <v>0</v>
      </c>
    </row>
    <row r="11" spans="1:12">
      <c r="B11" t="s">
        <v>25</v>
      </c>
      <c r="C11" s="142" t="s">
        <v>127</v>
      </c>
      <c r="D11" s="665">
        <v>0.35531331881005812</v>
      </c>
      <c r="E11" s="666">
        <v>0.22884832270188757</v>
      </c>
      <c r="F11" s="666">
        <v>1.2948264844297122</v>
      </c>
      <c r="G11" s="666">
        <v>1.3506221004635242</v>
      </c>
      <c r="H11" s="666">
        <v>1.3964059004792371</v>
      </c>
      <c r="I11" s="666">
        <v>1.4878778503376486</v>
      </c>
      <c r="J11" s="666">
        <v>0</v>
      </c>
      <c r="K11" s="667">
        <v>0</v>
      </c>
    </row>
    <row r="12" spans="1:12">
      <c r="D12" s="661"/>
      <c r="E12" s="661"/>
      <c r="F12" s="661"/>
      <c r="G12" s="661"/>
      <c r="H12" s="661"/>
      <c r="I12" s="661"/>
      <c r="J12" s="661"/>
      <c r="K12" s="661"/>
    </row>
    <row r="13" spans="1:12">
      <c r="D13" s="661"/>
      <c r="E13" s="661"/>
      <c r="F13" s="661"/>
      <c r="G13" s="661"/>
      <c r="H13" s="661"/>
      <c r="I13" s="661"/>
      <c r="J13" s="661"/>
      <c r="K13" s="661"/>
    </row>
    <row r="14" spans="1:12">
      <c r="B14" t="s">
        <v>23</v>
      </c>
      <c r="C14" s="192" t="str">
        <f>'RFPR cover'!$C$14</f>
        <v>£m 12/13</v>
      </c>
      <c r="D14" s="17">
        <f>D10/Data!C$34</f>
        <v>14.998073631644067</v>
      </c>
      <c r="E14" s="17">
        <f>E10/Data!D$34</f>
        <v>9.542131612693348</v>
      </c>
      <c r="F14" s="17">
        <f>F10/Data!E$34</f>
        <v>11.964540309656259</v>
      </c>
      <c r="G14" s="17">
        <f>G10/Data!F$34</f>
        <v>11.96965695889722</v>
      </c>
      <c r="H14" s="17">
        <f>H10/Data!G$34</f>
        <v>12.063129560193188</v>
      </c>
      <c r="I14" s="17">
        <f>I10/Data!H$34</f>
        <v>12.108397482528684</v>
      </c>
      <c r="J14" s="17">
        <f>J10/Data!I$34</f>
        <v>0</v>
      </c>
      <c r="K14" s="17">
        <f>K10/Data!J$34</f>
        <v>0</v>
      </c>
    </row>
    <row r="15" spans="1:12">
      <c r="D15" s="661"/>
      <c r="E15" s="661"/>
      <c r="F15" s="661"/>
      <c r="G15" s="661"/>
      <c r="H15" s="661"/>
      <c r="I15" s="661"/>
      <c r="J15" s="661"/>
      <c r="K15" s="661"/>
    </row>
    <row r="16" spans="1:12">
      <c r="D16" s="661"/>
      <c r="E16" s="661"/>
      <c r="F16" s="661"/>
      <c r="G16" s="661"/>
      <c r="H16" s="661"/>
      <c r="I16" s="661"/>
      <c r="J16" s="661"/>
      <c r="K16" s="661"/>
    </row>
    <row r="17" spans="2:11" s="2" customFormat="1">
      <c r="B17" s="14" t="s">
        <v>310</v>
      </c>
      <c r="C17" s="192" t="str">
        <f>'RFPR cover'!$C$14</f>
        <v>£m 12/13</v>
      </c>
      <c r="D17" s="746">
        <v>14.378928341099536</v>
      </c>
      <c r="E17" s="746">
        <v>14.378928341099536</v>
      </c>
      <c r="F17" s="746">
        <v>14.378928341099536</v>
      </c>
      <c r="G17" s="746">
        <v>11.071839301832151</v>
      </c>
      <c r="H17" s="746">
        <v>11.071839301832147</v>
      </c>
      <c r="I17" s="746">
        <v>11.071839301832147</v>
      </c>
      <c r="J17" s="746">
        <v>10.742170396774563</v>
      </c>
      <c r="K17" s="746">
        <v>4.3500122024027439</v>
      </c>
    </row>
    <row r="18" spans="2:11" s="2" customFormat="1">
      <c r="B18" t="s">
        <v>311</v>
      </c>
      <c r="C18" s="192" t="str">
        <f>'RFPR cover'!$C$14</f>
        <v>£m 12/13</v>
      </c>
      <c r="D18" s="746">
        <v>6.8080378703724062E-2</v>
      </c>
      <c r="E18" s="746">
        <v>6.8080378703724062E-2</v>
      </c>
      <c r="F18" s="746">
        <v>6.8080378703724062E-2</v>
      </c>
      <c r="G18" s="746">
        <v>-0.92760211776218326</v>
      </c>
      <c r="H18" s="746">
        <v>-0.92760211776218615</v>
      </c>
      <c r="I18" s="746">
        <v>-0.92760211776218582</v>
      </c>
      <c r="J18" s="746">
        <v>-1.257271022819771</v>
      </c>
      <c r="K18" s="746">
        <v>-1.257271022819771</v>
      </c>
    </row>
    <row r="19" spans="2:11" s="2" customFormat="1">
      <c r="B19" s="14" t="s">
        <v>312</v>
      </c>
      <c r="C19" s="192" t="str">
        <f>'RFPR cover'!$C$14</f>
        <v>£m 12/13</v>
      </c>
      <c r="D19" s="17">
        <f>D17-D18</f>
        <v>14.310847962395812</v>
      </c>
      <c r="E19" s="17">
        <f t="shared" ref="E19:K19" si="1">E17-E18</f>
        <v>14.310847962395812</v>
      </c>
      <c r="F19" s="17">
        <f t="shared" si="1"/>
        <v>14.310847962395812</v>
      </c>
      <c r="G19" s="17">
        <f t="shared" si="1"/>
        <v>11.999441419594334</v>
      </c>
      <c r="H19" s="17">
        <f t="shared" si="1"/>
        <v>11.999441419594334</v>
      </c>
      <c r="I19" s="17">
        <f t="shared" si="1"/>
        <v>11.999441419594334</v>
      </c>
      <c r="J19" s="17">
        <f t="shared" si="1"/>
        <v>11.999441419594334</v>
      </c>
      <c r="K19" s="17">
        <f t="shared" si="1"/>
        <v>5.6072832252225151</v>
      </c>
    </row>
    <row r="20" spans="2:11" s="2" customFormat="1">
      <c r="B20" s="14"/>
      <c r="C20" s="14"/>
      <c r="D20" s="14"/>
      <c r="E20" s="14"/>
      <c r="F20" s="14"/>
      <c r="G20" s="14"/>
      <c r="H20" s="14"/>
      <c r="I20" s="14"/>
      <c r="J20" s="14"/>
      <c r="K20" s="14"/>
    </row>
    <row r="21" spans="2:11" s="2" customFormat="1">
      <c r="B21" s="14"/>
      <c r="C21" s="14"/>
      <c r="D21" s="856" t="s">
        <v>118</v>
      </c>
      <c r="E21" s="14"/>
      <c r="F21" s="14"/>
      <c r="G21" s="14"/>
      <c r="H21" s="14"/>
      <c r="I21" s="14"/>
      <c r="J21" s="14"/>
      <c r="K21" s="14"/>
    </row>
    <row r="22" spans="2:11" s="2" customFormat="1" ht="12.75" customHeight="1">
      <c r="B22" s="14"/>
      <c r="C22" s="14"/>
      <c r="D22" s="857"/>
      <c r="E22" s="14"/>
      <c r="F22" s="14"/>
      <c r="G22" s="14"/>
      <c r="H22" s="14"/>
      <c r="I22" s="14"/>
      <c r="J22" s="14"/>
      <c r="K22" s="14"/>
    </row>
    <row r="23" spans="2:11">
      <c r="C23" s="14"/>
      <c r="D23" s="858"/>
      <c r="E23" s="14"/>
    </row>
    <row r="24" spans="2:11">
      <c r="B24" s="14" t="s">
        <v>117</v>
      </c>
      <c r="C24" s="14"/>
      <c r="D24" s="451">
        <v>43555</v>
      </c>
    </row>
    <row r="25" spans="2:11">
      <c r="B25" s="14"/>
      <c r="C25" s="14"/>
      <c r="D25" s="37"/>
      <c r="E25" s="38"/>
      <c r="F25" s="38"/>
    </row>
    <row r="26" spans="2:11">
      <c r="B26" t="s">
        <v>309</v>
      </c>
      <c r="C26" s="14"/>
      <c r="D26" s="799">
        <v>43555</v>
      </c>
      <c r="E26" s="38"/>
      <c r="F26" s="38"/>
    </row>
    <row r="27" spans="2:11">
      <c r="C27" s="14"/>
      <c r="D27" s="37"/>
      <c r="E27" s="38"/>
      <c r="F27" s="38"/>
    </row>
    <row r="28" spans="2:11">
      <c r="B28" s="14"/>
      <c r="D28" s="318" t="s">
        <v>280</v>
      </c>
      <c r="E28" s="38"/>
      <c r="F28" s="38"/>
    </row>
    <row r="29" spans="2:11">
      <c r="B29" t="s">
        <v>26</v>
      </c>
      <c r="D29" s="668">
        <v>199.6523</v>
      </c>
    </row>
    <row r="30" spans="2:11">
      <c r="B30" t="s">
        <v>27</v>
      </c>
      <c r="D30" s="668">
        <v>1539.0476999999998</v>
      </c>
    </row>
    <row r="31" spans="2:11">
      <c r="D31" s="661"/>
    </row>
    <row r="32" spans="2:11">
      <c r="B32" t="s">
        <v>28</v>
      </c>
      <c r="D32" s="668">
        <v>185.96023569110412</v>
      </c>
    </row>
    <row r="33" spans="2:4">
      <c r="B33" t="s">
        <v>29</v>
      </c>
      <c r="D33" s="668">
        <v>1436.4397643088957</v>
      </c>
    </row>
    <row r="34" spans="2:4">
      <c r="D34" s="661"/>
    </row>
    <row r="35" spans="2:4">
      <c r="B35" s="39" t="s">
        <v>31</v>
      </c>
      <c r="D35" s="17">
        <f>D29-D32</f>
        <v>13.69206430889588</v>
      </c>
    </row>
    <row r="36" spans="2:4">
      <c r="B36" s="39" t="s">
        <v>30</v>
      </c>
      <c r="D36" s="17">
        <f>D30-D33</f>
        <v>102.6079356911041</v>
      </c>
    </row>
    <row r="37" spans="2:4">
      <c r="D37" s="661"/>
    </row>
    <row r="38" spans="2:4">
      <c r="B38" t="s">
        <v>32</v>
      </c>
      <c r="D38" s="668">
        <v>56.435123995621765</v>
      </c>
    </row>
    <row r="39" spans="2:4">
      <c r="B39" t="s">
        <v>33</v>
      </c>
      <c r="D39" s="668">
        <v>6.0638687627525814</v>
      </c>
    </row>
  </sheetData>
  <sheetProtection algorithmName="SHA-512" hashValue="wJb+QFrQVnAJ/LxhC1ZVnepnZDQ057GHSjlnxtP2cOiORskhquC7HvB3PLVn/pIojIdBKaHZ7YP0b/9Vo263Xw==" saltValue="1b5Vk9+pcU/mrIRdkRHyRw==" spinCount="100000" sheet="1" objects="1" scenarios="1"/>
  <mergeCells count="1">
    <mergeCell ref="D21:D23"/>
  </mergeCells>
  <conditionalFormatting sqref="D21">
    <cfRule type="expression" dxfId="10" priority="18">
      <formula>AND(E$4="Actuals",F$4="Forecast")</formula>
    </cfRule>
  </conditionalFormatting>
  <conditionalFormatting sqref="D6:J6">
    <cfRule type="expression" dxfId="9" priority="28">
      <formula>AND(D$4="Actuals",E$4="Forecast")</formula>
    </cfRule>
  </conditionalFormatting>
  <conditionalFormatting sqref="D5:K6">
    <cfRule type="expression" dxfId="8" priority="21">
      <formula>AND(D$5="Actuals",E$5="Forecast")</formula>
    </cfRule>
  </conditionalFormatting>
  <conditionalFormatting sqref="D8:K8">
    <cfRule type="expression" dxfId="7" priority="11">
      <formula>D$5="Forecast"</formula>
    </cfRule>
    <cfRule type="expression" dxfId="6" priority="12">
      <formula>D$5="Actuals"</formula>
    </cfRule>
  </conditionalFormatting>
  <conditionalFormatting sqref="D10:K11">
    <cfRule type="expression" dxfId="5" priority="1">
      <formula>D$5="Forecast"</formula>
    </cfRule>
    <cfRule type="expression" dxfId="4" priority="2">
      <formula>D$5="Actuals"</formula>
    </cfRule>
  </conditionalFormatting>
  <conditionalFormatting sqref="K5">
    <cfRule type="expression" dxfId="3" priority="126">
      <formula>AND(K$5="Actuals",#REF!="Forecast")</formula>
    </cfRule>
  </conditionalFormatting>
  <conditionalFormatting sqref="K6">
    <cfRule type="expression" dxfId="2" priority="124">
      <formula>AND(K$4="Actuals",#REF!="Forecast")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pane="bottomLeft"/>
    </sheetView>
  </sheetViews>
  <sheetFormatPr defaultRowHeight="13.5"/>
  <cols>
    <col min="1" max="1" width="8.3828125" customWidth="1"/>
    <col min="2" max="2" width="70.765625" customWidth="1"/>
    <col min="3" max="3" width="14.15234375" customWidth="1"/>
    <col min="4" max="11" width="11.15234375" customWidth="1"/>
    <col min="12" max="12" width="5" customWidth="1"/>
  </cols>
  <sheetData>
    <row r="1" spans="1:19" ht="20">
      <c r="A1" s="769" t="s">
        <v>257</v>
      </c>
      <c r="B1" s="778"/>
      <c r="C1" s="231"/>
      <c r="D1" s="231"/>
      <c r="E1" s="231"/>
      <c r="F1" s="231"/>
      <c r="G1" s="231"/>
      <c r="H1" s="231"/>
      <c r="I1" s="232"/>
      <c r="J1" s="232"/>
      <c r="K1" s="233"/>
      <c r="L1" s="319"/>
      <c r="M1" s="32"/>
      <c r="N1" s="32"/>
      <c r="O1" s="31" t="s">
        <v>84</v>
      </c>
      <c r="P1" s="32"/>
      <c r="Q1" s="32"/>
      <c r="R1" s="32"/>
      <c r="S1" s="32"/>
    </row>
    <row r="2" spans="1:19" ht="20">
      <c r="A2" s="772" t="str">
        <f>'RFPR cover'!C5</f>
        <v>NPgN</v>
      </c>
      <c r="B2" s="764"/>
      <c r="C2" s="29"/>
      <c r="D2" s="29"/>
      <c r="E2" s="29"/>
      <c r="F2" s="29"/>
      <c r="G2" s="29"/>
      <c r="H2" s="29"/>
      <c r="I2" s="27"/>
      <c r="J2" s="27"/>
      <c r="K2" s="27"/>
      <c r="L2" s="114"/>
      <c r="M2" s="32"/>
      <c r="N2" s="32"/>
      <c r="O2" s="31" t="s">
        <v>84</v>
      </c>
      <c r="P2" s="32"/>
      <c r="Q2" s="32"/>
      <c r="R2" s="32"/>
      <c r="S2" s="32"/>
    </row>
    <row r="3" spans="1:19" ht="20">
      <c r="A3" s="774">
        <f>'RFPR cover'!C7</f>
        <v>2023</v>
      </c>
      <c r="B3" s="781"/>
      <c r="C3" s="235"/>
      <c r="D3" s="235"/>
      <c r="E3" s="235"/>
      <c r="F3" s="235"/>
      <c r="G3" s="235"/>
      <c r="H3" s="235"/>
      <c r="I3" s="230"/>
      <c r="J3" s="230"/>
      <c r="K3" s="230"/>
      <c r="L3" s="236"/>
      <c r="M3" s="32"/>
      <c r="N3" s="32"/>
      <c r="O3" s="31" t="s">
        <v>84</v>
      </c>
      <c r="P3" s="32"/>
      <c r="Q3" s="32"/>
      <c r="R3" s="32"/>
      <c r="S3" s="32"/>
    </row>
    <row r="4" spans="1:19" s="2" customFormat="1" ht="12.75" customHeight="1">
      <c r="M4" s="32"/>
      <c r="N4" s="32"/>
      <c r="O4" s="31" t="s">
        <v>84</v>
      </c>
      <c r="P4" s="32"/>
      <c r="Q4" s="32"/>
      <c r="R4" s="32"/>
      <c r="S4" s="32"/>
    </row>
    <row r="5" spans="1:19" s="2" customFormat="1" ht="12.75" customHeight="1">
      <c r="B5" s="3"/>
      <c r="C5" s="3"/>
      <c r="D5" s="342" t="str">
        <f>IF(D6&lt;='RFPR cover'!$C$7,"Actuals","Forecast")</f>
        <v>Actuals</v>
      </c>
      <c r="E5" s="343" t="str">
        <f>IF(E6&lt;='RFPR cover'!$C$7,"Actuals","Forecast")</f>
        <v>Actuals</v>
      </c>
      <c r="F5" s="343" t="str">
        <f>IF(F6&lt;='RFPR cover'!$C$7,"Actuals","Forecast")</f>
        <v>Actuals</v>
      </c>
      <c r="G5" s="343" t="str">
        <f>IF(G6&lt;='RFPR cover'!$C$7,"Actuals","Forecast")</f>
        <v>Actuals</v>
      </c>
      <c r="H5" s="343" t="str">
        <f>IF(H6&lt;='RFPR cover'!$C$7,"Actuals","Forecast")</f>
        <v>Actuals</v>
      </c>
      <c r="I5" s="343" t="str">
        <f>IF(I6&lt;='RFPR cover'!$C$7,"Actuals","Forecast")</f>
        <v>Actuals</v>
      </c>
      <c r="J5" s="343" t="str">
        <f>IF(J6&lt;='RFPR cover'!$C$7,"Actuals","Forecast")</f>
        <v>Actuals</v>
      </c>
      <c r="K5" s="344" t="str">
        <f>IF(K6&lt;='RFPR cover'!$C$7,"Actuals","Forecast")</f>
        <v>Actuals</v>
      </c>
      <c r="M5" s="32"/>
      <c r="N5" s="32"/>
      <c r="O5" s="31" t="s">
        <v>84</v>
      </c>
      <c r="P5" s="32"/>
      <c r="Q5" s="32"/>
      <c r="R5" s="32"/>
      <c r="S5" s="32"/>
    </row>
    <row r="6" spans="1:19" s="2" customFormat="1">
      <c r="C6" s="14"/>
      <c r="D6" s="108">
        <f>'RFPR cover'!$C$13</f>
        <v>2016</v>
      </c>
      <c r="E6" s="109">
        <f>D6+1</f>
        <v>2017</v>
      </c>
      <c r="F6" s="109">
        <f t="shared" ref="F6:K6" si="0">E6+1</f>
        <v>2018</v>
      </c>
      <c r="G6" s="109">
        <f t="shared" si="0"/>
        <v>2019</v>
      </c>
      <c r="H6" s="109">
        <f t="shared" si="0"/>
        <v>2020</v>
      </c>
      <c r="I6" s="109">
        <f t="shared" si="0"/>
        <v>2021</v>
      </c>
      <c r="J6" s="109">
        <f t="shared" si="0"/>
        <v>2022</v>
      </c>
      <c r="K6" s="180">
        <f t="shared" si="0"/>
        <v>2023</v>
      </c>
    </row>
    <row r="7" spans="1:19">
      <c r="D7" s="672"/>
      <c r="E7" s="672"/>
      <c r="F7" s="672"/>
      <c r="G7" s="672"/>
      <c r="H7" s="672"/>
      <c r="I7" s="672"/>
      <c r="J7" s="672"/>
      <c r="K7" s="672"/>
    </row>
    <row r="8" spans="1:19">
      <c r="B8" s="12" t="s">
        <v>464</v>
      </c>
      <c r="C8" s="192" t="str">
        <f>'RFPR cover'!$C$14</f>
        <v>£m 12/13</v>
      </c>
      <c r="D8" s="669">
        <f>(D16+D21)/Data!C34</f>
        <v>0.2976853859763407</v>
      </c>
      <c r="E8" s="669">
        <f>(E16+E21)/Data!D34</f>
        <v>0.2239074670178722</v>
      </c>
      <c r="F8" s="669">
        <f>(F16+F21)/Data!E34</f>
        <v>0.24615244154408025</v>
      </c>
      <c r="G8" s="669">
        <f>(G16+G21)/Data!F34</f>
        <v>0.2340713198488924</v>
      </c>
      <c r="H8" s="669">
        <f>(H16+H21)/Data!G34</f>
        <v>0.1782707006772937</v>
      </c>
      <c r="I8" s="669">
        <f>(I16+I21)/Data!H34</f>
        <v>0.17328464115196474</v>
      </c>
      <c r="J8" s="669">
        <f>(J16+J21)/Data!I34</f>
        <v>14.589626865585418</v>
      </c>
      <c r="K8" s="669">
        <f>(K16+K21)/Data!J34</f>
        <v>-0.33452337418457706</v>
      </c>
    </row>
    <row r="9" spans="1:19">
      <c r="D9" s="672"/>
      <c r="E9" s="672"/>
      <c r="F9" s="672"/>
      <c r="G9" s="672"/>
      <c r="H9" s="672"/>
      <c r="I9" s="672"/>
      <c r="J9" s="672"/>
      <c r="K9" s="672"/>
    </row>
    <row r="10" spans="1:19">
      <c r="B10" s="14" t="s">
        <v>451</v>
      </c>
      <c r="D10" s="672"/>
      <c r="E10" s="672"/>
      <c r="F10" s="672"/>
      <c r="G10" s="672"/>
      <c r="H10" s="672"/>
      <c r="I10" s="672"/>
      <c r="J10" s="672"/>
      <c r="K10" s="672"/>
    </row>
    <row r="11" spans="1:19">
      <c r="B11" s="40" t="s">
        <v>603</v>
      </c>
      <c r="C11" s="142" t="s">
        <v>127</v>
      </c>
      <c r="D11" s="555"/>
      <c r="E11" s="556"/>
      <c r="F11" s="556"/>
      <c r="G11" s="556"/>
      <c r="H11" s="556"/>
      <c r="I11" s="556"/>
      <c r="J11" s="556">
        <v>7.0747999999999998</v>
      </c>
      <c r="K11" s="557"/>
    </row>
    <row r="12" spans="1:19">
      <c r="B12" s="40" t="s">
        <v>36</v>
      </c>
      <c r="C12" s="142" t="s">
        <v>127</v>
      </c>
      <c r="D12" s="555"/>
      <c r="E12" s="556"/>
      <c r="F12" s="556"/>
      <c r="G12" s="556"/>
      <c r="H12" s="556"/>
      <c r="I12" s="556"/>
      <c r="J12" s="556"/>
      <c r="K12" s="557"/>
    </row>
    <row r="13" spans="1:19">
      <c r="B13" s="40" t="s">
        <v>20</v>
      </c>
      <c r="C13" s="142" t="s">
        <v>127</v>
      </c>
      <c r="D13" s="555"/>
      <c r="E13" s="556"/>
      <c r="F13" s="556"/>
      <c r="G13" s="556"/>
      <c r="H13" s="556"/>
      <c r="I13" s="556"/>
      <c r="J13" s="556"/>
      <c r="K13" s="557"/>
    </row>
    <row r="14" spans="1:19">
      <c r="B14" s="14" t="s">
        <v>461</v>
      </c>
      <c r="C14" s="142" t="s">
        <v>127</v>
      </c>
      <c r="D14" s="669">
        <f>SUM(D11:D13)</f>
        <v>0</v>
      </c>
      <c r="E14" s="670">
        <f t="shared" ref="E14:K14" si="1">SUM(E11:E13)</f>
        <v>0</v>
      </c>
      <c r="F14" s="670">
        <f t="shared" si="1"/>
        <v>0</v>
      </c>
      <c r="G14" s="670">
        <f t="shared" si="1"/>
        <v>0</v>
      </c>
      <c r="H14" s="670">
        <f t="shared" si="1"/>
        <v>0</v>
      </c>
      <c r="I14" s="670">
        <f t="shared" si="1"/>
        <v>0</v>
      </c>
      <c r="J14" s="670">
        <f t="shared" si="1"/>
        <v>7.0747999999999998</v>
      </c>
      <c r="K14" s="671">
        <f t="shared" si="1"/>
        <v>0</v>
      </c>
    </row>
    <row r="15" spans="1:19">
      <c r="B15" s="2" t="s">
        <v>455</v>
      </c>
      <c r="C15" s="142" t="s">
        <v>127</v>
      </c>
      <c r="D15" s="555"/>
      <c r="E15" s="556"/>
      <c r="F15" s="556"/>
      <c r="G15" s="556"/>
      <c r="H15" s="556"/>
      <c r="I15" s="556"/>
      <c r="J15" s="556"/>
      <c r="K15" s="557"/>
    </row>
    <row r="16" spans="1:19">
      <c r="B16" s="12" t="s">
        <v>462</v>
      </c>
      <c r="C16" s="142" t="s">
        <v>127</v>
      </c>
      <c r="D16" s="669">
        <f>D14-D15</f>
        <v>0</v>
      </c>
      <c r="E16" s="669">
        <f t="shared" ref="E16:K16" si="2">E14-E15</f>
        <v>0</v>
      </c>
      <c r="F16" s="669">
        <f t="shared" si="2"/>
        <v>0</v>
      </c>
      <c r="G16" s="669">
        <f t="shared" si="2"/>
        <v>0</v>
      </c>
      <c r="H16" s="669">
        <f t="shared" si="2"/>
        <v>0</v>
      </c>
      <c r="I16" s="669">
        <f t="shared" si="2"/>
        <v>0</v>
      </c>
      <c r="J16" s="669">
        <f t="shared" si="2"/>
        <v>7.0747999999999998</v>
      </c>
      <c r="K16" s="669">
        <f t="shared" si="2"/>
        <v>0</v>
      </c>
    </row>
    <row r="18" spans="2:11">
      <c r="B18" s="14" t="s">
        <v>459</v>
      </c>
      <c r="D18" s="672"/>
      <c r="E18" s="672"/>
      <c r="F18" s="672"/>
      <c r="G18" s="672"/>
      <c r="H18" s="672"/>
      <c r="I18" s="672"/>
      <c r="J18" s="672"/>
      <c r="K18" s="672"/>
    </row>
    <row r="19" spans="2:11">
      <c r="B19" s="722" t="s">
        <v>460</v>
      </c>
      <c r="C19" s="142" t="s">
        <v>127</v>
      </c>
      <c r="D19" s="555">
        <v>0.39455099999999999</v>
      </c>
      <c r="E19" s="556">
        <v>0.30312499999999998</v>
      </c>
      <c r="F19" s="556">
        <v>0.34571000000000002</v>
      </c>
      <c r="G19" s="556">
        <v>0.33460500000000004</v>
      </c>
      <c r="H19" s="556">
        <v>0.26143499999999997</v>
      </c>
      <c r="I19" s="556">
        <v>0.25720500000000002</v>
      </c>
      <c r="J19" s="556">
        <v>14.171746730000001</v>
      </c>
      <c r="K19" s="557">
        <v>-0.59282619000001058</v>
      </c>
    </row>
    <row r="20" spans="2:11">
      <c r="B20" s="2" t="s">
        <v>455</v>
      </c>
      <c r="C20" s="142" t="s">
        <v>127</v>
      </c>
      <c r="D20" s="555">
        <v>7.89102E-2</v>
      </c>
      <c r="E20" s="556">
        <v>6.0624999999999998E-2</v>
      </c>
      <c r="F20" s="556">
        <v>6.9142000000000009E-2</v>
      </c>
      <c r="G20" s="556">
        <v>6.3574950000000005E-2</v>
      </c>
      <c r="H20" s="556">
        <v>4.9672649999999999E-2</v>
      </c>
      <c r="I20" s="556">
        <v>4.8868950000000001E-2</v>
      </c>
      <c r="J20" s="556">
        <v>2.6926318787000003</v>
      </c>
      <c r="K20" s="557">
        <v>-0.11263697610000201</v>
      </c>
    </row>
    <row r="21" spans="2:11">
      <c r="B21" s="12" t="s">
        <v>463</v>
      </c>
      <c r="C21" s="142" t="s">
        <v>127</v>
      </c>
      <c r="D21" s="669">
        <f>D19-D20</f>
        <v>0.3156408</v>
      </c>
      <c r="E21" s="669">
        <f t="shared" ref="E21:K21" si="3">E19-E20</f>
        <v>0.24249999999999999</v>
      </c>
      <c r="F21" s="669">
        <f t="shared" si="3"/>
        <v>0.27656800000000004</v>
      </c>
      <c r="G21" s="669">
        <f t="shared" si="3"/>
        <v>0.27103005000000002</v>
      </c>
      <c r="H21" s="669">
        <f t="shared" si="3"/>
        <v>0.21176234999999999</v>
      </c>
      <c r="I21" s="669">
        <f>I19-I20</f>
        <v>0.20833605000000002</v>
      </c>
      <c r="J21" s="669">
        <f>J19-J20</f>
        <v>11.4791148513</v>
      </c>
      <c r="K21" s="800">
        <f t="shared" si="3"/>
        <v>-0.48018921390000857</v>
      </c>
    </row>
  </sheetData>
  <sheetProtection algorithmName="SHA-512" hashValue="rbiQQH8ccj34KsiVX0u6nHqba8V6d81bKsrOP1g45wHKnENm+KLvUtPrrynlXu3ndzGDB8wEc+yse8d1zRgWcQ==" saltValue="M3soNmMyEpPYukNWDBF6SA==" spinCount="100000" sheet="1" objects="1" scenarios="1"/>
  <conditionalFormatting sqref="D5:K6">
    <cfRule type="expression" dxfId="1" priority="4">
      <formula>AND(D$5="Actuals",E$5="Forecast")</formula>
    </cfRule>
  </conditionalFormatting>
  <conditionalFormatting sqref="D6:K6">
    <cfRule type="expression" dxfId="0" priority="11">
      <formula>AND(D$4="Actuals",E$4="Forecast")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'R5 - Output Incentives'!Print_Area</vt:lpstr>
      <vt:lpstr>'R6 - Innovation'!Print_Area</vt:lpstr>
      <vt:lpstr>'RFPR 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2023-07-29T14:00:44Z</dcterms:created>
  <dcterms:modified xsi:type="dcterms:W3CDTF">2023-07-31T12:22:22Z</dcterms:modified>
  <cp:contentStatus/>
</cp:coreProperties>
</file>